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ПА округ новый\2021\10 ОКТЯБРЬ\Постановления\"/>
    </mc:Choice>
  </mc:AlternateContent>
  <bookViews>
    <workbookView xWindow="0" yWindow="0" windowWidth="22935" windowHeight="8685" activeTab="2"/>
  </bookViews>
  <sheets>
    <sheet name="прил.2" sheetId="3" r:id="rId1"/>
    <sheet name="прил.3" sheetId="12" r:id="rId2"/>
    <sheet name="прил.4" sheetId="59" r:id="rId3"/>
  </sheets>
  <calcPr calcId="162913"/>
</workbook>
</file>

<file path=xl/calcChain.xml><?xml version="1.0" encoding="utf-8"?>
<calcChain xmlns="http://schemas.openxmlformats.org/spreadsheetml/2006/main">
  <c r="F17" i="12" l="1"/>
  <c r="G688" i="3" l="1"/>
  <c r="G634" i="3"/>
  <c r="G559" i="3"/>
  <c r="G561" i="3"/>
  <c r="G558" i="3"/>
  <c r="G394" i="3" l="1"/>
  <c r="G385" i="3"/>
  <c r="G372" i="3"/>
  <c r="G461" i="3"/>
  <c r="G445" i="3"/>
  <c r="G443" i="3"/>
  <c r="G407" i="3"/>
  <c r="G406" i="3" s="1"/>
  <c r="G419" i="3"/>
  <c r="G418" i="3" s="1"/>
  <c r="G364" i="3"/>
  <c r="G446" i="3"/>
  <c r="G442" i="3"/>
  <c r="G441" i="3"/>
  <c r="G408" i="3"/>
  <c r="G354" i="3"/>
  <c r="G266" i="3"/>
  <c r="G276" i="3"/>
  <c r="G272" i="3"/>
  <c r="G264" i="3"/>
  <c r="G274" i="3"/>
  <c r="G238" i="3"/>
  <c r="G231" i="3"/>
  <c r="G222" i="3"/>
  <c r="G214" i="3"/>
  <c r="G208" i="3"/>
  <c r="G202" i="3"/>
  <c r="G157" i="3"/>
  <c r="G440" i="3" l="1"/>
  <c r="G263" i="3"/>
  <c r="G262" i="3" s="1"/>
  <c r="G682" i="3"/>
  <c r="G710" i="3"/>
  <c r="G648" i="3" l="1"/>
  <c r="G650" i="3"/>
  <c r="G13" i="59" l="1"/>
  <c r="F13" i="59"/>
  <c r="G72" i="3" l="1"/>
  <c r="G63" i="3"/>
  <c r="G662" i="3"/>
  <c r="F662" i="3"/>
  <c r="G660" i="3"/>
  <c r="G744" i="3"/>
  <c r="G743" i="3" s="1"/>
  <c r="G738" i="3"/>
  <c r="G736" i="3"/>
  <c r="G734" i="3"/>
  <c r="G732" i="3"/>
  <c r="G730" i="3"/>
  <c r="G728" i="3"/>
  <c r="H727" i="3"/>
  <c r="H729" i="3"/>
  <c r="H731" i="3"/>
  <c r="H733" i="3"/>
  <c r="H735" i="3"/>
  <c r="H737" i="3"/>
  <c r="H739" i="3"/>
  <c r="H745" i="3"/>
  <c r="G726" i="3"/>
  <c r="G720" i="3"/>
  <c r="G717" i="3"/>
  <c r="H716" i="3"/>
  <c r="H718" i="3"/>
  <c r="H719" i="3"/>
  <c r="H721" i="3"/>
  <c r="G715" i="3"/>
  <c r="G709" i="3"/>
  <c r="G707" i="3"/>
  <c r="G705" i="3"/>
  <c r="H704" i="3"/>
  <c r="H706" i="3"/>
  <c r="H708" i="3"/>
  <c r="G703" i="3"/>
  <c r="G701" i="3"/>
  <c r="G696" i="3"/>
  <c r="G695" i="3" s="1"/>
  <c r="G694" i="3" s="1"/>
  <c r="G691" i="3"/>
  <c r="G690" i="3" s="1"/>
  <c r="G689" i="3" s="1"/>
  <c r="G687" i="3"/>
  <c r="G686" i="3" s="1"/>
  <c r="G685" i="3" s="1"/>
  <c r="G683" i="3"/>
  <c r="G681" i="3"/>
  <c r="H673" i="3"/>
  <c r="G672" i="3"/>
  <c r="G671" i="3" s="1"/>
  <c r="G670" i="3" s="1"/>
  <c r="G669" i="3" s="1"/>
  <c r="G665" i="3"/>
  <c r="G664" i="3" s="1"/>
  <c r="G655" i="3"/>
  <c r="G653" i="3"/>
  <c r="G642" i="3"/>
  <c r="G639" i="3"/>
  <c r="G637" i="3"/>
  <c r="G627" i="3"/>
  <c r="G626" i="3" s="1"/>
  <c r="G624" i="3"/>
  <c r="G622" i="3"/>
  <c r="G620" i="3"/>
  <c r="G617" i="3"/>
  <c r="G615" i="3"/>
  <c r="G613" i="3"/>
  <c r="G610" i="3"/>
  <c r="G608" i="3"/>
  <c r="G606" i="3"/>
  <c r="G601" i="3"/>
  <c r="G600" i="3" s="1"/>
  <c r="G599" i="3" s="1"/>
  <c r="G597" i="3"/>
  <c r="G595" i="3"/>
  <c r="G592" i="3"/>
  <c r="G590" i="3"/>
  <c r="G588" i="3"/>
  <c r="G586" i="3"/>
  <c r="G584" i="3"/>
  <c r="G579" i="3"/>
  <c r="G577" i="3"/>
  <c r="G572" i="3"/>
  <c r="G571" i="3" s="1"/>
  <c r="G570" i="3" s="1"/>
  <c r="G569" i="3" s="1"/>
  <c r="G567" i="3"/>
  <c r="G566" i="3" s="1"/>
  <c r="G565" i="3" s="1"/>
  <c r="G563" i="3"/>
  <c r="G553" i="3"/>
  <c r="G549" i="3"/>
  <c r="G548" i="3" s="1"/>
  <c r="G546" i="3"/>
  <c r="G544" i="3"/>
  <c r="G542" i="3"/>
  <c r="G540" i="3"/>
  <c r="G538" i="3"/>
  <c r="G534" i="3"/>
  <c r="G529" i="3"/>
  <c r="G528" i="3" s="1"/>
  <c r="G527" i="3" s="1"/>
  <c r="G525" i="3"/>
  <c r="G523" i="3"/>
  <c r="G521" i="3"/>
  <c r="G519" i="3"/>
  <c r="G517" i="3"/>
  <c r="G501" i="3"/>
  <c r="G484" i="3"/>
  <c r="G477" i="3"/>
  <c r="G476" i="3" s="1"/>
  <c r="G475" i="3" s="1"/>
  <c r="G473" i="3"/>
  <c r="G471" i="3"/>
  <c r="G469" i="3"/>
  <c r="G467" i="3"/>
  <c r="G465" i="3"/>
  <c r="G463" i="3"/>
  <c r="G453" i="3"/>
  <c r="G451" i="3"/>
  <c r="G449" i="3"/>
  <c r="G430" i="3"/>
  <c r="G405" i="3" s="1"/>
  <c r="G424" i="3"/>
  <c r="G422" i="3"/>
  <c r="G416" i="3"/>
  <c r="G414" i="3"/>
  <c r="G412" i="3"/>
  <c r="G410" i="3"/>
  <c r="G403" i="3"/>
  <c r="G401" i="3"/>
  <c r="G399" i="3"/>
  <c r="G397" i="3"/>
  <c r="G392" i="3"/>
  <c r="G390" i="3"/>
  <c r="G387" i="3"/>
  <c r="G384" i="3" s="1"/>
  <c r="G382" i="3"/>
  <c r="G380" i="3"/>
  <c r="G378" i="3"/>
  <c r="G376" i="3"/>
  <c r="G374" i="3"/>
  <c r="G368" i="3"/>
  <c r="G366" i="3"/>
  <c r="G361" i="3"/>
  <c r="G360" i="3" s="1"/>
  <c r="G356" i="3"/>
  <c r="G358" i="3"/>
  <c r="G350" i="3"/>
  <c r="G349" i="3" s="1"/>
  <c r="G348" i="3" s="1"/>
  <c r="G344" i="3"/>
  <c r="G343" i="3" s="1"/>
  <c r="G345" i="3"/>
  <c r="G341" i="3"/>
  <c r="G339" i="3"/>
  <c r="G336" i="3"/>
  <c r="G334" i="3"/>
  <c r="G332" i="3"/>
  <c r="G330" i="3"/>
  <c r="G328" i="3"/>
  <c r="G326" i="3"/>
  <c r="G321" i="3"/>
  <c r="G317" i="3"/>
  <c r="G316" i="3" s="1"/>
  <c r="G315" i="3" s="1"/>
  <c r="G312" i="3"/>
  <c r="G311" i="3" s="1"/>
  <c r="G310" i="3" s="1"/>
  <c r="G308" i="3"/>
  <c r="G306" i="3"/>
  <c r="G303" i="3"/>
  <c r="G301" i="3"/>
  <c r="G299" i="3"/>
  <c r="G296" i="3"/>
  <c r="G294" i="3"/>
  <c r="G288" i="3"/>
  <c r="G286" i="3"/>
  <c r="G282" i="3"/>
  <c r="G280" i="3"/>
  <c r="G278" i="3"/>
  <c r="G271" i="3" s="1"/>
  <c r="G270" i="3" s="1"/>
  <c r="G259" i="3"/>
  <c r="G258" i="3" s="1"/>
  <c r="G256" i="3"/>
  <c r="G254" i="3"/>
  <c r="G252" i="3"/>
  <c r="G250" i="3"/>
  <c r="G248" i="3"/>
  <c r="G246" i="3"/>
  <c r="G242" i="3"/>
  <c r="G240" i="3"/>
  <c r="G230" i="3"/>
  <c r="G229" i="3" s="1"/>
  <c r="G203" i="3"/>
  <c r="G201" i="3"/>
  <c r="G200" i="3" s="1"/>
  <c r="G197" i="3"/>
  <c r="G195" i="3"/>
  <c r="G193" i="3"/>
  <c r="G191" i="3"/>
  <c r="G189" i="3"/>
  <c r="G183" i="3"/>
  <c r="G181" i="3"/>
  <c r="G179" i="3"/>
  <c r="G177" i="3"/>
  <c r="G175" i="3"/>
  <c r="G170" i="3"/>
  <c r="G168" i="3"/>
  <c r="G166" i="3"/>
  <c r="G161" i="3"/>
  <c r="G160" i="3" s="1"/>
  <c r="G159" i="3" s="1"/>
  <c r="G158" i="3" s="1"/>
  <c r="G156" i="3"/>
  <c r="G155" i="3" s="1"/>
  <c r="G154" i="3" s="1"/>
  <c r="G153" i="3" s="1"/>
  <c r="G150" i="3"/>
  <c r="G148" i="3"/>
  <c r="G144" i="3"/>
  <c r="G142" i="3"/>
  <c r="G135" i="3"/>
  <c r="G134" i="3" s="1"/>
  <c r="G132" i="3"/>
  <c r="G130" i="3"/>
  <c r="G127" i="3"/>
  <c r="G125" i="3"/>
  <c r="G122" i="3"/>
  <c r="G120" i="3"/>
  <c r="G117" i="3"/>
  <c r="H116" i="3"/>
  <c r="G115" i="3"/>
  <c r="G110" i="3"/>
  <c r="G107" i="3" s="1"/>
  <c r="G103" i="3"/>
  <c r="G102" i="3" s="1"/>
  <c r="G98" i="3"/>
  <c r="G95" i="3"/>
  <c r="G90" i="3"/>
  <c r="G89" i="3" s="1"/>
  <c r="G87" i="3"/>
  <c r="G84" i="3"/>
  <c r="H81" i="3"/>
  <c r="G80" i="3"/>
  <c r="G76" i="3"/>
  <c r="G69" i="3"/>
  <c r="G67" i="3"/>
  <c r="G65" i="3"/>
  <c r="G58" i="3"/>
  <c r="G57" i="3" s="1"/>
  <c r="G56" i="3" s="1"/>
  <c r="G49" i="3"/>
  <c r="G48" i="3" s="1"/>
  <c r="G44" i="3"/>
  <c r="G43" i="3" s="1"/>
  <c r="G39" i="3"/>
  <c r="G38" i="3" s="1"/>
  <c r="G37" i="3" s="1"/>
  <c r="G36" i="3" s="1"/>
  <c r="G32" i="3"/>
  <c r="G31" i="3" s="1"/>
  <c r="G28" i="3"/>
  <c r="G27" i="3" s="1"/>
  <c r="G22" i="3"/>
  <c r="G20" i="3"/>
  <c r="G16" i="3"/>
  <c r="G15" i="3" s="1"/>
  <c r="G14" i="3" s="1"/>
  <c r="G13" i="3" s="1"/>
  <c r="G141" i="3" l="1"/>
  <c r="G140" i="3" s="1"/>
  <c r="G353" i="3"/>
  <c r="G363" i="3"/>
  <c r="G371" i="3"/>
  <c r="G389" i="3"/>
  <c r="G396" i="3"/>
  <c r="G460" i="3"/>
  <c r="G459" i="3" s="1"/>
  <c r="G62" i="3"/>
  <c r="G61" i="3" s="1"/>
  <c r="G659" i="3"/>
  <c r="G658" i="3" s="1"/>
  <c r="G742" i="3"/>
  <c r="G725" i="3"/>
  <c r="G724" i="3" s="1"/>
  <c r="G723" i="3" s="1"/>
  <c r="G722" i="3" s="1"/>
  <c r="G714" i="3"/>
  <c r="G713" i="3" s="1"/>
  <c r="G712" i="3" s="1"/>
  <c r="G711" i="3" s="1"/>
  <c r="G700" i="3"/>
  <c r="G699" i="3" s="1"/>
  <c r="G693" i="3" s="1"/>
  <c r="G680" i="3"/>
  <c r="G679" i="3" s="1"/>
  <c r="G652" i="3"/>
  <c r="G651" i="3" s="1"/>
  <c r="G338" i="3"/>
  <c r="G619" i="3"/>
  <c r="G605" i="3"/>
  <c r="G594" i="3"/>
  <c r="G583" i="3"/>
  <c r="G576" i="3"/>
  <c r="G575" i="3" s="1"/>
  <c r="G298" i="3"/>
  <c r="G325" i="3"/>
  <c r="G305" i="3"/>
  <c r="G147" i="3"/>
  <c r="G146" i="3" s="1"/>
  <c r="G293" i="3"/>
  <c r="G285" i="3"/>
  <c r="G284" i="3" s="1"/>
  <c r="G261" i="3" s="1"/>
  <c r="G245" i="3"/>
  <c r="G244" i="3" s="1"/>
  <c r="G199" i="3"/>
  <c r="G174" i="3"/>
  <c r="G173" i="3" s="1"/>
  <c r="G165" i="3"/>
  <c r="G164" i="3" s="1"/>
  <c r="G163" i="3" s="1"/>
  <c r="G124" i="3"/>
  <c r="G119" i="3"/>
  <c r="G109" i="3"/>
  <c r="G108" i="3" s="1"/>
  <c r="G94" i="3"/>
  <c r="G83" i="3"/>
  <c r="G42" i="3"/>
  <c r="G41" i="3" s="1"/>
  <c r="G26" i="3"/>
  <c r="G25" i="3" s="1"/>
  <c r="G19" i="3"/>
  <c r="G18" i="3" s="1"/>
  <c r="F744" i="3"/>
  <c r="F738" i="3"/>
  <c r="H738" i="3" s="1"/>
  <c r="F736" i="3"/>
  <c r="H736" i="3" s="1"/>
  <c r="F734" i="3"/>
  <c r="H734" i="3" s="1"/>
  <c r="F732" i="3"/>
  <c r="H732" i="3" s="1"/>
  <c r="F730" i="3"/>
  <c r="H730" i="3" s="1"/>
  <c r="F728" i="3"/>
  <c r="H728" i="3" s="1"/>
  <c r="F726" i="3"/>
  <c r="H726" i="3" s="1"/>
  <c r="F720" i="3"/>
  <c r="H720" i="3" s="1"/>
  <c r="F717" i="3"/>
  <c r="H717" i="3" s="1"/>
  <c r="F715" i="3"/>
  <c r="H715" i="3" s="1"/>
  <c r="F710" i="3"/>
  <c r="F707" i="3"/>
  <c r="H707" i="3" s="1"/>
  <c r="F705" i="3"/>
  <c r="H705" i="3" s="1"/>
  <c r="F703" i="3"/>
  <c r="F701" i="3"/>
  <c r="F696" i="3"/>
  <c r="F695" i="3" s="1"/>
  <c r="F694" i="3" s="1"/>
  <c r="F691" i="3"/>
  <c r="F690" i="3" s="1"/>
  <c r="F689" i="3" s="1"/>
  <c r="F688" i="3"/>
  <c r="F687" i="3" s="1"/>
  <c r="F686" i="3" s="1"/>
  <c r="F685" i="3" s="1"/>
  <c r="F684" i="3"/>
  <c r="F683" i="3" s="1"/>
  <c r="F682" i="3"/>
  <c r="F681" i="3" s="1"/>
  <c r="F677" i="3"/>
  <c r="F676" i="3" s="1"/>
  <c r="F675" i="3" s="1"/>
  <c r="F672" i="3"/>
  <c r="F671" i="3" s="1"/>
  <c r="F670" i="3" s="1"/>
  <c r="F669" i="3" s="1"/>
  <c r="F665" i="3"/>
  <c r="F664" i="3" s="1"/>
  <c r="F661" i="3"/>
  <c r="F660" i="3" s="1"/>
  <c r="F659" i="3" s="1"/>
  <c r="F655" i="3"/>
  <c r="F653" i="3"/>
  <c r="F650" i="3"/>
  <c r="F649" i="3" s="1"/>
  <c r="F648" i="3"/>
  <c r="F647" i="3" s="1"/>
  <c r="F646" i="3"/>
  <c r="F645" i="3" s="1"/>
  <c r="F642" i="3"/>
  <c r="F639" i="3"/>
  <c r="F638" i="3"/>
  <c r="F637" i="3" s="1"/>
  <c r="F636" i="3"/>
  <c r="F634" i="3" s="1"/>
  <c r="F629" i="3"/>
  <c r="F627" i="3" s="1"/>
  <c r="F626" i="3" s="1"/>
  <c r="F624" i="3"/>
  <c r="F623" i="3"/>
  <c r="F622" i="3" s="1"/>
  <c r="F621" i="3"/>
  <c r="F620" i="3" s="1"/>
  <c r="F617" i="3"/>
  <c r="F615" i="3"/>
  <c r="F613" i="3"/>
  <c r="F610" i="3"/>
  <c r="F608" i="3"/>
  <c r="F606" i="3"/>
  <c r="F601" i="3"/>
  <c r="F600" i="3" s="1"/>
  <c r="F599" i="3" s="1"/>
  <c r="F597" i="3"/>
  <c r="F595" i="3"/>
  <c r="F592" i="3"/>
  <c r="F590" i="3"/>
  <c r="F588" i="3"/>
  <c r="F586" i="3"/>
  <c r="F584" i="3"/>
  <c r="F579" i="3"/>
  <c r="F577" i="3"/>
  <c r="F573" i="3"/>
  <c r="F572" i="3" s="1"/>
  <c r="F571" i="3" s="1"/>
  <c r="F570" i="3" s="1"/>
  <c r="F569" i="3" s="1"/>
  <c r="F567" i="3"/>
  <c r="F566" i="3" s="1"/>
  <c r="F565" i="3" s="1"/>
  <c r="F563" i="3"/>
  <c r="F561" i="3"/>
  <c r="F559" i="3"/>
  <c r="F558" i="3"/>
  <c r="F557" i="3" s="1"/>
  <c r="F556" i="3"/>
  <c r="F555" i="3" s="1"/>
  <c r="F554" i="3"/>
  <c r="F553" i="3" s="1"/>
  <c r="F549" i="3"/>
  <c r="F548" i="3" s="1"/>
  <c r="F546" i="3"/>
  <c r="F544" i="3"/>
  <c r="F543" i="3"/>
  <c r="F542" i="3" s="1"/>
  <c r="F541" i="3"/>
  <c r="F540" i="3" s="1"/>
  <c r="F539" i="3"/>
  <c r="F538" i="3" s="1"/>
  <c r="F536" i="3"/>
  <c r="F534" i="3"/>
  <c r="F529" i="3"/>
  <c r="F528" i="3" s="1"/>
  <c r="F527" i="3" s="1"/>
  <c r="F526" i="3"/>
  <c r="F525" i="3" s="1"/>
  <c r="F524" i="3"/>
  <c r="F523" i="3" s="1"/>
  <c r="F522" i="3"/>
  <c r="F521" i="3" s="1"/>
  <c r="F519" i="3"/>
  <c r="F517" i="3"/>
  <c r="F516" i="3"/>
  <c r="F515" i="3" s="1"/>
  <c r="F513" i="3"/>
  <c r="F512" i="3"/>
  <c r="F511" i="3" s="1"/>
  <c r="F510" i="3"/>
  <c r="F509" i="3" s="1"/>
  <c r="F507" i="3"/>
  <c r="F506" i="3"/>
  <c r="F505" i="3" s="1"/>
  <c r="F504" i="3"/>
  <c r="F503" i="3" s="1"/>
  <c r="F501" i="3"/>
  <c r="F496" i="3"/>
  <c r="F495" i="3"/>
  <c r="F494" i="3" s="1"/>
  <c r="F493" i="3"/>
  <c r="F492" i="3" s="1"/>
  <c r="F491" i="3"/>
  <c r="F490" i="3" s="1"/>
  <c r="F489" i="3"/>
  <c r="F488" i="3" s="1"/>
  <c r="F487" i="3"/>
  <c r="F486" i="3" s="1"/>
  <c r="F485" i="3"/>
  <c r="F484" i="3" s="1"/>
  <c r="F477" i="3"/>
  <c r="F476" i="3" s="1"/>
  <c r="F475" i="3" s="1"/>
  <c r="F474" i="3"/>
  <c r="F473" i="3" s="1"/>
  <c r="F472" i="3"/>
  <c r="F471" i="3" s="1"/>
  <c r="F470" i="3"/>
  <c r="F469" i="3" s="1"/>
  <c r="F467" i="3"/>
  <c r="F465" i="3"/>
  <c r="F463" i="3"/>
  <c r="F461" i="3"/>
  <c r="F457" i="3"/>
  <c r="F455" i="3"/>
  <c r="F453" i="3"/>
  <c r="F451" i="3"/>
  <c r="F450" i="3"/>
  <c r="F446" i="3" s="1"/>
  <c r="F445" i="3" s="1"/>
  <c r="F447" i="3"/>
  <c r="F443" i="3"/>
  <c r="F442" i="3"/>
  <c r="F438" i="3"/>
  <c r="F436" i="3"/>
  <c r="F434" i="3"/>
  <c r="F432" i="3"/>
  <c r="F431" i="3"/>
  <c r="F430" i="3" s="1"/>
  <c r="F428" i="3"/>
  <c r="F426" i="3"/>
  <c r="F424" i="3"/>
  <c r="F422" i="3"/>
  <c r="F420" i="3"/>
  <c r="F419" i="3"/>
  <c r="F418" i="3" s="1"/>
  <c r="F416" i="3"/>
  <c r="F414" i="3"/>
  <c r="F412" i="3"/>
  <c r="F410" i="3"/>
  <c r="F409" i="3"/>
  <c r="F408" i="3" s="1"/>
  <c r="F403" i="3"/>
  <c r="F401" i="3"/>
  <c r="F400" i="3"/>
  <c r="F399" i="3" s="1"/>
  <c r="F398" i="3"/>
  <c r="F397" i="3" s="1"/>
  <c r="F394" i="3"/>
  <c r="F393" i="3"/>
  <c r="F392" i="3" s="1"/>
  <c r="F391" i="3"/>
  <c r="F390" i="3" s="1"/>
  <c r="F387" i="3"/>
  <c r="F385" i="3"/>
  <c r="F383" i="3"/>
  <c r="F382" i="3" s="1"/>
  <c r="F380" i="3"/>
  <c r="F378" i="3"/>
  <c r="F376" i="3"/>
  <c r="F375" i="3"/>
  <c r="F374" i="3" s="1"/>
  <c r="F373" i="3"/>
  <c r="F372" i="3" s="1"/>
  <c r="F369" i="3"/>
  <c r="F368" i="3" s="1"/>
  <c r="F366" i="3"/>
  <c r="F365" i="3"/>
  <c r="F364" i="3" s="1"/>
  <c r="F362" i="3"/>
  <c r="F361" i="3" s="1"/>
  <c r="F360" i="3" s="1"/>
  <c r="F358" i="3"/>
  <c r="F357" i="3"/>
  <c r="F356" i="3" s="1"/>
  <c r="F355" i="3"/>
  <c r="F354" i="3" s="1"/>
  <c r="F350" i="3"/>
  <c r="F349" i="3" s="1"/>
  <c r="F348" i="3" s="1"/>
  <c r="F345" i="3"/>
  <c r="F344" i="3"/>
  <c r="F343" i="3" s="1"/>
  <c r="F342" i="3"/>
  <c r="F341" i="3" s="1"/>
  <c r="F340" i="3"/>
  <c r="F339" i="3" s="1"/>
  <c r="F337" i="3"/>
  <c r="F336" i="3" s="1"/>
  <c r="F334" i="3"/>
  <c r="F333" i="3"/>
  <c r="F332" i="3" s="1"/>
  <c r="F331" i="3"/>
  <c r="F330" i="3" s="1"/>
  <c r="F329" i="3"/>
  <c r="F328" i="3" s="1"/>
  <c r="F327" i="3"/>
  <c r="F326" i="3" s="1"/>
  <c r="F323" i="3"/>
  <c r="F321" i="3"/>
  <c r="F318" i="3"/>
  <c r="F317" i="3" s="1"/>
  <c r="F316" i="3" s="1"/>
  <c r="F315" i="3" s="1"/>
  <c r="F313" i="3"/>
  <c r="F312" i="3" s="1"/>
  <c r="F311" i="3" s="1"/>
  <c r="F310" i="3" s="1"/>
  <c r="F309" i="3"/>
  <c r="F308" i="3" s="1"/>
  <c r="F306" i="3"/>
  <c r="F304" i="3"/>
  <c r="F303" i="3" s="1"/>
  <c r="F301" i="3"/>
  <c r="F299" i="3"/>
  <c r="F297" i="3"/>
  <c r="F296" i="3" s="1"/>
  <c r="F295" i="3"/>
  <c r="F294" i="3" s="1"/>
  <c r="F289" i="3"/>
  <c r="F288" i="3" s="1"/>
  <c r="F286" i="3"/>
  <c r="F282" i="3"/>
  <c r="F280" i="3"/>
  <c r="F278" i="3"/>
  <c r="F276" i="3"/>
  <c r="F274" i="3"/>
  <c r="F272" i="3"/>
  <c r="F269" i="3"/>
  <c r="F268" i="3" s="1"/>
  <c r="F267" i="3"/>
  <c r="F266" i="3" s="1"/>
  <c r="F265" i="3"/>
  <c r="F264" i="3" s="1"/>
  <c r="F259" i="3"/>
  <c r="F258" i="3" s="1"/>
  <c r="F256" i="3"/>
  <c r="F254" i="3"/>
  <c r="F252" i="3"/>
  <c r="F250" i="3"/>
  <c r="F249" i="3"/>
  <c r="F248" i="3" s="1"/>
  <c r="F247" i="3"/>
  <c r="F246" i="3" s="1"/>
  <c r="F242" i="3"/>
  <c r="F240" i="3"/>
  <c r="F239" i="3"/>
  <c r="F238" i="3" s="1"/>
  <c r="F237" i="3"/>
  <c r="F236" i="3" s="1"/>
  <c r="F235" i="3"/>
  <c r="F234" i="3" s="1"/>
  <c r="F233" i="3"/>
  <c r="F232" i="3" s="1"/>
  <c r="F227" i="3"/>
  <c r="F225" i="3"/>
  <c r="F223" i="3"/>
  <c r="F222" i="3"/>
  <c r="F221" i="3" s="1"/>
  <c r="F220" i="3"/>
  <c r="F219" i="3" s="1"/>
  <c r="F218" i="3"/>
  <c r="F217" i="3" s="1"/>
  <c r="F216" i="3"/>
  <c r="F215" i="3" s="1"/>
  <c r="F211" i="3"/>
  <c r="F209" i="3"/>
  <c r="F208" i="3"/>
  <c r="F207" i="3" s="1"/>
  <c r="F206" i="3"/>
  <c r="F205" i="3" s="1"/>
  <c r="F204" i="3"/>
  <c r="F203" i="3" s="1"/>
  <c r="F198" i="3"/>
  <c r="F197" i="3" s="1"/>
  <c r="F196" i="3"/>
  <c r="F195" i="3" s="1"/>
  <c r="F194" i="3"/>
  <c r="F193" i="3" s="1"/>
  <c r="F191" i="3"/>
  <c r="F190" i="3"/>
  <c r="F189" i="3" s="1"/>
  <c r="F187" i="3"/>
  <c r="F186" i="3"/>
  <c r="F185" i="3" s="1"/>
  <c r="F184" i="3"/>
  <c r="F183" i="3" s="1"/>
  <c r="F182" i="3"/>
  <c r="F181" i="3" s="1"/>
  <c r="F180" i="3"/>
  <c r="F179" i="3" s="1"/>
  <c r="F177" i="3"/>
  <c r="F176" i="3"/>
  <c r="F175" i="3" s="1"/>
  <c r="F170" i="3"/>
  <c r="F169" i="3"/>
  <c r="F168" i="3" s="1"/>
  <c r="F166" i="3"/>
  <c r="F161" i="3"/>
  <c r="F160" i="3" s="1"/>
  <c r="F159" i="3" s="1"/>
  <c r="F158" i="3" s="1"/>
  <c r="F157" i="3"/>
  <c r="F156" i="3" s="1"/>
  <c r="F155" i="3" s="1"/>
  <c r="F154" i="3" s="1"/>
  <c r="F153" i="3" s="1"/>
  <c r="F150" i="3"/>
  <c r="F148" i="3"/>
  <c r="F144" i="3"/>
  <c r="F142" i="3"/>
  <c r="F137" i="3"/>
  <c r="F135" i="3" s="1"/>
  <c r="F134" i="3" s="1"/>
  <c r="F132" i="3"/>
  <c r="F130" i="3"/>
  <c r="F127" i="3"/>
  <c r="F125" i="3"/>
  <c r="F122" i="3"/>
  <c r="F120" i="3"/>
  <c r="F117" i="3"/>
  <c r="F115" i="3"/>
  <c r="H115" i="3" s="1"/>
  <c r="F110" i="3"/>
  <c r="F107" i="3" s="1"/>
  <c r="F103" i="3"/>
  <c r="F102" i="3" s="1"/>
  <c r="F101" i="3"/>
  <c r="F100" i="3"/>
  <c r="F99" i="3"/>
  <c r="F95" i="3"/>
  <c r="F93" i="3"/>
  <c r="F92" i="3"/>
  <c r="F88" i="3"/>
  <c r="F87" i="3" s="1"/>
  <c r="F84" i="3"/>
  <c r="F83" i="3" s="1"/>
  <c r="F80" i="3"/>
  <c r="H80" i="3" s="1"/>
  <c r="F78" i="3"/>
  <c r="F77" i="3"/>
  <c r="H77" i="3" s="1"/>
  <c r="F76" i="3"/>
  <c r="F72" i="3"/>
  <c r="F71" i="3"/>
  <c r="F70" i="3"/>
  <c r="F67" i="3"/>
  <c r="F66" i="3"/>
  <c r="F65" i="3" s="1"/>
  <c r="F63" i="3"/>
  <c r="F59" i="3"/>
  <c r="F58" i="3" s="1"/>
  <c r="F57" i="3" s="1"/>
  <c r="F56" i="3" s="1"/>
  <c r="F54" i="3"/>
  <c r="F53" i="3" s="1"/>
  <c r="F52" i="3" s="1"/>
  <c r="F49" i="3"/>
  <c r="F48" i="3" s="1"/>
  <c r="F44" i="3"/>
  <c r="F43" i="3" s="1"/>
  <c r="F39" i="3"/>
  <c r="F38" i="3" s="1"/>
  <c r="F37" i="3" s="1"/>
  <c r="F36" i="3" s="1"/>
  <c r="F35" i="3"/>
  <c r="F34" i="3"/>
  <c r="F33" i="3"/>
  <c r="F28" i="3"/>
  <c r="F27" i="3" s="1"/>
  <c r="F24" i="3"/>
  <c r="F22" i="3" s="1"/>
  <c r="F20" i="3"/>
  <c r="F16" i="3"/>
  <c r="F15" i="3" s="1"/>
  <c r="F14" i="3" s="1"/>
  <c r="F13" i="3" s="1"/>
  <c r="G352" i="3" l="1"/>
  <c r="F396" i="3"/>
  <c r="G139" i="3"/>
  <c r="F441" i="3"/>
  <c r="F440" i="3" s="1"/>
  <c r="H442" i="3"/>
  <c r="F743" i="3"/>
  <c r="H744" i="3"/>
  <c r="F633" i="3"/>
  <c r="F709" i="3"/>
  <c r="H709" i="3" s="1"/>
  <c r="H710" i="3"/>
  <c r="G370" i="3"/>
  <c r="G741" i="3"/>
  <c r="F353" i="3"/>
  <c r="G604" i="3"/>
  <c r="G603" i="3" s="1"/>
  <c r="G582" i="3"/>
  <c r="G574" i="3" s="1"/>
  <c r="F652" i="3"/>
  <c r="F651" i="3" s="1"/>
  <c r="F298" i="3"/>
  <c r="F165" i="3"/>
  <c r="F164" i="3" s="1"/>
  <c r="F163" i="3" s="1"/>
  <c r="F141" i="3"/>
  <c r="F140" i="3" s="1"/>
  <c r="F75" i="3"/>
  <c r="F74" i="3" s="1"/>
  <c r="F114" i="3"/>
  <c r="F124" i="3"/>
  <c r="F109" i="3"/>
  <c r="F108" i="3" s="1"/>
  <c r="F338" i="3"/>
  <c r="F32" i="3"/>
  <c r="F31" i="3" s="1"/>
  <c r="F26" i="3" s="1"/>
  <c r="F25" i="3" s="1"/>
  <c r="F605" i="3"/>
  <c r="F69" i="3"/>
  <c r="F147" i="3"/>
  <c r="F146" i="3" s="1"/>
  <c r="F363" i="3"/>
  <c r="F352" i="3" s="1"/>
  <c r="F714" i="3"/>
  <c r="F713" i="3" s="1"/>
  <c r="F305" i="3"/>
  <c r="F583" i="3"/>
  <c r="F42" i="3"/>
  <c r="F41" i="3" s="1"/>
  <c r="F483" i="3"/>
  <c r="F482" i="3" s="1"/>
  <c r="F481" i="3" s="1"/>
  <c r="F263" i="3"/>
  <c r="F262" i="3" s="1"/>
  <c r="F271" i="3"/>
  <c r="F270" i="3" s="1"/>
  <c r="F384" i="3"/>
  <c r="F594" i="3"/>
  <c r="H76" i="3"/>
  <c r="G172" i="3"/>
  <c r="G82" i="3"/>
  <c r="F174" i="3"/>
  <c r="F173" i="3" s="1"/>
  <c r="F680" i="3"/>
  <c r="F679" i="3" s="1"/>
  <c r="F674" i="3" s="1"/>
  <c r="F19" i="3"/>
  <c r="F18" i="3" s="1"/>
  <c r="F90" i="3"/>
  <c r="F89" i="3" s="1"/>
  <c r="F119" i="3"/>
  <c r="F129" i="3"/>
  <c r="F460" i="3"/>
  <c r="F459" i="3" s="1"/>
  <c r="F658" i="3"/>
  <c r="F657" i="3" s="1"/>
  <c r="F320" i="3"/>
  <c r="F98" i="3"/>
  <c r="F94" i="3" s="1"/>
  <c r="F202" i="3"/>
  <c r="F201" i="3" s="1"/>
  <c r="F231" i="3"/>
  <c r="F230" i="3" s="1"/>
  <c r="F229" i="3" s="1"/>
  <c r="F576" i="3"/>
  <c r="F575" i="3" s="1"/>
  <c r="F700" i="3"/>
  <c r="F699" i="3" s="1"/>
  <c r="F693" i="3" s="1"/>
  <c r="F725" i="3"/>
  <c r="F724" i="3" s="1"/>
  <c r="F723" i="3" s="1"/>
  <c r="F722" i="3" s="1"/>
  <c r="H722" i="3" s="1"/>
  <c r="F293" i="3"/>
  <c r="F292" i="3" s="1"/>
  <c r="F291" i="3" s="1"/>
  <c r="F325" i="3"/>
  <c r="F371" i="3"/>
  <c r="F533" i="3"/>
  <c r="F532" i="3" s="1"/>
  <c r="F245" i="3"/>
  <c r="F244" i="3" s="1"/>
  <c r="F500" i="3"/>
  <c r="F499" i="3" s="1"/>
  <c r="F498" i="3" s="1"/>
  <c r="F619" i="3"/>
  <c r="F62" i="3"/>
  <c r="F61" i="3" s="1"/>
  <c r="F285" i="3"/>
  <c r="F284" i="3" s="1"/>
  <c r="F389" i="3"/>
  <c r="F552" i="3"/>
  <c r="F551" i="3" s="1"/>
  <c r="F632" i="3"/>
  <c r="F631" i="3" s="1"/>
  <c r="F449" i="3"/>
  <c r="F214" i="3"/>
  <c r="F213" i="3" s="1"/>
  <c r="F200" i="3" s="1"/>
  <c r="F407" i="3"/>
  <c r="F406" i="3" s="1"/>
  <c r="F405" i="3" s="1"/>
  <c r="H724" i="3" l="1"/>
  <c r="H725" i="3"/>
  <c r="F712" i="3"/>
  <c r="H713" i="3"/>
  <c r="H714" i="3"/>
  <c r="F742" i="3"/>
  <c r="H743" i="3"/>
  <c r="F604" i="3"/>
  <c r="F603" i="3" s="1"/>
  <c r="H723" i="3"/>
  <c r="G740" i="3"/>
  <c r="F82" i="3"/>
  <c r="F630" i="3"/>
  <c r="F139" i="3"/>
  <c r="F199" i="3"/>
  <c r="F172" i="3" s="1"/>
  <c r="F319" i="3"/>
  <c r="F314" i="3" s="1"/>
  <c r="F113" i="3"/>
  <c r="F112" i="3" s="1"/>
  <c r="F261" i="3"/>
  <c r="H262" i="3"/>
  <c r="F582" i="3"/>
  <c r="F574" i="3" s="1"/>
  <c r="F668" i="3"/>
  <c r="F60" i="3"/>
  <c r="F12" i="3" s="1"/>
  <c r="F531" i="3"/>
  <c r="F370" i="3"/>
  <c r="F347" i="3" s="1"/>
  <c r="G219" i="3"/>
  <c r="G211" i="3"/>
  <c r="G205" i="3"/>
  <c r="F711" i="3" l="1"/>
  <c r="H711" i="3" s="1"/>
  <c r="H712" i="3"/>
  <c r="F741" i="3"/>
  <c r="H742" i="3"/>
  <c r="F106" i="3"/>
  <c r="F152" i="3"/>
  <c r="F290" i="3"/>
  <c r="F480" i="3"/>
  <c r="H261" i="3"/>
  <c r="G114" i="3"/>
  <c r="F740" i="3" l="1"/>
  <c r="H740" i="3" s="1"/>
  <c r="H741" i="3"/>
  <c r="F746" i="3"/>
  <c r="H114" i="3"/>
  <c r="H663" i="3"/>
  <c r="G657" i="3"/>
  <c r="G649" i="3"/>
  <c r="G647" i="3" s="1"/>
  <c r="G645" i="3"/>
  <c r="H645" i="3" s="1"/>
  <c r="H593" i="3"/>
  <c r="H600" i="3"/>
  <c r="H603" i="3"/>
  <c r="H605" i="3"/>
  <c r="H606" i="3"/>
  <c r="H608" i="3"/>
  <c r="H609" i="3"/>
  <c r="H611" i="3"/>
  <c r="H619" i="3"/>
  <c r="H621" i="3"/>
  <c r="H627" i="3"/>
  <c r="H628" i="3"/>
  <c r="H637" i="3"/>
  <c r="H642" i="3"/>
  <c r="H646" i="3"/>
  <c r="H650" i="3"/>
  <c r="H655" i="3"/>
  <c r="H656" i="3"/>
  <c r="H662" i="3"/>
  <c r="H664" i="3"/>
  <c r="H666" i="3"/>
  <c r="H679" i="3"/>
  <c r="H685" i="3"/>
  <c r="H687" i="3"/>
  <c r="H689" i="3"/>
  <c r="H691" i="3"/>
  <c r="H693" i="3"/>
  <c r="H695" i="3"/>
  <c r="H697" i="3"/>
  <c r="H703" i="3"/>
  <c r="H590" i="3"/>
  <c r="H588" i="3"/>
  <c r="H586" i="3"/>
  <c r="H583" i="3"/>
  <c r="H581" i="3"/>
  <c r="H579" i="3"/>
  <c r="H574" i="3"/>
  <c r="H576" i="3"/>
  <c r="H577" i="3"/>
  <c r="G555" i="3"/>
  <c r="G536" i="3"/>
  <c r="G533" i="3" s="1"/>
  <c r="G532" i="3" s="1"/>
  <c r="G515" i="3"/>
  <c r="G513" i="3"/>
  <c r="G511" i="3"/>
  <c r="G509" i="3"/>
  <c r="G507" i="3"/>
  <c r="G505" i="3"/>
  <c r="G503" i="3"/>
  <c r="G496" i="3"/>
  <c r="G494" i="3" s="1"/>
  <c r="G492" i="3"/>
  <c r="G490" i="3"/>
  <c r="G486" i="3"/>
  <c r="G457" i="3"/>
  <c r="G455" i="3"/>
  <c r="G447" i="3"/>
  <c r="G432" i="3"/>
  <c r="G428" i="3"/>
  <c r="G426" i="3"/>
  <c r="G420" i="3"/>
  <c r="G323" i="3"/>
  <c r="G320" i="3" s="1"/>
  <c r="G319" i="3" s="1"/>
  <c r="G314" i="3" s="1"/>
  <c r="G292" i="3"/>
  <c r="G291" i="3" s="1"/>
  <c r="H694" i="3"/>
  <c r="H692" i="3"/>
  <c r="H690" i="3"/>
  <c r="H665" i="3"/>
  <c r="H661" i="3"/>
  <c r="H624" i="3"/>
  <c r="H620" i="3"/>
  <c r="H618" i="3"/>
  <c r="H614" i="3"/>
  <c r="H610" i="3"/>
  <c r="H607" i="3"/>
  <c r="H602" i="3"/>
  <c r="H599" i="3"/>
  <c r="H587" i="3"/>
  <c r="H585" i="3"/>
  <c r="H582" i="3"/>
  <c r="H578" i="3"/>
  <c r="H573" i="3"/>
  <c r="G227" i="3"/>
  <c r="G129" i="3"/>
  <c r="G113" i="3" s="1"/>
  <c r="G78" i="3"/>
  <c r="C16" i="12"/>
  <c r="C14" i="12"/>
  <c r="G500" i="3" l="1"/>
  <c r="G499" i="3" s="1"/>
  <c r="G498" i="3" s="1"/>
  <c r="H659" i="3"/>
  <c r="H660" i="3"/>
  <c r="G677" i="3"/>
  <c r="H678" i="3"/>
  <c r="G633" i="3"/>
  <c r="G632" i="3" s="1"/>
  <c r="H78" i="3"/>
  <c r="G75" i="3"/>
  <c r="G112" i="3"/>
  <c r="H113" i="3"/>
  <c r="H688" i="3"/>
  <c r="H629" i="3"/>
  <c r="H612" i="3"/>
  <c r="H604" i="3"/>
  <c r="H589" i="3"/>
  <c r="H698" i="3"/>
  <c r="H696" i="3"/>
  <c r="H686" i="3"/>
  <c r="H684" i="3"/>
  <c r="H667" i="3"/>
  <c r="H652" i="3"/>
  <c r="H647" i="3"/>
  <c r="H639" i="3"/>
  <c r="H591" i="3"/>
  <c r="H592" i="3"/>
  <c r="H700" i="3"/>
  <c r="H648" i="3"/>
  <c r="H634" i="3"/>
  <c r="H615" i="3"/>
  <c r="H601" i="3"/>
  <c r="H580" i="3"/>
  <c r="H699" i="3"/>
  <c r="H641" i="3"/>
  <c r="H626" i="3"/>
  <c r="H702" i="3"/>
  <c r="H654" i="3"/>
  <c r="H640" i="3"/>
  <c r="H636" i="3"/>
  <c r="H625" i="3"/>
  <c r="H613" i="3"/>
  <c r="H575" i="3"/>
  <c r="H701" i="3"/>
  <c r="H653" i="3"/>
  <c r="H649" i="3"/>
  <c r="H635" i="3"/>
  <c r="H594" i="3"/>
  <c r="G152" i="3"/>
  <c r="H40" i="3"/>
  <c r="H29" i="3"/>
  <c r="H633" i="3" l="1"/>
  <c r="G676" i="3"/>
  <c r="H677" i="3"/>
  <c r="G631" i="3"/>
  <c r="G630" i="3" s="1"/>
  <c r="H630" i="3" s="1"/>
  <c r="G74" i="3"/>
  <c r="G60" i="3" s="1"/>
  <c r="H75" i="3"/>
  <c r="H112" i="3"/>
  <c r="G106" i="3"/>
  <c r="H584" i="3"/>
  <c r="H616" i="3"/>
  <c r="H617" i="3"/>
  <c r="H644" i="3"/>
  <c r="H622" i="3"/>
  <c r="H623" i="3"/>
  <c r="H658" i="3"/>
  <c r="H598" i="3"/>
  <c r="H683" i="3"/>
  <c r="H672" i="3"/>
  <c r="H561" i="3"/>
  <c r="H563" i="3"/>
  <c r="H565" i="3"/>
  <c r="H560" i="3"/>
  <c r="G488" i="3"/>
  <c r="G438" i="3"/>
  <c r="G347" i="3"/>
  <c r="H358" i="3"/>
  <c r="H260" i="3"/>
  <c r="H254" i="3"/>
  <c r="H242" i="3"/>
  <c r="H244" i="3"/>
  <c r="H232" i="3"/>
  <c r="H236" i="3"/>
  <c r="H238" i="3"/>
  <c r="H150" i="3"/>
  <c r="H135" i="3"/>
  <c r="H90" i="3"/>
  <c r="H91" i="3"/>
  <c r="H93" i="3"/>
  <c r="G54" i="3"/>
  <c r="G53" i="3" s="1"/>
  <c r="G52" i="3" s="1"/>
  <c r="H17" i="3"/>
  <c r="H21" i="3"/>
  <c r="H23" i="3"/>
  <c r="H30" i="3"/>
  <c r="H33" i="3"/>
  <c r="H35" i="3"/>
  <c r="H45" i="3"/>
  <c r="H46" i="3"/>
  <c r="H47" i="3"/>
  <c r="H50" i="3"/>
  <c r="H51" i="3"/>
  <c r="H55" i="3"/>
  <c r="H64" i="3"/>
  <c r="H66" i="3"/>
  <c r="H71" i="3"/>
  <c r="H79" i="3"/>
  <c r="H86" i="3"/>
  <c r="H87" i="3"/>
  <c r="H95" i="3"/>
  <c r="H98" i="3"/>
  <c r="H99" i="3"/>
  <c r="H105" i="3"/>
  <c r="H117" i="3"/>
  <c r="H122" i="3"/>
  <c r="H125" i="3"/>
  <c r="H127" i="3"/>
  <c r="H131" i="3"/>
  <c r="H136" i="3"/>
  <c r="H137" i="3"/>
  <c r="H138" i="3"/>
  <c r="H142" i="3"/>
  <c r="H144" i="3"/>
  <c r="H155" i="3"/>
  <c r="H162" i="3"/>
  <c r="H168" i="3"/>
  <c r="H171" i="3"/>
  <c r="H177" i="3"/>
  <c r="H181" i="3"/>
  <c r="H183" i="3"/>
  <c r="H185" i="3"/>
  <c r="H201" i="3"/>
  <c r="H206" i="3"/>
  <c r="H208" i="3"/>
  <c r="H209" i="3"/>
  <c r="H210" i="3"/>
  <c r="H220" i="3"/>
  <c r="H222" i="3"/>
  <c r="H223" i="3"/>
  <c r="H252" i="3"/>
  <c r="H255" i="3"/>
  <c r="H258" i="3"/>
  <c r="H259" i="3"/>
  <c r="H267" i="3"/>
  <c r="H270" i="3"/>
  <c r="H276" i="3"/>
  <c r="H288" i="3"/>
  <c r="H292" i="3"/>
  <c r="H294" i="3"/>
  <c r="H295" i="3"/>
  <c r="H297" i="3"/>
  <c r="H299" i="3"/>
  <c r="H302" i="3"/>
  <c r="H310" i="3"/>
  <c r="H318" i="3"/>
  <c r="H319" i="3"/>
  <c r="H320" i="3"/>
  <c r="H327" i="3"/>
  <c r="H330" i="3"/>
  <c r="H334" i="3"/>
  <c r="H340" i="3"/>
  <c r="H350" i="3"/>
  <c r="H352" i="3"/>
  <c r="H356" i="3"/>
  <c r="H357" i="3"/>
  <c r="H359" i="3"/>
  <c r="H361" i="3"/>
  <c r="H362" i="3"/>
  <c r="H363" i="3"/>
  <c r="H364" i="3"/>
  <c r="H365" i="3"/>
  <c r="H367" i="3"/>
  <c r="H368" i="3"/>
  <c r="H369" i="3"/>
  <c r="H371" i="3"/>
  <c r="H372" i="3"/>
  <c r="H377" i="3"/>
  <c r="H380" i="3"/>
  <c r="H382" i="3"/>
  <c r="H383" i="3"/>
  <c r="H386" i="3"/>
  <c r="H387" i="3"/>
  <c r="H390" i="3"/>
  <c r="H391" i="3"/>
  <c r="H398" i="3"/>
  <c r="H404" i="3"/>
  <c r="H406" i="3"/>
  <c r="H411" i="3"/>
  <c r="H416" i="3"/>
  <c r="H419" i="3"/>
  <c r="H425" i="3"/>
  <c r="H431" i="3"/>
  <c r="H434" i="3"/>
  <c r="H436" i="3"/>
  <c r="H440" i="3"/>
  <c r="H445" i="3"/>
  <c r="H447" i="3"/>
  <c r="H450" i="3"/>
  <c r="H452" i="3"/>
  <c r="H461" i="3"/>
  <c r="H464" i="3"/>
  <c r="H475" i="3"/>
  <c r="H476" i="3"/>
  <c r="H477" i="3"/>
  <c r="H484" i="3"/>
  <c r="H490" i="3"/>
  <c r="H500" i="3"/>
  <c r="H501" i="3"/>
  <c r="H507" i="3"/>
  <c r="H566" i="3"/>
  <c r="G675" i="3" l="1"/>
  <c r="H676" i="3"/>
  <c r="H631" i="3"/>
  <c r="H459" i="3"/>
  <c r="G483" i="3"/>
  <c r="G482" i="3" s="1"/>
  <c r="G481" i="3" s="1"/>
  <c r="H481" i="3" s="1"/>
  <c r="H74" i="3"/>
  <c r="G12" i="3"/>
  <c r="H256" i="3"/>
  <c r="H471" i="3"/>
  <c r="H110" i="3"/>
  <c r="H682" i="3"/>
  <c r="H657" i="3"/>
  <c r="H651" i="3"/>
  <c r="H643" i="3"/>
  <c r="H671" i="3"/>
  <c r="H597" i="3"/>
  <c r="H338" i="3"/>
  <c r="H282" i="3"/>
  <c r="H283" i="3"/>
  <c r="H170" i="3"/>
  <c r="H149" i="3"/>
  <c r="H28" i="3"/>
  <c r="H435" i="3"/>
  <c r="H370" i="3"/>
  <c r="H219" i="3"/>
  <c r="H231" i="3"/>
  <c r="H89" i="3"/>
  <c r="H389" i="3"/>
  <c r="H366" i="3"/>
  <c r="H197" i="3"/>
  <c r="H163" i="3"/>
  <c r="H564" i="3"/>
  <c r="H381" i="3"/>
  <c r="H313" i="3"/>
  <c r="H567" i="3"/>
  <c r="H426" i="3"/>
  <c r="H562" i="3"/>
  <c r="H325" i="3"/>
  <c r="H462" i="3"/>
  <c r="H457" i="3"/>
  <c r="H443" i="3"/>
  <c r="H360" i="3"/>
  <c r="H511" i="3"/>
  <c r="H376" i="3"/>
  <c r="H316" i="3"/>
  <c r="H514" i="3"/>
  <c r="H498" i="3"/>
  <c r="H448" i="3"/>
  <c r="H388" i="3"/>
  <c r="H339" i="3"/>
  <c r="H329" i="3"/>
  <c r="H324" i="3"/>
  <c r="H322" i="3"/>
  <c r="H296" i="3"/>
  <c r="H154" i="3"/>
  <c r="H126" i="3"/>
  <c r="H92" i="3"/>
  <c r="H67" i="3"/>
  <c r="H143" i="3"/>
  <c r="H180" i="3"/>
  <c r="H237" i="3"/>
  <c r="H446" i="3"/>
  <c r="H413" i="3"/>
  <c r="H400" i="3"/>
  <c r="H399" i="3"/>
  <c r="H304" i="3"/>
  <c r="H243" i="3"/>
  <c r="H224" i="3"/>
  <c r="H205" i="3"/>
  <c r="H202" i="3"/>
  <c r="H198" i="3"/>
  <c r="H172" i="3"/>
  <c r="H129" i="3"/>
  <c r="H82" i="3"/>
  <c r="H65" i="3"/>
  <c r="H235" i="3"/>
  <c r="H241" i="3"/>
  <c r="H505" i="3"/>
  <c r="H353" i="3"/>
  <c r="H337" i="3"/>
  <c r="H506" i="3"/>
  <c r="H444" i="3"/>
  <c r="H439" i="3"/>
  <c r="H309" i="3"/>
  <c r="H269" i="3"/>
  <c r="H49" i="3"/>
  <c r="H227" i="3"/>
  <c r="H422" i="3"/>
  <c r="H273" i="3"/>
  <c r="H230" i="3"/>
  <c r="H518" i="3"/>
  <c r="H499" i="3"/>
  <c r="H473" i="3"/>
  <c r="H465" i="3"/>
  <c r="H449" i="3"/>
  <c r="H336" i="3"/>
  <c r="H311" i="3"/>
  <c r="H182" i="3"/>
  <c r="H104" i="3"/>
  <c r="H31" i="3"/>
  <c r="H24" i="3"/>
  <c r="H415" i="3"/>
  <c r="H351" i="3"/>
  <c r="H328" i="3"/>
  <c r="H317" i="3"/>
  <c r="H312" i="3"/>
  <c r="H306" i="3"/>
  <c r="H275" i="3"/>
  <c r="H274" i="3"/>
  <c r="H257" i="3"/>
  <c r="H221" i="3"/>
  <c r="H193" i="3"/>
  <c r="H189" i="3"/>
  <c r="H184" i="3"/>
  <c r="H169" i="3"/>
  <c r="H94" i="3"/>
  <c r="H207" i="3"/>
  <c r="H146" i="3"/>
  <c r="H139" i="3"/>
  <c r="H128" i="3"/>
  <c r="H101" i="3"/>
  <c r="H83" i="3"/>
  <c r="H61" i="3"/>
  <c r="H56" i="3"/>
  <c r="H52" i="3"/>
  <c r="H48" i="3"/>
  <c r="H39" i="3"/>
  <c r="H18" i="3"/>
  <c r="H510" i="3"/>
  <c r="H472" i="3"/>
  <c r="H470" i="3"/>
  <c r="H456" i="3"/>
  <c r="H519" i="3"/>
  <c r="H520" i="3"/>
  <c r="H517" i="3"/>
  <c r="H513" i="3"/>
  <c r="H503" i="3"/>
  <c r="H504" i="3"/>
  <c r="H495" i="3"/>
  <c r="H463" i="3"/>
  <c r="H437" i="3"/>
  <c r="H438" i="3"/>
  <c r="H395" i="3"/>
  <c r="H512" i="3"/>
  <c r="H497" i="3"/>
  <c r="H489" i="3"/>
  <c r="H474" i="3"/>
  <c r="H458" i="3"/>
  <c r="H430" i="3"/>
  <c r="H410" i="3"/>
  <c r="H405" i="3"/>
  <c r="H349" i="3"/>
  <c r="H433" i="3"/>
  <c r="H379" i="3"/>
  <c r="H375" i="3"/>
  <c r="H335" i="3"/>
  <c r="H303" i="3"/>
  <c r="H298" i="3"/>
  <c r="H286" i="3"/>
  <c r="H248" i="3"/>
  <c r="H191" i="3"/>
  <c r="H192" i="3"/>
  <c r="H151" i="3"/>
  <c r="H293" i="3"/>
  <c r="H229" i="3"/>
  <c r="H213" i="3"/>
  <c r="H214" i="3"/>
  <c r="H176" i="3"/>
  <c r="H141" i="3"/>
  <c r="H123" i="3"/>
  <c r="H124" i="3"/>
  <c r="H109" i="3"/>
  <c r="H15" i="3"/>
  <c r="H326" i="3"/>
  <c r="H323" i="3"/>
  <c r="H307" i="3"/>
  <c r="H291" i="3"/>
  <c r="H287" i="3"/>
  <c r="H278" i="3"/>
  <c r="H217" i="3"/>
  <c r="H204" i="3"/>
  <c r="H194" i="3"/>
  <c r="H196" i="3"/>
  <c r="H178" i="3"/>
  <c r="H179" i="3"/>
  <c r="H152" i="3"/>
  <c r="H153" i="3"/>
  <c r="H130" i="3"/>
  <c r="H121" i="3"/>
  <c r="H108" i="3"/>
  <c r="H96" i="3"/>
  <c r="H97" i="3"/>
  <c r="H72" i="3"/>
  <c r="H73" i="3"/>
  <c r="H22" i="3"/>
  <c r="H63" i="3"/>
  <c r="H34" i="3"/>
  <c r="H20" i="3"/>
  <c r="H16" i="3"/>
  <c r="H482" i="3" l="1"/>
  <c r="H483" i="3"/>
  <c r="H460" i="3"/>
  <c r="G674" i="3"/>
  <c r="H675" i="3"/>
  <c r="H333" i="3"/>
  <c r="G290" i="3"/>
  <c r="H669" i="3"/>
  <c r="H670" i="3"/>
  <c r="H596" i="3"/>
  <c r="H638" i="3"/>
  <c r="H632" i="3"/>
  <c r="H680" i="3"/>
  <c r="H681" i="3"/>
  <c r="H493" i="3"/>
  <c r="H140" i="3"/>
  <c r="H134" i="3"/>
  <c r="H41" i="3"/>
  <c r="H19" i="3"/>
  <c r="H218" i="3"/>
  <c r="H409" i="3"/>
  <c r="H344" i="3"/>
  <c r="H32" i="3"/>
  <c r="H25" i="3"/>
  <c r="H88" i="3"/>
  <c r="H133" i="3"/>
  <c r="H414" i="3"/>
  <c r="H441" i="3"/>
  <c r="H494" i="3"/>
  <c r="H488" i="3"/>
  <c r="H345" i="3"/>
  <c r="H421" i="3"/>
  <c r="H394" i="3"/>
  <c r="H321" i="3"/>
  <c r="H315" i="3"/>
  <c r="H132" i="3"/>
  <c r="H253" i="3"/>
  <c r="H234" i="3"/>
  <c r="H239" i="3"/>
  <c r="H240" i="3"/>
  <c r="H496" i="3"/>
  <c r="H102" i="3"/>
  <c r="H103" i="3"/>
  <c r="H62" i="3"/>
  <c r="H420" i="3"/>
  <c r="H268" i="3"/>
  <c r="H53" i="3"/>
  <c r="H54" i="3"/>
  <c r="H70" i="3"/>
  <c r="H161" i="3"/>
  <c r="H188" i="3"/>
  <c r="H266" i="3"/>
  <c r="H14" i="3"/>
  <c r="H175" i="3"/>
  <c r="H203" i="3"/>
  <c r="H215" i="3"/>
  <c r="H277" i="3"/>
  <c r="H279" i="3"/>
  <c r="H300" i="3"/>
  <c r="H301" i="3"/>
  <c r="H285" i="3"/>
  <c r="H408" i="3"/>
  <c r="H346" i="3"/>
  <c r="H348" i="3"/>
  <c r="H384" i="3"/>
  <c r="H385" i="3"/>
  <c r="H403" i="3"/>
  <c r="H418" i="3"/>
  <c r="H417" i="3"/>
  <c r="H432" i="3"/>
  <c r="H455" i="3"/>
  <c r="H509" i="3"/>
  <c r="H508" i="3"/>
  <c r="H44" i="3"/>
  <c r="H59" i="3"/>
  <c r="H85" i="3"/>
  <c r="H84" i="3"/>
  <c r="H120" i="3"/>
  <c r="H157" i="3"/>
  <c r="H199" i="3"/>
  <c r="H200" i="3"/>
  <c r="H211" i="3"/>
  <c r="H212" i="3"/>
  <c r="H271" i="3"/>
  <c r="H272" i="3"/>
  <c r="H147" i="3"/>
  <c r="H148" i="3"/>
  <c r="H195" i="3"/>
  <c r="H280" i="3"/>
  <c r="H190" i="3"/>
  <c r="H374" i="3"/>
  <c r="H392" i="3"/>
  <c r="H289" i="3"/>
  <c r="H378" i="3"/>
  <c r="H396" i="3"/>
  <c r="H397" i="3"/>
  <c r="H423" i="3"/>
  <c r="H424" i="3"/>
  <c r="H429" i="3"/>
  <c r="H478" i="3"/>
  <c r="H479" i="3"/>
  <c r="H487" i="3"/>
  <c r="H515" i="3"/>
  <c r="H516" i="3"/>
  <c r="H491" i="3"/>
  <c r="H492" i="3"/>
  <c r="H674" i="3" l="1"/>
  <c r="G668" i="3"/>
  <c r="H668" i="3" s="1"/>
  <c r="H290" i="3"/>
  <c r="H595" i="3"/>
  <c r="H393" i="3"/>
  <c r="H38" i="3"/>
  <c r="H355" i="3"/>
  <c r="H502" i="3"/>
  <c r="H412" i="3"/>
  <c r="H314" i="3"/>
  <c r="H265" i="3"/>
  <c r="H233" i="3"/>
  <c r="H247" i="3"/>
  <c r="H251" i="3"/>
  <c r="H156" i="3"/>
  <c r="H107" i="3"/>
  <c r="H42" i="3"/>
  <c r="H43" i="3"/>
  <c r="H26" i="3"/>
  <c r="H27" i="3"/>
  <c r="H453" i="3"/>
  <c r="H454" i="3"/>
  <c r="H167" i="3"/>
  <c r="H13" i="3"/>
  <c r="H186" i="3"/>
  <c r="H187" i="3"/>
  <c r="H160" i="3"/>
  <c r="H68" i="3"/>
  <c r="H69" i="3"/>
  <c r="H486" i="3"/>
  <c r="H427" i="3"/>
  <c r="H428" i="3"/>
  <c r="H373" i="3"/>
  <c r="H106" i="3"/>
  <c r="H164" i="3"/>
  <c r="H119" i="3"/>
  <c r="H57" i="3"/>
  <c r="H58" i="3"/>
  <c r="H402" i="3"/>
  <c r="H354" i="3"/>
  <c r="H347" i="3"/>
  <c r="H407" i="3"/>
  <c r="H173" i="3"/>
  <c r="H174" i="3"/>
  <c r="H281" i="3" l="1"/>
  <c r="H308" i="3"/>
  <c r="H100" i="3"/>
  <c r="H37" i="3"/>
  <c r="H485" i="3"/>
  <c r="H264" i="3"/>
  <c r="H226" i="3"/>
  <c r="H118" i="3"/>
  <c r="H111" i="3"/>
  <c r="H60" i="3"/>
  <c r="H166" i="3"/>
  <c r="H342" i="3"/>
  <c r="H228" i="3"/>
  <c r="H401" i="3"/>
  <c r="H158" i="3"/>
  <c r="H159" i="3"/>
  <c r="H249" i="3"/>
  <c r="H250" i="3"/>
  <c r="H246" i="3"/>
  <c r="H284" i="3" l="1"/>
  <c r="H331" i="3"/>
  <c r="H332" i="3"/>
  <c r="H343" i="3"/>
  <c r="H36" i="3"/>
  <c r="H12" i="3"/>
  <c r="H469" i="3"/>
  <c r="H263" i="3"/>
  <c r="H225" i="3"/>
  <c r="H341" i="3"/>
  <c r="H165" i="3"/>
  <c r="H468" i="3" l="1"/>
  <c r="H216" i="3"/>
  <c r="H145" i="3"/>
  <c r="H467" i="3" l="1"/>
  <c r="H466" i="3" l="1"/>
  <c r="H245" i="3" l="1"/>
  <c r="D11" i="12"/>
  <c r="D10" i="12" s="1"/>
  <c r="E11" i="12"/>
  <c r="E10" i="12" s="1"/>
  <c r="F11" i="12"/>
  <c r="F10" i="12" s="1"/>
  <c r="D16" i="12"/>
  <c r="E16" i="12"/>
  <c r="F16" i="12"/>
  <c r="D14" i="12"/>
  <c r="E14" i="12"/>
  <c r="F14" i="12"/>
  <c r="D13" i="12" l="1"/>
  <c r="E13" i="12"/>
  <c r="E18" i="12"/>
  <c r="D18" i="12"/>
  <c r="F18" i="12"/>
  <c r="F13" i="12"/>
  <c r="C11" i="12" l="1"/>
  <c r="C10" i="12" s="1"/>
  <c r="C18" i="12" s="1"/>
  <c r="C13" i="12" l="1"/>
  <c r="H559" i="3"/>
  <c r="H558" i="3" s="1"/>
  <c r="H557" i="3" s="1"/>
  <c r="H556" i="3" s="1"/>
  <c r="H555" i="3" s="1"/>
  <c r="H554" i="3" s="1"/>
  <c r="H553" i="3" s="1"/>
  <c r="H552" i="3" s="1"/>
  <c r="H551" i="3" s="1"/>
  <c r="H550" i="3" s="1"/>
  <c r="H549" i="3" s="1"/>
  <c r="H548" i="3" s="1"/>
  <c r="H547" i="3" s="1"/>
  <c r="H546" i="3" s="1"/>
  <c r="H545" i="3" s="1"/>
  <c r="H544" i="3" s="1"/>
  <c r="H543" i="3" s="1"/>
  <c r="H542" i="3" s="1"/>
  <c r="H541" i="3" s="1"/>
  <c r="H540" i="3" s="1"/>
  <c r="H539" i="3" s="1"/>
  <c r="H538" i="3" s="1"/>
  <c r="H537" i="3" s="1"/>
  <c r="H536" i="3" s="1"/>
  <c r="H535" i="3" s="1"/>
  <c r="H534" i="3" s="1"/>
  <c r="H533" i="3" s="1"/>
  <c r="H532" i="3" s="1"/>
  <c r="H531" i="3" s="1"/>
  <c r="H530" i="3" s="1"/>
  <c r="H529" i="3" s="1"/>
  <c r="H528" i="3" s="1"/>
  <c r="H527" i="3" s="1"/>
  <c r="H526" i="3" s="1"/>
  <c r="H525" i="3" s="1"/>
  <c r="H524" i="3" s="1"/>
  <c r="H523" i="3" s="1"/>
  <c r="H522" i="3" s="1"/>
  <c r="H521" i="3" s="1"/>
  <c r="G557" i="3"/>
  <c r="G552" i="3" s="1"/>
  <c r="G551" i="3" s="1"/>
  <c r="G531" i="3" s="1"/>
  <c r="G480" i="3" s="1"/>
  <c r="H480" i="3" l="1"/>
  <c r="G746" i="3"/>
  <c r="H746" i="3" s="1"/>
  <c r="H572" i="3"/>
  <c r="H571" i="3" l="1"/>
  <c r="H570" i="3" l="1"/>
  <c r="H569" i="3" l="1"/>
  <c r="H568" i="3" l="1"/>
  <c r="H451" i="3" l="1"/>
</calcChain>
</file>

<file path=xl/sharedStrings.xml><?xml version="1.0" encoding="utf-8"?>
<sst xmlns="http://schemas.openxmlformats.org/spreadsheetml/2006/main" count="3157" uniqueCount="735">
  <si>
    <t>Развитие деятельности муниципального бюджетного учреждения Городской молодежный центр "Звездный"</t>
  </si>
  <si>
    <t>000 01 03 00 00 00 0000 000</t>
  </si>
  <si>
    <t>Бюджетные кредиты от других бюджетов бюджетной системы 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</si>
  <si>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</si>
  <si>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</si>
  <si>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</si>
  <si>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</si>
  <si>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</si>
  <si>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000 01 05 00 00 00 0000 600</t>
  </si>
  <si>
    <t>Транспорт</t>
  </si>
  <si>
    <t>Профессиональная подготовка, переподготовка и повышение квалификации</t>
  </si>
  <si>
    <t>Предоставление субсидий общественным организациям ветеранов войны, труда, вооруженных сил и правоохранительных органов, инвалидов и т.д.</t>
  </si>
  <si>
    <t>Другие вопросы в области национальной экономики</t>
  </si>
  <si>
    <t>Резервные фонды</t>
  </si>
  <si>
    <t>Массовый спорт</t>
  </si>
  <si>
    <t xml:space="preserve">Другие вопросы в области культуры, кинематографии </t>
  </si>
  <si>
    <t>Средства массовой информации</t>
  </si>
  <si>
    <t>13</t>
  </si>
  <si>
    <t>Обслуживание государственного и муниципального долга</t>
  </si>
  <si>
    <t>Процентные платежи по муниципальному долгу</t>
  </si>
  <si>
    <t>Резервные фонды  местных администраций</t>
  </si>
  <si>
    <t>Прочая закупка товаров, работ и услуг для государственных (муниципальных) нужд</t>
  </si>
  <si>
    <t>Охрана семьи и детства</t>
  </si>
  <si>
    <t>730</t>
  </si>
  <si>
    <t>Обслуживание муниципального долга</t>
  </si>
  <si>
    <t>Другие вопросы в области средств массовой информации</t>
  </si>
  <si>
    <t>Реализация государственных полномочий по созданию, исполнению полномочий и обеспечению деятельности комиссий по делам несовершеннолетних и защите их прав</t>
  </si>
  <si>
    <t>Осуществление  государственных полномочий Тверской области по созданию административных комиссий</t>
  </si>
  <si>
    <t>Функционирование высшего должностного лица субъекта Российской Федерации и муниципального образования</t>
  </si>
  <si>
    <t>Органы юстиции</t>
  </si>
  <si>
    <t xml:space="preserve">Культура и кинематография </t>
  </si>
  <si>
    <t>Другие вопросы в области национальной безопасности и правоохранительной деятельности</t>
  </si>
  <si>
    <t>Содержание и благоустройство видовых и памятных мест города Удомля</t>
  </si>
  <si>
    <t>Содержание и ремонт детских и спортивных площадок</t>
  </si>
  <si>
    <t>9940000000</t>
  </si>
  <si>
    <t>Подпрограмма "Организация похоронного дела"</t>
  </si>
  <si>
    <t xml:space="preserve">Центральный аппарат </t>
  </si>
  <si>
    <t>Расходы на обеспечение деятельности представительного органа местного самоуправления</t>
  </si>
  <si>
    <t>Расходы на обеспечение деятельности исполнительного органа местного самоуправления</t>
  </si>
  <si>
    <t>0230000000</t>
  </si>
  <si>
    <t>023012001Б</t>
  </si>
  <si>
    <t>023012002Б</t>
  </si>
  <si>
    <t>023012003Б</t>
  </si>
  <si>
    <t>0290000000</t>
  </si>
  <si>
    <t>0700000000</t>
  </si>
  <si>
    <t>0710000000</t>
  </si>
  <si>
    <t>0730000000</t>
  </si>
  <si>
    <t>1300000000</t>
  </si>
  <si>
    <t>1310000000</t>
  </si>
  <si>
    <t>1320000000</t>
  </si>
  <si>
    <t>999002401Ц</t>
  </si>
  <si>
    <t>999002402Ц</t>
  </si>
  <si>
    <t>998002404С</t>
  </si>
  <si>
    <t>992002001А</t>
  </si>
  <si>
    <t>998002406С</t>
  </si>
  <si>
    <t>Отдельные мероприятия, не включенные в муниципальные программы</t>
  </si>
  <si>
    <t>Реализация  функций, связанных с общегосударственным управлением</t>
  </si>
  <si>
    <t>Прочие выплаты по обязательствам муниципального образования</t>
  </si>
  <si>
    <t>Коммунальное хозяйство</t>
  </si>
  <si>
    <t>Жилищное хозяйство</t>
  </si>
  <si>
    <t>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 дошкольного образования</t>
  </si>
  <si>
    <t>Подпрограмма "Модернизация дошкольного и общего образования"</t>
  </si>
  <si>
    <t>021012002Г</t>
  </si>
  <si>
    <t>Оплата услуг средствам массовой информации о деятельности органов местного самоуправления, размещение  объявлений о деятельности органов местного самоуправления в печатных изданиях</t>
  </si>
  <si>
    <t>0220000000</t>
  </si>
  <si>
    <t>022012001Б</t>
  </si>
  <si>
    <t>022012002Б</t>
  </si>
  <si>
    <t>Финансовое обеспечение повышения квалификации и профессиональной подготовки педагогических кадров</t>
  </si>
  <si>
    <t>Организация отдыха детей</t>
  </si>
  <si>
    <t>Обеспечивающая подпрограмма</t>
  </si>
  <si>
    <t>Финансовое обеспечение проведения муниципальных мероприятий с одаренными и высокомотивированными обучающимися, воспитанниками</t>
  </si>
  <si>
    <t>Жилищно-коммунальное хозяйство</t>
  </si>
  <si>
    <t>Благоустройство</t>
  </si>
  <si>
    <t>Организационное и методическое сопровождение государственной итоговой аттестации</t>
  </si>
  <si>
    <t>111012001Б</t>
  </si>
  <si>
    <t>1100000000</t>
  </si>
  <si>
    <t>1110000000</t>
  </si>
  <si>
    <t>111012002Б</t>
  </si>
  <si>
    <t>1120000000</t>
  </si>
  <si>
    <t>112012001Б</t>
  </si>
  <si>
    <t>1130000000</t>
  </si>
  <si>
    <t>113012001Б</t>
  </si>
  <si>
    <t>113012002Б</t>
  </si>
  <si>
    <t>1140000000</t>
  </si>
  <si>
    <t>114012001Б</t>
  </si>
  <si>
    <t>114012002Б</t>
  </si>
  <si>
    <t>1200000000</t>
  </si>
  <si>
    <t>1210000000</t>
  </si>
  <si>
    <t>121012001Б</t>
  </si>
  <si>
    <t>121012002Б</t>
  </si>
  <si>
    <t>122012001Б</t>
  </si>
  <si>
    <t>1220000000</t>
  </si>
  <si>
    <t>1230000000</t>
  </si>
  <si>
    <t>123012001Б</t>
  </si>
  <si>
    <t>1240000000</t>
  </si>
  <si>
    <t>124012001Б</t>
  </si>
  <si>
    <t>124012002Б</t>
  </si>
  <si>
    <t>0200000000</t>
  </si>
  <si>
    <t>0210000000</t>
  </si>
  <si>
    <t>021012001Д</t>
  </si>
  <si>
    <t>Командирование спортсменов муниципального образования для участия в официальных областных спортивно-массовых мероприятиях и соревнованиях</t>
  </si>
  <si>
    <t>120</t>
  </si>
  <si>
    <t>Расходы на выплаты персоналу государственных (муниципальных) органов</t>
  </si>
  <si>
    <t>110</t>
  </si>
  <si>
    <t>Подпрограмма "Улучшение и сохранность состояния окружающей среды"</t>
  </si>
  <si>
    <t>0600000000</t>
  </si>
  <si>
    <t>0610000000</t>
  </si>
  <si>
    <t>0900000000</t>
  </si>
  <si>
    <t>0910000000</t>
  </si>
  <si>
    <t>091012001Б</t>
  </si>
  <si>
    <t>0300000000</t>
  </si>
  <si>
    <t>0310000000</t>
  </si>
  <si>
    <t>031022001Б</t>
  </si>
  <si>
    <t>031022003Б</t>
  </si>
  <si>
    <t>1000000000</t>
  </si>
  <si>
    <t>1010000000</t>
  </si>
  <si>
    <t>0100000000</t>
  </si>
  <si>
    <t>0110000000</t>
  </si>
  <si>
    <t>0120000000</t>
  </si>
  <si>
    <t>0190000000</t>
  </si>
  <si>
    <t>012012002Б</t>
  </si>
  <si>
    <t>019002001С</t>
  </si>
  <si>
    <t>042012002Б</t>
  </si>
  <si>
    <t>Подпрограмма "Обеспечение инновационного характера образования"</t>
  </si>
  <si>
    <t>Организация выездов представителей молодежных общественных объединений на областные, межрегиональные, всероссийские мероприятия</t>
  </si>
  <si>
    <t>Расходы на выплату персоналу государственных (муниципальных) органов</t>
  </si>
  <si>
    <t>Подпрограмма "Реализация социальной политики"</t>
  </si>
  <si>
    <t>360</t>
  </si>
  <si>
    <t>Иные выплаты населению</t>
  </si>
  <si>
    <t>Подпрограмма "Обеспечение жильем отдельных категорий граждан"</t>
  </si>
  <si>
    <t>870</t>
  </si>
  <si>
    <t>Резервные средства</t>
  </si>
  <si>
    <t>01</t>
  </si>
  <si>
    <t>02</t>
  </si>
  <si>
    <t>Общегосударственные вопросы</t>
  </si>
  <si>
    <t>03</t>
  </si>
  <si>
    <t>04</t>
  </si>
  <si>
    <t>05</t>
  </si>
  <si>
    <t>06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</si>
  <si>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</si>
  <si>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</si>
  <si>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</si>
  <si>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</si>
  <si>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08</t>
  </si>
  <si>
    <t>11</t>
  </si>
  <si>
    <t>Сельское хозяйство и рыболовство</t>
  </si>
  <si>
    <t>07</t>
  </si>
  <si>
    <t>Образование</t>
  </si>
  <si>
    <t>Культура</t>
  </si>
  <si>
    <t>Дошкольное 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</si>
  <si>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</si>
  <si>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</si>
  <si>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</si>
  <si>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</si>
  <si>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Пенсионное обеспечение</t>
  </si>
  <si>
    <t>Глава муниципального образования</t>
  </si>
  <si>
    <t>Центральный аппарат</t>
  </si>
  <si>
    <t>Социальное обеспечение населения</t>
  </si>
  <si>
    <t>Увеличение остатков средств бюджетов</t>
  </si>
  <si>
    <t>Уменьшение остатков средств бюджетов</t>
  </si>
  <si>
    <t>14</t>
  </si>
  <si>
    <t>12</t>
  </si>
  <si>
    <t>Физическая культура и спорт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</si>
  <si>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</si>
  <si>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</si>
  <si>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</si>
  <si>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Общеэкономические вопросы</t>
  </si>
  <si>
    <t>Расходы на выплаты персоналу казенных учреждений</t>
  </si>
  <si>
    <t>850</t>
  </si>
  <si>
    <t>Уплата налогов, сборов и иных платежей</t>
  </si>
  <si>
    <t>Финансовое обеспечение массовых мероприятий муниципального значения, способствующих духовно-нравственному воспитанию детей и формированию гражданской позиции</t>
  </si>
  <si>
    <t>Финансовое обеспечение мероприятий по формированию здорового образа жизни</t>
  </si>
  <si>
    <t>Финансовое обеспечение поощрения лучших педагогов, работающих в муниципальной сети профильных курсов</t>
  </si>
  <si>
    <t>Организационно-методическое сопровождение организации и обеспечения подвоза учащихся и воспитанников общеобразовательных, дошкольных образовательных учреждений</t>
  </si>
  <si>
    <t>Председатель городской Думы</t>
  </si>
  <si>
    <t>999002501Ц</t>
  </si>
  <si>
    <t>998002300C</t>
  </si>
  <si>
    <t>2019 год</t>
  </si>
  <si>
    <t xml:space="preserve">Расходы, не включенные в муниципальные программы </t>
  </si>
  <si>
    <t>Расходы, не включенные в муниципальные программы</t>
  </si>
  <si>
    <t>0800000000</t>
  </si>
  <si>
    <t>0810000000</t>
  </si>
  <si>
    <t>Подпрограмма "Разработка и реализация Генерального плана и ПЗЗ на территории Удомельского городского округа "</t>
  </si>
  <si>
    <t>061012001Б</t>
  </si>
  <si>
    <t>Ликвидация несанкционированных мест размещения отходов производства и потребления</t>
  </si>
  <si>
    <t>051012001Б</t>
  </si>
  <si>
    <t>Подпрограмма "Расселение аварийного жилищного фонда Удомельского городского округа"</t>
  </si>
  <si>
    <t>052012002Б</t>
  </si>
  <si>
    <t>Подпрограмма "Капитальный ремонт общего имущества в многоквартирных домах на территории Удомельского городского округа"</t>
  </si>
  <si>
    <t>0510000000</t>
  </si>
  <si>
    <t>0520000000</t>
  </si>
  <si>
    <t>0530000000</t>
  </si>
  <si>
    <t>Уплата взносов на проведение капитального ремонта общего имущества в многоквартирных домах, в части муниципального жилищного фонда Удомельского городского округа</t>
  </si>
  <si>
    <t>053012001Б</t>
  </si>
  <si>
    <t>0500000000</t>
  </si>
  <si>
    <t>132032001Э</t>
  </si>
  <si>
    <t>132012001Б</t>
  </si>
  <si>
    <t>132022001Ж</t>
  </si>
  <si>
    <t>Молодежная политика</t>
  </si>
  <si>
    <t>Дополнительное образование детей</t>
  </si>
  <si>
    <t>Подпрограмма "Управление имуществом Удомельского городского округа"</t>
  </si>
  <si>
    <t>Проведение инвентаризации муниципального имущества Удомельского городского округа</t>
  </si>
  <si>
    <t>031012003Б</t>
  </si>
  <si>
    <t xml:space="preserve">Оценка рыночной стоимости объектов недвижимости и рыночной стоимости арендной платы за объекты муниципального имущества </t>
  </si>
  <si>
    <t>Содержание объектов нежилого фонда муниципальной казны Удомельского городского округа</t>
  </si>
  <si>
    <t>Подпрограмма "Управление земельными ресурсами Удомельского городского округа"</t>
  </si>
  <si>
    <t>0320000000</t>
  </si>
  <si>
    <t>Организация работ по формированию земельных участков, в том числе по объектам жилищно-коммунального хозяйства</t>
  </si>
  <si>
    <t>032012004Б</t>
  </si>
  <si>
    <t>Подпрограмма "Сохранность автомобильных дорог общего пользования местного значения на территории Удомельского городского округа"</t>
  </si>
  <si>
    <t>Подпрограмма "Содействие в развитии сельского хозяйства на территории  Удомельского городского округа"</t>
  </si>
  <si>
    <t>Подпрограмма "Поддержка средств массовой информации муниципального образования Удомельский городской округ"</t>
  </si>
  <si>
    <t>042012003Б</t>
  </si>
  <si>
    <t>042012004Б</t>
  </si>
  <si>
    <t>043012001Ж</t>
  </si>
  <si>
    <t>Формирование земельных участков для бесплатного предоставления многодетным гражданам</t>
  </si>
  <si>
    <t>043022001Ж</t>
  </si>
  <si>
    <t>Приобретение  жилых помещений для детей-сирот, детей, оставшихся без попечения родителей за счет средств областного бюджета Тверской области</t>
  </si>
  <si>
    <t>Оказание социальной материальной помощи  гражданам, находящимся в трудной жизненной ситуации</t>
  </si>
  <si>
    <t>Финансирование расходов на борьбу с борщевиком Сосновского</t>
  </si>
  <si>
    <t>Оплата услуг средствам массовой информации за размещение информации о деятельности органов местного самоуправления, объявлений о деятельности органов местного самоуправления в телевизионном эфире</t>
  </si>
  <si>
    <t>Предоставление субсидий муниципальным унитарным предприятиям коммунального хозяйства на возмещение нормативных затрат, связанных с оказанием ими услуг</t>
  </si>
  <si>
    <t>Сохранение и развитие библиотечного дела в Удомельском городском округе</t>
  </si>
  <si>
    <t>Подпрограмма "Культура Удомельского городского округа"</t>
  </si>
  <si>
    <t>Организация и проведение культурно-досуговых мероприятий и развитие народного творчества в Удомельском городском округе</t>
  </si>
  <si>
    <t>021012003Г</t>
  </si>
  <si>
    <t>Развитие дополнительного образования в сфере культуры и искусства</t>
  </si>
  <si>
    <t>Популяризация и пропаганда деятельности по сохранению объектов культурного наследия Удомельского городского округа</t>
  </si>
  <si>
    <t>Проведение официальных муниципальных физкультурно-оздоровительных и спортивных мероприятий для всех возрастных групп и категорий населения муниципального образования Удомельского городского округа</t>
  </si>
  <si>
    <t xml:space="preserve">Подпрограмма "Молодежь Удомельского городского округа" </t>
  </si>
  <si>
    <t>Организация и проведение творческих  мероприятий для детей и молодежи</t>
  </si>
  <si>
    <t>Создание временных специализированных рабочих мест для несовершеннолетних граждан в возрасте от 14 до 18 лет, трудоустроенных в свободное от учебы время</t>
  </si>
  <si>
    <t xml:space="preserve">Подпрограмма "Противодействие незаконному обороту наркотиков, наркомании, алкоголизму, табакокурению и другим видам зависимости в Удомельском городском округе" </t>
  </si>
  <si>
    <t>Проведение мероприятий для подростков и молодежи, направленных на формирование здорового образа жизни и  негативного отношения к наркомании, алкоголизму , табакокурению. Поддержка детского и молодежного самодеятельного творчества</t>
  </si>
  <si>
    <t>029002001С</t>
  </si>
  <si>
    <t>Социальная реклама</t>
  </si>
  <si>
    <t>Финансовое обеспечение компенсации расходов на оплату жилых помещений, отопления и освещения педагогическим работникам образовательных учреждений, проживающим и работающим в сельских населенных пунктах Удомельского городского округа</t>
  </si>
  <si>
    <t>Финансовое обеспечение деятельности муниципального центра тестирования ГТО</t>
  </si>
  <si>
    <t>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</t>
  </si>
  <si>
    <t>Содержание улично-дорожной сети в городе Удомля</t>
  </si>
  <si>
    <t>091012003Б</t>
  </si>
  <si>
    <t>091012004Б</t>
  </si>
  <si>
    <t>091012005Б</t>
  </si>
  <si>
    <t>Подпрограмма "Организации регулярных перевозок пассажиров и багажа автомобильным транспортом на территории Удомельского городского округа"</t>
  </si>
  <si>
    <t>Подпрограмма "Общественная безопасность и профилактика правонарушений на территории Удомельского городского округа"</t>
  </si>
  <si>
    <t>101012001Б</t>
  </si>
  <si>
    <t>Обслуживание газового хозяйства северной части города Удомля</t>
  </si>
  <si>
    <t>0740000000</t>
  </si>
  <si>
    <t>0750000000</t>
  </si>
  <si>
    <t>075012001Б</t>
  </si>
  <si>
    <t>074012001Б</t>
  </si>
  <si>
    <t>Содержание объектов коммунального хозяйства</t>
  </si>
  <si>
    <t>Подпрограмма "Содержание, озеленение и благоустройство территории города Удомля "</t>
  </si>
  <si>
    <t>121012003Б</t>
  </si>
  <si>
    <t>Организация и содержание мест захоронений (кладбищ)</t>
  </si>
  <si>
    <t>Подпрограмма "Улучшение состояния и содержание территории города Удомля"</t>
  </si>
  <si>
    <t>Содержание и благоустройство видовых и памятных мест сельских территорий Удомельского городского округа</t>
  </si>
  <si>
    <t>Ремонт и благоустройство территорий населенных пунктов, расположенных на сельских территориях Удомельского городского округа (ремонт покрытий, устройство пешеходных дорожек, мостиков и т.п.)</t>
  </si>
  <si>
    <t>995002001Д</t>
  </si>
  <si>
    <t>9950000000</t>
  </si>
  <si>
    <t>Казенные учреждения, не включенные в муниципальные программы</t>
  </si>
  <si>
    <t>995002002Д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</si>
  <si>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</si>
  <si>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000 01 03 00 00 04 0000 810</t>
  </si>
  <si>
    <t>Увеличение прочих остатков денежных средств бюджетов городских округов</t>
  </si>
  <si>
    <t>000 01 05 02 01 04 0000 510</t>
  </si>
  <si>
    <t>Уменьшение прочих остатков денежных средств бюджетов городских округов</t>
  </si>
  <si>
    <t>000 01 05 02 01 04 0000 610</t>
  </si>
  <si>
    <t>994002300Б</t>
  </si>
  <si>
    <t>995002003Д</t>
  </si>
  <si>
    <t xml:space="preserve"> Итого источники финансирования дефицита бюджета </t>
  </si>
  <si>
    <t>Обслуживание государственного внутреннего и муниципального долга</t>
  </si>
  <si>
    <t>Дорожное хозяйство (дорожные фонды)</t>
  </si>
  <si>
    <t>Подпрограмма "Повышение пожарной безопасности на территории Удомельского городского округа"</t>
  </si>
  <si>
    <t>071012001Б</t>
  </si>
  <si>
    <t>Подпрограмма "Содержание объектов коммунального хозяйства сельских территорий Удомельского городского округа"</t>
  </si>
  <si>
    <t>Контрольно-счетная комиссия Удомельского городского округа</t>
  </si>
  <si>
    <t>Подпрограмма "Физическая культура и спорт  Удомельского городского округа"</t>
  </si>
  <si>
    <t>Приобретение жилых помещений для малоимущих многодетных семей за счет местного бюджета</t>
  </si>
  <si>
    <t>Подпрограмма "Снижение рисков и смягчение последствий чрезвычайных ситуаций на территории Удомельского городского округа"</t>
  </si>
  <si>
    <t>Подпрограмма "Осуществление мероприятий по обеспечению безопасности людей на водных объектах Удомельского городского округа"</t>
  </si>
  <si>
    <t>Организация содержания мест захоронений (кладбищ)</t>
  </si>
  <si>
    <t>Оплата услуг средствам массовой информации  за размещение информации о деятельности органов местного самоуправления, объявлений о деятельности органов местного самоуправления в радиоэфире</t>
  </si>
  <si>
    <t>Оснащение и модернизация сил и средств для оповещения населения об угрозе возникновения или о возникновении чрезвычайных ситуаций</t>
  </si>
  <si>
    <t>Организация и проведение акций, посвященных памятным датам истории России, государственным символам Российской Федерации</t>
  </si>
  <si>
    <t>023022001Г</t>
  </si>
  <si>
    <t xml:space="preserve"> Приложение 2</t>
  </si>
  <si>
    <t>к постановлению Администрации</t>
  </si>
  <si>
    <t>Удомельского городского округа</t>
  </si>
  <si>
    <t>Код раздела, подраздела</t>
  </si>
  <si>
    <t>Код целевой статьи</t>
  </si>
  <si>
    <t>Вид расходов</t>
  </si>
  <si>
    <t>Наименование расходов</t>
  </si>
  <si>
    <t>Кассовое исполнение (тыс.руб.)</t>
  </si>
  <si>
    <t>Исполнено в %</t>
  </si>
  <si>
    <t xml:space="preserve"> Приложение 3</t>
  </si>
  <si>
    <t>Код</t>
  </si>
  <si>
    <t>Наименование</t>
  </si>
  <si>
    <t xml:space="preserve">          Приложение 4</t>
  </si>
  <si>
    <t xml:space="preserve">          к постановлению Администрации</t>
  </si>
  <si>
    <t>Раздел/подраздел</t>
  </si>
  <si>
    <t>Целевая статья</t>
  </si>
  <si>
    <t>Мероприятия, на которые направлены выделенные ассигнования</t>
  </si>
  <si>
    <t>Главный распорядитель средств</t>
  </si>
  <si>
    <t>Сумма выделенных ассигнований из резервного фонда (руб.)</t>
  </si>
  <si>
    <t>Исполнено (руб.)</t>
  </si>
  <si>
    <t>Итого средств выделенных из резервного фонда</t>
  </si>
  <si>
    <t xml:space="preserve">          Удомельского  городского округа</t>
  </si>
  <si>
    <t>Утверждено решением о бюджете Удомельского городского округа с учетом изменений (тыс.руб.)</t>
  </si>
  <si>
    <t>240</t>
  </si>
  <si>
    <t>Иные закупки товаров, работ и услуг для обеспечения государственных (муниципальных) нужд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</si>
  <si>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</si>
  <si>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</si>
  <si>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830</t>
  </si>
  <si>
    <t>Исполнение судебных актов</t>
  </si>
  <si>
    <t>Расходы на обеспечение деятельности казенного учреждения Централизованная бухгалтерия</t>
  </si>
  <si>
    <t xml:space="preserve">Расходы на обеспечение деятельности казенного учреждения </t>
  </si>
  <si>
    <t>Центральный аппарат ЗАГС</t>
  </si>
  <si>
    <t>Оснащение сил и средств гражданской обороны, создание материальных запасов</t>
  </si>
  <si>
    <t>Подпрограмма" Профилактика терроризма и экстремизма на территории Удомельского городского округа"</t>
  </si>
  <si>
    <t>Изготовление наглядной агитации: памятки, плакаты, рекламные щиты</t>
  </si>
  <si>
    <t>Информирование населения по противодействию терроризму и экстремизму</t>
  </si>
  <si>
    <t>Информирование населения по безопасному нахождению на водных объектах</t>
  </si>
  <si>
    <t>Расходы на обеспечение деятельности казенного учреждения ГО и ЧС</t>
  </si>
  <si>
    <t>023022002В</t>
  </si>
  <si>
    <t>610</t>
  </si>
  <si>
    <t>Субсидии бюджетным учреждениям</t>
  </si>
  <si>
    <t>810</t>
  </si>
  <si>
    <t>041012002Б</t>
  </si>
  <si>
    <t>0920000000</t>
  </si>
  <si>
    <t>09201S0300</t>
  </si>
  <si>
    <t>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</t>
  </si>
  <si>
    <t>092012003Б</t>
  </si>
  <si>
    <t>Организация  транспортного обслуживания населения на муниципальных маршрутах регулярных перевозок сверх минимальных социальных требований, установленных Правительством Тверской области</t>
  </si>
  <si>
    <t>1600000000</t>
  </si>
  <si>
    <t>1610000000</t>
  </si>
  <si>
    <t>Подпрограмма "Повышение безопасности дорожного движения на территории Удомельского городского округа"</t>
  </si>
  <si>
    <t>161012001Б</t>
  </si>
  <si>
    <t>Создание и развитие школы малого и среднего предпринимательства</t>
  </si>
  <si>
    <t>Подпрограмма "Содержание и ремонт муниципального жилищного фонда Удомельского городского округа"</t>
  </si>
  <si>
    <t>Содержания муниципальных жилых помещений до момента их предоставления в пользование гражданам</t>
  </si>
  <si>
    <t>Обследование многоквартирных домов, домов блокированной застройки, в которых находится муниципальная собственность Удомельского городского округа, для признания таких домов аварийными, подлежащими сносу или реконструкции, а также муниципальных жилых помещений для признания пригодными (не пригодными) для проживания граждан</t>
  </si>
  <si>
    <t>320</t>
  </si>
  <si>
    <t>Социальные выплаты гражданам, кроме публичных нормативных социальных выплат</t>
  </si>
  <si>
    <t>410</t>
  </si>
  <si>
    <t xml:space="preserve"> Бюджетные инвестиции</t>
  </si>
  <si>
    <t xml:space="preserve">Подпрограмма "Предоставление субсидий муниципальным унитарным предприятиям на возмещение нормативных затрат, связанных с оказанием ими услуг, юридическим лицам (за исключением субсидий государственным (муниципальным) учреждениям), индивидуальным предпринимателям, оказывающим услуги для граждан" </t>
  </si>
  <si>
    <t>073012002Б</t>
  </si>
  <si>
    <t>Выполнение работ по разработке проектно-сметной документации</t>
  </si>
  <si>
    <t>Проведение капитального ремонта объектов теплоэнергетических комплексов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</si>
  <si>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</si>
  <si>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Озеленение видовых и памятных мест на территории города, в том числе приобретение, посадка цветов, уход за ними, покос травы, стрижка кустов и спиливание деревьев</t>
  </si>
  <si>
    <t>Санитарная очистка города (сбор, вывоз, утилизация ТКО и КГМ)</t>
  </si>
  <si>
    <t>Подпрограмма "Создание условий для формирования современной городской среды и обустройства мест массового отдыха населения (общественной территории) на территории Удомельского городского округа"</t>
  </si>
  <si>
    <t>14101S5550</t>
  </si>
  <si>
    <t>Реализация мероприятий приоритетного проекта "Формирование комфортной городской среды" из средств собственников МКД</t>
  </si>
  <si>
    <t>141012004Б</t>
  </si>
  <si>
    <t>Расходы на обеспечение муниципального задания на оказание муниципальных услуг (выполнение работ) муниципальных бюджетных образовательных учреждений дошкольного образования</t>
  </si>
  <si>
    <t>Финансовое обеспечение мероприятий капитального ремонта и укрепления материально-технической базы муниципальных общеобразовательных  учреждений</t>
  </si>
  <si>
    <t>Финансовое обеспечение мероприятий по подвозу учащихся из средств областного бюджета</t>
  </si>
  <si>
    <t>Расходы на обеспечение муниципального задания на оказание муниципальных услуг (выполнение работ) муниципальных бюджетных общеобразовательных учреждений</t>
  </si>
  <si>
    <t>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</t>
  </si>
  <si>
    <t>Финансовое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детей</t>
  </si>
  <si>
    <t>Финансовое 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 за счет средств областного бюджета Тверской области</t>
  </si>
  <si>
    <t>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</t>
  </si>
  <si>
    <t>Повышение заработной платы работникам учреждений дополнительного образования в сфере культуры и искусства из бюджета Удомельского городского округа</t>
  </si>
  <si>
    <t>Финансовое обеспечение отдыха, оздоровления и занятости детей и подростков из областного бюджета Тверской области</t>
  </si>
  <si>
    <t>Финансовое обеспечение материальной помощи педагогам-молодым специалистам</t>
  </si>
  <si>
    <t>Расходы  на руководство и управление   главного администратора программы (Управления образования Администрации Удомельского городского округа</t>
  </si>
  <si>
    <t>Повышение заработной платы работникам муниципальных учреждений культуры  из бюджета Удомельского городского округа</t>
  </si>
  <si>
    <t>021032002Б</t>
  </si>
  <si>
    <t>Расходы на руководство и управление администратора программы (Управление культуры, спорта и молодежной политики Администрации Удомельского городского округа)</t>
  </si>
  <si>
    <t>310</t>
  </si>
  <si>
    <t>Публичные нормативные социальные выплаты гражданам</t>
  </si>
  <si>
    <t>13101S0290</t>
  </si>
  <si>
    <t>Бюджетные инвестиции</t>
  </si>
  <si>
    <t>630</t>
  </si>
  <si>
    <t>Финансовое обеспечение компенсационной части родительской платы за дошкольное образование детей</t>
  </si>
  <si>
    <t>Приобретение  жилых помещений для детей-сирот, детей, оставшихся без попечения родителей</t>
  </si>
  <si>
    <t>04201S0320</t>
  </si>
  <si>
    <t>994002001Б</t>
  </si>
  <si>
    <t>Организация  транспортного обслуживания населения на муниципальных маршрутах регулярных перевозок по регулируемым тарифам в границах Удомельского городского округа  за счет средств областного бюджета</t>
  </si>
  <si>
    <t>Муниципальная программа "Управление имуществом и земельными ресурсами Удомельского городского округа на 2019-2023 годы"</t>
  </si>
  <si>
    <t>031022002Б</t>
  </si>
  <si>
    <t>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Удомельский городской округ</t>
  </si>
  <si>
    <t>Муниципальная программа "Разработка документов по территориальному планированию Удомельского городского округа на 2019-2023 годы"</t>
  </si>
  <si>
    <t>081012002Б</t>
  </si>
  <si>
    <t>Разработка материалов по описанию границ сельских населенных пунктов на основании Генерального плана Удомельского городского округа</t>
  </si>
  <si>
    <t>Муниципальная программа "Обеспечение  безопасности  жизнедеятельности населения Удомельского городского округа на 2019-2023 годы"</t>
  </si>
  <si>
    <t>Обеспечение первичных мер пожарной безопасности в границах населенных пунктов Удомельского городского округа в части содержания имущества</t>
  </si>
  <si>
    <t>112012002Б</t>
  </si>
  <si>
    <t>Обеспечение первичных мер пожарной безопасности в границах населенных пунктов Удомельского городского округа</t>
  </si>
  <si>
    <t>Муниципальная программа "Профилактика правонарушений на территории Удомельского городского округа на 2019-2023 годы"</t>
  </si>
  <si>
    <t>Предоставление компенсаций членам добровольной народной дружины Удомельского городского округа, участвовавшим в охране общественного порядка</t>
  </si>
  <si>
    <t>Муниципальная программа "Развитие культуры, спорта и молодежной политики Удомельского городского округа на 2019-2023 годы"</t>
  </si>
  <si>
    <t>Муниципальная программа "Создание условий для экономического развития Удомельского городского округа на 2019-2023 годы"</t>
  </si>
  <si>
    <t>Муниципальная программа "Содержание и благоустройство территории Удомельского городского округа  на 2019-2023 годы"</t>
  </si>
  <si>
    <t>Муниципальная программа "Развитие транспортного комплекса и дорожного хозяйства  на территории Удомельского городского округа на 2019-2023 годы"</t>
  </si>
  <si>
    <t>Ремонт (капитальный ремонт) тротуаров на территории г.Удомля</t>
  </si>
  <si>
    <t>09101S1020</t>
  </si>
  <si>
    <t>Ремонт дворовых территорий многоквартирных домов, проездов к дворовым территориям многоквартирных домов</t>
  </si>
  <si>
    <t>Ремонт дворовых территорий многоквартирных домов, проездов к дворовым территориям многоквартирных домов за счет средств областного бюджета</t>
  </si>
  <si>
    <t>09101S1050</t>
  </si>
  <si>
    <t>Выполнение работ по ремонту дорог общего пользования</t>
  </si>
  <si>
    <t>Ремонт автомобильных дорог за счет средств областного бюджета</t>
  </si>
  <si>
    <t>Муниципальная программа "Повышение безопасности дорожного движения на территории Удомельского городского округа на 2019-2023 годы"</t>
  </si>
  <si>
    <t>Нанесение осевой горизонтальной разметки  на территории  Удомельского городского округа</t>
  </si>
  <si>
    <t xml:space="preserve">Обеспечение безопасности дорожного движения на автомобильных дорогах общего пользования местного значения </t>
  </si>
  <si>
    <t>Обеспечение безопасности дорожного движения на автомобильных дорогах общего пользования местного значения за счет средств областного бюджета</t>
  </si>
  <si>
    <t>032022001Б</t>
  </si>
  <si>
    <t>Подпрограмма "Развитие  и поддержка субъектов малого и среднего предпринимательства"</t>
  </si>
  <si>
    <t>Муниципальная программа "Управление жилищным фондом Удомельского городского округа на 2019-2023 годы"</t>
  </si>
  <si>
    <t>051022001Б</t>
  </si>
  <si>
    <t>Проведение текущего ремонта муниципального жилого фонда</t>
  </si>
  <si>
    <t>052012001Б</t>
  </si>
  <si>
    <t>Определение стоимости возмещения за жилое помещение в аварийном жилищном фонде Удомельского городского округа</t>
  </si>
  <si>
    <t>Муниципальная программа "Комплекс мероприятий  по содержанию коммунального и газового хозяйства Удомельского городского округа на 2019-2023 годы"</t>
  </si>
  <si>
    <t>071022001Б</t>
  </si>
  <si>
    <t>Страхование газового хозяйства северной части города Удомля</t>
  </si>
  <si>
    <t>0720000000</t>
  </si>
  <si>
    <t>Подпрограмма "Энергосбережение и повышение энергетической эффективности"</t>
  </si>
  <si>
    <t>Подпрограмма "Развитие инженерных сетей округа"</t>
  </si>
  <si>
    <t>07302S0700</t>
  </si>
  <si>
    <t>Содержание объектов теплоэнергетического комплекса в сельских населенных пунктах Удомельского городского округа</t>
  </si>
  <si>
    <t>074012002Б</t>
  </si>
  <si>
    <t>994002900Б</t>
  </si>
  <si>
    <t>Расходы на реализацию предложений по обращениям, поступающим к депутатам Удомельской городской Думы</t>
  </si>
  <si>
    <t>Муниципальная программа "Улучшение экологической обстановки Удомельского городского округа на 2019-2023 годы"</t>
  </si>
  <si>
    <t>Обеспечение уличного освещения территорий Удомельского городского округа</t>
  </si>
  <si>
    <t>Обеспечение уличного освещения города Удомля</t>
  </si>
  <si>
    <t>075022001Б</t>
  </si>
  <si>
    <t>Подпрограмма "Содержание  и благоустройство сельских территорий Удомельского городского округа"</t>
  </si>
  <si>
    <t>124022001Б</t>
  </si>
  <si>
    <t>141F255551</t>
  </si>
  <si>
    <t>Реализация мероприятий приоритетного проекта "Формирование комфортной городской среды"</t>
  </si>
  <si>
    <t>141F255552</t>
  </si>
  <si>
    <t xml:space="preserve">Реализация мероприятий по благоустройству общественных территорий </t>
  </si>
  <si>
    <t>161012005Б</t>
  </si>
  <si>
    <t>Содержание светофорного регулирования</t>
  </si>
  <si>
    <t>Муниципальная программа "Развитие образования Удомельского городского округа на 2019-2023 годы"</t>
  </si>
  <si>
    <t>011022003Г</t>
  </si>
  <si>
    <t>0110210740</t>
  </si>
  <si>
    <t>994002900В</t>
  </si>
  <si>
    <t>01102S0440</t>
  </si>
  <si>
    <t>01102S0250</t>
  </si>
  <si>
    <t>011022006Г</t>
  </si>
  <si>
    <t>0110210750</t>
  </si>
  <si>
    <t>0110210250</t>
  </si>
  <si>
    <t>011042004В</t>
  </si>
  <si>
    <t>011052001Г</t>
  </si>
  <si>
    <t>0110510690</t>
  </si>
  <si>
    <t>01105S0690</t>
  </si>
  <si>
    <t>Финансовое обеспечение мероприятий по выполнению Указа Президента РФ от 01.06.2012г. №761</t>
  </si>
  <si>
    <t>02101S0690</t>
  </si>
  <si>
    <t>011032001Б</t>
  </si>
  <si>
    <t>01104S0240</t>
  </si>
  <si>
    <t>0110410240</t>
  </si>
  <si>
    <t>024012001Б</t>
  </si>
  <si>
    <t>024012002Б</t>
  </si>
  <si>
    <t>Муниципальная программа "Развитие образования Удомельского городского округа на 2018-2023 годы"</t>
  </si>
  <si>
    <t>011012001Б</t>
  </si>
  <si>
    <t>011022011Б</t>
  </si>
  <si>
    <t>011042003Б</t>
  </si>
  <si>
    <t>011052002Б</t>
  </si>
  <si>
    <t>01105S1080</t>
  </si>
  <si>
    <t>Финансовое обеспечение  участия детей и подростков в социально-значимых региональных проектах из бюджета Удомельского городского округа</t>
  </si>
  <si>
    <t>0110511080</t>
  </si>
  <si>
    <t>Организация участия детей и подростков в социально-значимых региональных проектах</t>
  </si>
  <si>
    <t>012012001Б</t>
  </si>
  <si>
    <t>02101S0680</t>
  </si>
  <si>
    <t>Муниципальная программа "Социальная политика, поддержка и защита населения Удомельского городского округа на 2019-2023 годы"</t>
  </si>
  <si>
    <t>0110210560</t>
  </si>
  <si>
    <t>13103L4970</t>
  </si>
  <si>
    <t xml:space="preserve">Предоставление молодым семьям Удомельского городского округа социальных выплат на приобретение (строительство) жилья </t>
  </si>
  <si>
    <t>Предоставление субсидий юридическим лицам (за исключением субсидий государственным (муниципальным)учреждениям), индивидуальным предпринимателям, оказывающим банно-прачечные услуги для отдельной  категорий граждан в городе Удомля</t>
  </si>
  <si>
    <t>0110210500</t>
  </si>
  <si>
    <t>13102R0820</t>
  </si>
  <si>
    <t>Подпрограмма "Содержание газового хозяйства северной части города Удомля"</t>
  </si>
  <si>
    <t>081012004Б</t>
  </si>
  <si>
    <t>Разработка материалов по описанию границ функциональных зон территории Удомельского городского округа на основании Правил землепользования ми застройки Удомельского городского округа</t>
  </si>
  <si>
    <t>1250000000</t>
  </si>
  <si>
    <t>Подпрограмма "Реализация Программы поддержки местных инициатив Тверской области на территории Удомельского городского округа"</t>
  </si>
  <si>
    <t>Подготовка и проведение Всероссийской переписи населения в 2020 году</t>
  </si>
  <si>
    <t>Осуществление переданных полномочий Российской Федерации на государственную регистрацию актов гражданского состояния</t>
  </si>
  <si>
    <t>161012008Б</t>
  </si>
  <si>
    <t xml:space="preserve">Приобретение информационно-пропагандистской продукции по безопасности дорожного движения </t>
  </si>
  <si>
    <t>161012009Б</t>
  </si>
  <si>
    <t>Размещение социальной рекламы по безопасности дорожного движения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</si>
  <si>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</si>
  <si>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091012010Б</t>
  </si>
  <si>
    <t>Ремонт автомобильных дорог на территории г.Удомля</t>
  </si>
  <si>
    <t>161R3S1090</t>
  </si>
  <si>
    <t>161R311090</t>
  </si>
  <si>
    <t>044022001Б</t>
  </si>
  <si>
    <t>044022002Ж</t>
  </si>
  <si>
    <t>044032006Ж</t>
  </si>
  <si>
    <t>Предоставление гранта в форме субсидии начинающим субъектам  предпринимательства на создание собственного дела</t>
  </si>
  <si>
    <t>052022002Б</t>
  </si>
  <si>
    <t xml:space="preserve">Приобретение жилых помещений для предоставления гражданам, по договорам социального найма, проживающим в аварийном жилищном фонде </t>
  </si>
  <si>
    <t>053022001Б</t>
  </si>
  <si>
    <t>Проведение капитального ремонта общего имущества в многоквартирных домах на территории Удомельского городского  округа, за счет средств  местного бюджета</t>
  </si>
  <si>
    <t>073042001Б</t>
  </si>
  <si>
    <t>Строительство объектов водоснабжения и водоотведения</t>
  </si>
  <si>
    <t>Обеспечение уличного освещения населенных пунктов, расположенных на сельских территориях Удомельского городского округа</t>
  </si>
  <si>
    <t>121022002Б</t>
  </si>
  <si>
    <t>Наружное оформление территорий города Удомля</t>
  </si>
  <si>
    <t>121022003Б</t>
  </si>
  <si>
    <t>Реализация проекта "Праздник нашего двора"</t>
  </si>
  <si>
    <t>122022001Б</t>
  </si>
  <si>
    <t>Оформление и обустройство новых мест под захоронения</t>
  </si>
  <si>
    <t>123012002Б</t>
  </si>
  <si>
    <t>Обустройство и ремонт контейнерных площадок</t>
  </si>
  <si>
    <t>123012003Б</t>
  </si>
  <si>
    <t>Финансирование расходов по проведению субботников</t>
  </si>
  <si>
    <t>Разработка проектно - сметной документации</t>
  </si>
  <si>
    <t>141022002Б</t>
  </si>
  <si>
    <t>141022005Б</t>
  </si>
  <si>
    <t>Благоустройство парковой зоны ул.Венецианова</t>
  </si>
  <si>
    <t>01102S1040</t>
  </si>
  <si>
    <t>Финансовое обеспечение мероприятий по  укреплению материально-технической базы муниципальных дошкольных учреждений</t>
  </si>
  <si>
    <t>011022019В</t>
  </si>
  <si>
    <t>Обеспечение комплексной безопасности зданий и помещений дошкольных образовательных учреждений, находящихся в муниципальной собственности</t>
  </si>
  <si>
    <t>0110210440</t>
  </si>
  <si>
    <t>Укрепление материально-технической базы муниципальных общеобразовательных  учреждений за счет средств областного бюджета</t>
  </si>
  <si>
    <t>011022016В</t>
  </si>
  <si>
    <t>Обеспечение комплексной безопасности зданий и помещений общеобразовательных учреждений, находящихся в муниципальной собственности</t>
  </si>
  <si>
    <t>011042007В</t>
  </si>
  <si>
    <t>Финансовое обеспечение участия в спортивных мероприятиях регионального, всероссийского, международного уровней</t>
  </si>
  <si>
    <t>350</t>
  </si>
  <si>
    <t>Премии и гранты</t>
  </si>
  <si>
    <t>Повышение заработной платы из областного бюджета работникам муниципальных учреждений культуры Удомельского городского округа</t>
  </si>
  <si>
    <t>02102L4670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</si>
  <si>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</si>
  <si>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Пенсии за выслугу лет муниципальным служащим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</si>
  <si>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</si>
  <si>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Предоставление субсидии  из бюджета Удомельского  городского округа на поддержку некоммерческих организаций 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</si>
  <si>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</si>
  <si>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Предоставление субсидии  из областного бюджета на поддержку  некоммерческих организаций</t>
  </si>
  <si>
    <t>Итого расходов</t>
  </si>
  <si>
    <t>Обеспечение проведения выборов и референдумов</t>
  </si>
  <si>
    <t>994002500Б</t>
  </si>
  <si>
    <t>880</t>
  </si>
  <si>
    <t>Специальные расходы</t>
  </si>
  <si>
    <t>Защита населения и территории от чрезвычайных ситуаций природного и техногенного характера,  пожарная безопасность</t>
  </si>
  <si>
    <t>101012004Б</t>
  </si>
  <si>
    <t>Организация видео-фото наблюдения на территории Удомельского городского округа</t>
  </si>
  <si>
    <t>091012012Б</t>
  </si>
  <si>
    <t>Выполнение работ по очистке ливнево-дренажной канализации и водопропускных труб</t>
  </si>
  <si>
    <t>12502S9000</t>
  </si>
  <si>
    <t>1260000000</t>
  </si>
  <si>
    <t>Подпрограмма  "Реализация мероприятий поддержки общественных и гражданских инициатив на территории Удомельского городского округа"</t>
  </si>
  <si>
    <t>Реализация мероприятий поддержки общественных и гражданских инициатив "Капитальный ремонт дорог на дворовых территориях МКД"</t>
  </si>
  <si>
    <t>161012011Б</t>
  </si>
  <si>
    <t>Обеспечение безопасности дорожного движения при проведении культурно-массовых мероприятий</t>
  </si>
  <si>
    <t>161012012Б</t>
  </si>
  <si>
    <t>Установка дорожных знаков</t>
  </si>
  <si>
    <t>03202L5110</t>
  </si>
  <si>
    <t>Организация проведения комплексных кадастровых работ на территории Удомельского городского округа</t>
  </si>
  <si>
    <t>044012001Б</t>
  </si>
  <si>
    <t>Предоставление гранта в форме субсидии субъектам малого и среднего предпринимательства на  создание и развитие крестьянского (фермерского) хозяйства</t>
  </si>
  <si>
    <t>044032007Ж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</si>
  <si>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товаров,работ,услуг</t>
  </si>
  <si>
    <t>044032008Ж</t>
  </si>
  <si>
    <t>Предоставление  субсидий субъектам  малого и среднего предпринимательства - сельскохозяйственным кооперативам и крестьянским (фермерским) хозяйствам на оказание поддержки  по сохранению поголовья сельскохозяйственных животных</t>
  </si>
  <si>
    <t>073012001Б</t>
  </si>
  <si>
    <t>Разработка и актуализация схем теплоснабжения, водоснабжения Удомельского городского округа</t>
  </si>
  <si>
    <t>0730210700</t>
  </si>
  <si>
    <t>Проведение капитального ремонта объектов теплоэнергетических комплексов за счет средств областного бюджета</t>
  </si>
  <si>
    <t>072012003Б</t>
  </si>
  <si>
    <t>Организация системы управления уличным освещением</t>
  </si>
  <si>
    <t>072012004Б</t>
  </si>
  <si>
    <t>Выполнение работ по ремонту линий электропередач</t>
  </si>
  <si>
    <t>073042002Б</t>
  </si>
  <si>
    <t>Проектирование и строительство сетей наружного освещения на территории Удомельского городского округа</t>
  </si>
  <si>
    <t>075032001Б</t>
  </si>
  <si>
    <t xml:space="preserve">Содержание сетей уличного освещения </t>
  </si>
  <si>
    <t>121022001Б</t>
  </si>
  <si>
    <t>Доставка, установка и демонтаж новогодних елей</t>
  </si>
  <si>
    <t>12503S9000</t>
  </si>
  <si>
    <t>126022001Б</t>
  </si>
  <si>
    <t>Реализация мероприятий поддержки общественных и гражданских инициатив "Ремонт дворовых территорий МКД"</t>
  </si>
  <si>
    <t>126022002Б</t>
  </si>
  <si>
    <t>Реализация мероприятий поддержки общественных и гражданских инициатив "Ремонт дворовых территорий МКД за счет средств внебюджетных источников"</t>
  </si>
  <si>
    <t>Муниципальная программа "Формирование комфортной городской среды на территории Удомельского городского округа  на 2018-2024 годы"</t>
  </si>
  <si>
    <t>141022006Б</t>
  </si>
  <si>
    <t>Реализация мероприятий по благоустройству общественных территорий города Удомля</t>
  </si>
  <si>
    <t>Расходы не включенные в муниципальные программы</t>
  </si>
  <si>
    <t>994002200Б</t>
  </si>
  <si>
    <t>Исполнительные листы казенных учреждений</t>
  </si>
  <si>
    <t>0110211040</t>
  </si>
  <si>
    <t>Укрепление материально-технической базы муниципальных дошкольных образовательных  учреждений за счет средств областного бюджета</t>
  </si>
  <si>
    <t>011022024В</t>
  </si>
  <si>
    <t>Приобретение, ремонт и содержание спортивных и игровых площадок муниципальных дошкольных образовательных учреждений</t>
  </si>
  <si>
    <t>0110153031</t>
  </si>
  <si>
    <t>Ежемесячное денежное вознаграждение за классное руководство педагогическим работникам муниципальных образовательных учреждений</t>
  </si>
  <si>
    <t>011022023В</t>
  </si>
  <si>
    <t>Приобретение, ремонт и содержание спортивных и игровых площадок муниципальных общеобразовательных учреждений</t>
  </si>
  <si>
    <t>011022025В</t>
  </si>
  <si>
    <t>Финансовое обеспечение мероприятия капитального и текущего ремонтов муниципальных общеобразовательных учреждений</t>
  </si>
  <si>
    <t>01104L3040</t>
  </si>
  <si>
    <t>Организация бесплатного горячего питания обучающихся, получающих начальное общее образование в муниципальных образовательных учреждениях</t>
  </si>
  <si>
    <t>011052010В</t>
  </si>
  <si>
    <t>Обеспечение комплексной безопасности зданий и помещений учреждений дополнительного образования, находящихся в муниципальной собственности</t>
  </si>
  <si>
    <t>011052011В</t>
  </si>
  <si>
    <t>Приобретение, ремонт и содержание спортивных и игровых площадок учреждений дополнительного образования</t>
  </si>
  <si>
    <t>021022007В</t>
  </si>
  <si>
    <t>Финансовое обеспечение по ремонту помещений и зданий дополнительного образования в сфере культуры и искусства</t>
  </si>
  <si>
    <t>021А354530</t>
  </si>
  <si>
    <t>Создание виртуального концертного зала</t>
  </si>
  <si>
    <t>023022003Б</t>
  </si>
  <si>
    <t>Поддержка волонтерского движения</t>
  </si>
  <si>
    <t>021022005В</t>
  </si>
  <si>
    <t xml:space="preserve">Финансовое обеспечение мероприятий по ремонту зданий </t>
  </si>
  <si>
    <t>021А255193</t>
  </si>
  <si>
    <t>04201S0490</t>
  </si>
  <si>
    <t>Предоставление субсидий на развитие материально-технической базы редакций районных и городских газет</t>
  </si>
  <si>
    <t>12501S9001</t>
  </si>
  <si>
    <t>Капитальный ремонт кровли здания Дома культуры по адресу: Тверская область, Удомельский городской округ, д. Порожки д.65 за счет средств местного бюджета, поступлений от юридических лиц и вкладов граждан</t>
  </si>
  <si>
    <t>1250119001</t>
  </si>
  <si>
    <t>Капитальный ремонт кровли здания Дома культуры по адресу: Тверская область, Удомельский городской округ, д. Порожки д.65 за счет субсидий из областного бюджета</t>
  </si>
  <si>
    <t>1250119301</t>
  </si>
  <si>
    <t>Капитальный ремонт кровли здания Дома культуры по адресу: Тверская область, Удомельский городской округ, д. Порожки д.65 за счет мероприятий по обращениям, поступающим к депутатам Законодательного Собрания Тверской области</t>
  </si>
  <si>
    <t>Выполнение работ по разработке проектно-сметной документации на реконструкцию и ремонт автомобильных дорог, дворовых территорий многоквартирных домов, проездов к дворовым территориям, в т.ч.. парковок и проведение лабораторных исследований</t>
  </si>
  <si>
    <t>091012011Б</t>
  </si>
  <si>
    <t>Выполнение работ по ремонту мостовых сооружений на территории Удомельского городского округа</t>
  </si>
  <si>
    <t>12502S9010</t>
  </si>
  <si>
    <t>Капитальный ремонт асфальтового покрытия дороги на дворовой территории многоквартирного дома по адресу: улица Левитана, д.11</t>
  </si>
  <si>
    <t>12502S9011</t>
  </si>
  <si>
    <t>Капитальный ремонт дороги и пешеходных дорожек на дворовой территории  по адресу: улица Энтузиастов, д.26</t>
  </si>
  <si>
    <t>1250219000</t>
  </si>
  <si>
    <t>Расходы на реализацию программ по поддержке местных инициатив за счет  субсидий из областного бюджета</t>
  </si>
  <si>
    <t>1250219010</t>
  </si>
  <si>
    <t>1250219011</t>
  </si>
  <si>
    <t>12504S9000</t>
  </si>
  <si>
    <t>12504S9007</t>
  </si>
  <si>
    <t>Ремонт пешеходных тротуаров и дороги на дворовой территории многоквартирного дома по адресу: улица Попова, д.20</t>
  </si>
  <si>
    <t>12504S9008</t>
  </si>
  <si>
    <t>Ремонт пешеходных тротуаров и дороги, устройство парковочных мест на дворовой территории многоквартирного дома по адресу: улица Венецианова, д.5</t>
  </si>
  <si>
    <t>12504S9009</t>
  </si>
  <si>
    <t>Устройство парковочных мест на дворовой территории многоквартирного дома по адресу: улица Венецианова, д.7</t>
  </si>
  <si>
    <t>1250419000</t>
  </si>
  <si>
    <t>1250419007</t>
  </si>
  <si>
    <t>1250419008</t>
  </si>
  <si>
    <t>1250419009</t>
  </si>
  <si>
    <t>1260124000</t>
  </si>
  <si>
    <t>1260124002</t>
  </si>
  <si>
    <t>Капитальный ремонт  дороги на  дворовой территории многоквартирного дома  ул.Весенняя д.1 блок 2</t>
  </si>
  <si>
    <t>1260124003</t>
  </si>
  <si>
    <t>Ремонт пешеходных тротуаров, дороги и устройство парковочных мест на дворовой территории ул.Весенняя д.3</t>
  </si>
  <si>
    <t>1260124010</t>
  </si>
  <si>
    <t>Ремонт дворовой территории по ул.Попова д.19</t>
  </si>
  <si>
    <t>1260124011</t>
  </si>
  <si>
    <t>Ремонт дворовой территории по ул.Мичурина д.1</t>
  </si>
  <si>
    <t>1260124014</t>
  </si>
  <si>
    <t>Ремонт пешеходных тротуаров на придомовой территории ул.Курчатова д.26</t>
  </si>
  <si>
    <t>Привлечение субъектов малого и среднего предпринимательства к участию в выставках, ярмарках, конкурсах, мероприятиях, проводимых на территории Удомельского городского округа</t>
  </si>
  <si>
    <t>Предоставление  субсидий субъектам  малого и среднего предпринимательства - сельскохозяйственным кооперативам и крестьянским (фермерским) хозяйствам на проведение профилактических, противоэпизодических, противоинфекционных мероприятий</t>
  </si>
  <si>
    <t>1260324012</t>
  </si>
  <si>
    <t>Устройство автоматической пожарной сигнализации многоквартирного дома, расположенного по адресу: Тверская область, г.Удомля, пр.Курчатова д.14</t>
  </si>
  <si>
    <t>073012003Б</t>
  </si>
  <si>
    <t>Содержание объектов инженерной инфраструктуры (тепло, водоснабжения, водоотведение), расположенных на территории Удомельского городского округа</t>
  </si>
  <si>
    <t>1260424013</t>
  </si>
  <si>
    <t>Выполнение работ по подключению к сетям водоотведения  ул.Вышневолоцкое шоссе д.3,5</t>
  </si>
  <si>
    <t>Средства депутатов Законодательного Собрания Тверской области на благоустройство</t>
  </si>
  <si>
    <t>12503S9002</t>
  </si>
  <si>
    <t xml:space="preserve">Благоустройство дворовой территории по адресу: Тверская область, г.Удомля, ул.Александрова, д.8 </t>
  </si>
  <si>
    <t>12503S9003</t>
  </si>
  <si>
    <t xml:space="preserve">Монтаж уличного освещения на существующих опорах в Тверской области, Удомельском городском округе, д.Казикино </t>
  </si>
  <si>
    <t>12503S9004</t>
  </si>
  <si>
    <t>Монтаж уличного освещения на существующих опорах в Тверской области, Удомельском городском округе, д.Городище</t>
  </si>
  <si>
    <t>12503S9005</t>
  </si>
  <si>
    <t>Устройство контейнерных площадок в Тверской области, Удомельском городском округе, д.Ряд</t>
  </si>
  <si>
    <t>12503S9006</t>
  </si>
  <si>
    <t>Устройство контейнерных площадок в Тверской области, Удомельском городском округе, Мстинском территориальном отделе</t>
  </si>
  <si>
    <t>1250319000</t>
  </si>
  <si>
    <t>1250319002</t>
  </si>
  <si>
    <t>Благоустройство дворовой территории по адресу: Тверская область, г.Удомля, ул.Александрова, д.8</t>
  </si>
  <si>
    <t>1250319003</t>
  </si>
  <si>
    <t>1250319004</t>
  </si>
  <si>
    <t>1250319005</t>
  </si>
  <si>
    <t>1250319006</t>
  </si>
  <si>
    <t>1250319300</t>
  </si>
  <si>
    <t>Расходы на реализацию программ по поддержке местных инициатив за счет мероприятий по обращениям, поступающим к депутатам Законодательного Собрания Тверской области</t>
  </si>
  <si>
    <t>1250319303</t>
  </si>
  <si>
    <t>1250319304</t>
  </si>
  <si>
    <t>1250319305</t>
  </si>
  <si>
    <t>1250319306</t>
  </si>
  <si>
    <t>1260224000</t>
  </si>
  <si>
    <t>1260224004</t>
  </si>
  <si>
    <t>Благоустройство дворовой территории пр.Курчатова д.12</t>
  </si>
  <si>
    <t>1260224005</t>
  </si>
  <si>
    <t>Благоустройство дворовой территории пр.Курчатова д.10а, 10б</t>
  </si>
  <si>
    <t>1260224006</t>
  </si>
  <si>
    <t>Благоустройство дворовой территории пр.Курчатова д.6</t>
  </si>
  <si>
    <t>1260224007</t>
  </si>
  <si>
    <t>Благоустройство дворовой территории пр.Курчатова д.8</t>
  </si>
  <si>
    <t>1260224008</t>
  </si>
  <si>
    <t>Благоустройство дворовой территории пр.Курчатова д.10</t>
  </si>
  <si>
    <t>1260224009</t>
  </si>
  <si>
    <t>Благоустройство дворовой территории пр.Александрова д.12</t>
  </si>
  <si>
    <t>011022022В</t>
  </si>
  <si>
    <t>Финансовое обеспечение мероприятий капитального и (или) текущего ремонтов муниципальных дошкольных образовательных учреждений</t>
  </si>
  <si>
    <t>012012003В</t>
  </si>
  <si>
    <t>Финансовое обеспечение участия педагогов и обучающихся в региональных и межрегиональных мероприятиях в рамках регионального проекта "Цифровая образовательная среда"</t>
  </si>
  <si>
    <t>0120210920</t>
  </si>
  <si>
    <t>Средства депутатов Законодательного Собрания Тверской области на финансовое обеспечение информационного сопровождения развития образования Удомельского городского округа</t>
  </si>
  <si>
    <t>Государственная поддержка отрасли культуры (в части оказания государственной поддержки лучшим сельским учреждениям культуры)</t>
  </si>
  <si>
    <t>0210310920</t>
  </si>
  <si>
    <t>Средства депутатов Законодательного Собрания Тверской области на выпуск книг</t>
  </si>
  <si>
    <t>1310110290</t>
  </si>
  <si>
    <t>Приобретение жилых помещений для малоимущих многодетных семей за счет средств областного бюджета</t>
  </si>
  <si>
    <t>022012003Б</t>
  </si>
  <si>
    <t>Подготовка площадки и установка на ней оборудования для сдачи норм ГТО</t>
  </si>
  <si>
    <t>Предоставление субсидий на развитие материально-технической базы редакций районных и городских газет за счет средств областного бюджета</t>
  </si>
  <si>
    <t>Отчет об исполнении бюджета Удомельского городского округа по источникам финансирования дефицита   бюджета Удомельского городского округа                                  за первое полугодие 2021 года</t>
  </si>
  <si>
    <t>031022013Б</t>
  </si>
  <si>
    <t>Увеличение уставного фонда МУП в целях финансовой устойчивости и недопущения неплатежеспособности</t>
  </si>
  <si>
    <t>Выполнение работ по содержанию автомобильных дорог общего пользования местного значения и сооружений на них, нацеленное на обеспечение их проезжаемости и безопасности до сельских населенных пунктов</t>
  </si>
  <si>
    <t>1260124015</t>
  </si>
  <si>
    <t>Ремонт асфальтобетонного покрытия пр.Курчатова д.22</t>
  </si>
  <si>
    <t>072012005Б</t>
  </si>
  <si>
    <t>Устройство комплектных трансформаторных станций</t>
  </si>
  <si>
    <t>011022017В</t>
  </si>
  <si>
    <t>Оснащение автобусов, осуществляющих подвоз обучающихся, проживающих в сельской местности, к месту обучения и обратно, необходимыми техническими средствами</t>
  </si>
  <si>
    <t>01102L2550</t>
  </si>
  <si>
    <t>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</si>
  <si>
    <t>021022008В</t>
  </si>
  <si>
    <t>Обеспечение комплексной безопасности зданий и помещений учреждений дополнительного образования в сфере культуры и искусства, находящихся в муниципальной собственности</t>
  </si>
  <si>
    <t xml:space="preserve"> Ежеквартальный отчет об исполнении расходов бюджета Удомельского городского округа по разделам и подразделам, целевым статьям и видам расходов  за девять месяцев 2021 года</t>
  </si>
  <si>
    <t>Единовременная денежная выплата гражданам,попавшим в трудную жизненнуб ситуацию в связи с произошедшим пожаром единственного жилья и утратой имущества</t>
  </si>
  <si>
    <t>Администрация Удомельского городского округа</t>
  </si>
  <si>
    <t>Отчет о расходовании резервного фонда Администрации Удомельского городского округа  за девять месяцев 2021 года</t>
  </si>
  <si>
    <t>от  25.10.2021  № 1294-па</t>
  </si>
  <si>
    <t>от 25.10.2021   № 1294-па</t>
  </si>
  <si>
    <t xml:space="preserve">          от  25.10.2021  № 1294-па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</si>
</sst>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"/>
    <numFmt numFmtId="166" formatCode="0000000000"/>
    <numFmt numFmtId="167" formatCode="#,##0.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b/>
      <sz val="18"/>
      <color indexed="56"/>
      <name val="Cambria"/>
      <family val="2"/>
      <charset val="204"/>
    </font>
    <font>
      <sz val="10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6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6" fillId="0" borderId="0"/>
    <xf numFmtId="0" fontId="5" fillId="0" borderId="0" applyNumberFormat="0" applyFill="0" applyBorder="0" applyAlignment="0" applyProtection="0"/>
    <xf numFmtId="0" fontId="6" fillId="0" borderId="0"/>
  </cellStyleXfs>
  <cellXfs count="69">
    <xf numFmtId="0" fontId="0" fillId="0" borderId="0" xfId="0"/>
    <xf numFmtId="0" fontId="1" fillId="0" borderId="0" xfId="0" applyFont="1" applyAlignment="1">
      <alignment horizontal="right"/>
    </xf>
    <xf numFmtId="0" fontId="4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indent="19"/>
    </xf>
    <xf numFmtId="0" fontId="0" fillId="0" borderId="0" xfId="0" applyAlignment="1">
      <alignment horizontal="left" indent="19"/>
    </xf>
    <xf numFmtId="0" fontId="0" fillId="0" borderId="0" xfId="0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49" fontId="7" fillId="0" borderId="1" xfId="0" applyNumberFormat="1" applyFont="1" applyBorder="1" applyAlignment="1">
      <alignment horizontal="center"/>
    </xf>
    <xf numFmtId="165" fontId="7" fillId="0" borderId="1" xfId="0" applyNumberFormat="1" applyFont="1" applyBorder="1"/>
    <xf numFmtId="0" fontId="7" fillId="0" borderId="0" xfId="0" applyFont="1" applyAlignment="1">
      <alignment wrapText="1"/>
    </xf>
    <xf numFmtId="0" fontId="7" fillId="0" borderId="0" xfId="0" applyFont="1" applyAlignment="1">
      <alignment horizontal="left" indent="19"/>
    </xf>
    <xf numFmtId="0" fontId="7" fillId="0" borderId="2" xfId="0" applyFont="1" applyBorder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 wrapText="1"/>
    </xf>
    <xf numFmtId="0" fontId="7" fillId="0" borderId="0" xfId="0" applyFont="1" applyBorder="1" applyAlignment="1">
      <alignment wrapText="1"/>
    </xf>
    <xf numFmtId="0" fontId="7" fillId="0" borderId="0" xfId="0" applyFont="1" applyBorder="1"/>
    <xf numFmtId="165" fontId="7" fillId="0" borderId="1" xfId="0" applyNumberFormat="1" applyFont="1" applyFill="1" applyBorder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indent="16"/>
    </xf>
    <xf numFmtId="0" fontId="7" fillId="0" borderId="0" xfId="0" applyFont="1" applyAlignment="1">
      <alignment horizontal="left" indent="21"/>
    </xf>
    <xf numFmtId="0" fontId="7" fillId="0" borderId="1" xfId="0" applyFont="1" applyBorder="1" applyAlignment="1">
      <alignment wrapText="1"/>
    </xf>
    <xf numFmtId="167" fontId="7" fillId="0" borderId="1" xfId="0" applyNumberFormat="1" applyFont="1" applyBorder="1"/>
    <xf numFmtId="165" fontId="7" fillId="0" borderId="4" xfId="0" applyNumberFormat="1" applyFont="1" applyBorder="1"/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166" fontId="10" fillId="0" borderId="1" xfId="3" applyNumberFormat="1" applyFont="1" applyBorder="1" applyAlignment="1">
      <alignment horizont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1" fillId="0" borderId="0" xfId="0" applyFont="1" applyAlignment="1">
      <alignment wrapText="1"/>
    </xf>
    <xf numFmtId="166" fontId="7" fillId="0" borderId="1" xfId="1" applyNumberFormat="1" applyFont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166" fontId="7" fillId="0" borderId="1" xfId="1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7" fillId="0" borderId="0" xfId="0" applyFont="1" applyAlignment="1">
      <alignment horizontal="justify" vertical="center"/>
    </xf>
    <xf numFmtId="0" fontId="11" fillId="0" borderId="0" xfId="0" applyFont="1" applyAlignment="1">
      <alignment vertical="justify" wrapText="1"/>
    </xf>
    <xf numFmtId="0" fontId="7" fillId="0" borderId="1" xfId="0" applyFont="1" applyFill="1" applyBorder="1"/>
    <xf numFmtId="0" fontId="10" fillId="0" borderId="0" xfId="0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left" wrapText="1"/>
    </xf>
    <xf numFmtId="49" fontId="7" fillId="0" borderId="4" xfId="0" applyNumberFormat="1" applyFont="1" applyBorder="1" applyAlignment="1">
      <alignment horizontal="center"/>
    </xf>
    <xf numFmtId="166" fontId="12" fillId="0" borderId="1" xfId="1" applyNumberFormat="1" applyFont="1" applyBorder="1" applyAlignment="1">
      <alignment horizontal="center"/>
    </xf>
    <xf numFmtId="0" fontId="7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wrapText="1"/>
    </xf>
    <xf numFmtId="0" fontId="7" fillId="0" borderId="6" xfId="0" applyFont="1" applyBorder="1" applyAlignment="1">
      <alignment wrapText="1"/>
    </xf>
    <xf numFmtId="49" fontId="7" fillId="0" borderId="0" xfId="0" applyNumberFormat="1" applyFont="1" applyFill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</cellXfs>
  <cellStyles count="4">
    <cellStyle name="Normal" xfId="1"/>
    <cellStyle name="Название" xfId="2" builtinId="15" customBuiltin="1"/>
    <cellStyle name="Обычный" xfId="0" builtinId="0"/>
    <cellStyle name="Обычный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3063"/>
      <rgbColor rgb="00EAEAEA"/>
      <rgbColor rgb="00333333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I746"/>
  <sheetViews>
    <sheetView workbookViewId="0">
      <selection activeCell="E10" sqref="E10"/>
    </sheetView>
  </sheetViews>
  <sheetFormatPr defaultColWidth="9.140625" defaultRowHeight="15.75" x14ac:dyDescent="0.25"/>
  <cols>
    <col min="1" max="1" width="2.5703125" style="17" customWidth="1"/>
    <col min="2" max="2" width="2.42578125" style="17" customWidth="1"/>
    <col min="3" max="3" width="12.5703125" style="17" customWidth="1"/>
    <col min="4" max="4" width="3.42578125" style="17" customWidth="1"/>
    <col min="5" max="5" width="39.28515625" style="17" customWidth="1"/>
    <col min="6" max="6" width="10.5703125" style="17" customWidth="1"/>
    <col min="7" max="7" width="10.85546875" style="17" customWidth="1"/>
    <col min="8" max="8" width="6.140625" style="17" customWidth="1"/>
    <col min="9" max="16384" width="9.140625" style="17"/>
  </cols>
  <sheetData>
    <row r="1" spans="1:9" x14ac:dyDescent="0.25">
      <c r="E1" s="15" t="s">
        <v>286</v>
      </c>
      <c r="F1" s="15"/>
      <c r="G1" s="15"/>
      <c r="H1" s="15"/>
      <c r="I1" s="24"/>
    </row>
    <row r="2" spans="1:9" x14ac:dyDescent="0.25">
      <c r="E2" s="15" t="s">
        <v>287</v>
      </c>
      <c r="F2" s="15"/>
      <c r="G2" s="15"/>
      <c r="H2" s="15"/>
      <c r="I2" s="24"/>
    </row>
    <row r="3" spans="1:9" x14ac:dyDescent="0.25">
      <c r="E3" s="15" t="s">
        <v>288</v>
      </c>
      <c r="F3" s="15"/>
      <c r="G3" s="15"/>
      <c r="H3" s="15"/>
      <c r="I3" s="24"/>
    </row>
    <row r="4" spans="1:9" x14ac:dyDescent="0.25">
      <c r="E4" s="15" t="s">
        <v>732</v>
      </c>
      <c r="F4" s="15"/>
      <c r="G4" s="15"/>
      <c r="H4" s="15"/>
      <c r="I4" s="24"/>
    </row>
    <row r="5" spans="1:9" x14ac:dyDescent="0.25">
      <c r="E5" s="24"/>
      <c r="F5" s="25"/>
    </row>
    <row r="6" spans="1:9" x14ac:dyDescent="0.25">
      <c r="E6" s="24"/>
      <c r="F6" s="25"/>
    </row>
    <row r="7" spans="1:9" ht="54.75" customHeight="1" x14ac:dyDescent="0.3">
      <c r="A7" s="57" t="s">
        <v>728</v>
      </c>
      <c r="B7" s="58"/>
      <c r="C7" s="58"/>
      <c r="D7" s="58"/>
      <c r="E7" s="58"/>
      <c r="F7" s="58"/>
      <c r="G7" s="58"/>
      <c r="H7" s="58"/>
    </row>
    <row r="9" spans="1:9" x14ac:dyDescent="0.25">
      <c r="F9" s="23"/>
    </row>
    <row r="10" spans="1:9" ht="204.75" x14ac:dyDescent="0.25">
      <c r="A10" s="59" t="s">
        <v>289</v>
      </c>
      <c r="B10" s="60"/>
      <c r="C10" s="31" t="s">
        <v>290</v>
      </c>
      <c r="D10" s="31" t="s">
        <v>291</v>
      </c>
      <c r="E10" s="9" t="s">
        <v>292</v>
      </c>
      <c r="F10" s="9" t="s">
        <v>308</v>
      </c>
      <c r="G10" s="31" t="s">
        <v>293</v>
      </c>
      <c r="H10" s="31" t="s">
        <v>294</v>
      </c>
    </row>
    <row r="11" spans="1:9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</row>
    <row r="12" spans="1:9" x14ac:dyDescent="0.25">
      <c r="A12" s="12" t="s">
        <v>132</v>
      </c>
      <c r="B12" s="12"/>
      <c r="C12" s="12"/>
      <c r="D12" s="12"/>
      <c r="E12" s="31" t="s">
        <v>134</v>
      </c>
      <c r="F12" s="13">
        <f>F13+F18+F25+F36+F41+F52+F56+F60</f>
        <v>116316.4</v>
      </c>
      <c r="G12" s="13">
        <f>G13+G18+G25+G36+G41+G52+G56+G60</f>
        <v>83000.399999999994</v>
      </c>
      <c r="H12" s="13">
        <f t="shared" ref="H12:H75" si="0">ROUND((G12/F12*100),1)</f>
        <v>71.400000000000006</v>
      </c>
    </row>
    <row r="13" spans="1:9" ht="63" x14ac:dyDescent="0.25">
      <c r="A13" s="12" t="s">
        <v>132</v>
      </c>
      <c r="B13" s="12" t="s">
        <v>133</v>
      </c>
      <c r="C13" s="12"/>
      <c r="D13" s="12"/>
      <c r="E13" s="31" t="s">
        <v>28</v>
      </c>
      <c r="F13" s="13">
        <f t="shared" ref="F13:G16" si="1">F14</f>
        <v>1577.6</v>
      </c>
      <c r="G13" s="13">
        <f t="shared" si="1"/>
        <v>1212</v>
      </c>
      <c r="H13" s="13">
        <f t="shared" si="0"/>
        <v>76.8</v>
      </c>
    </row>
    <row r="14" spans="1:9" ht="31.5" x14ac:dyDescent="0.25">
      <c r="A14" s="12" t="s">
        <v>132</v>
      </c>
      <c r="B14" s="12" t="s">
        <v>133</v>
      </c>
      <c r="C14" s="33">
        <v>9900000000</v>
      </c>
      <c r="D14" s="12"/>
      <c r="E14" s="34" t="s">
        <v>178</v>
      </c>
      <c r="F14" s="13">
        <f t="shared" si="1"/>
        <v>1577.6</v>
      </c>
      <c r="G14" s="13">
        <f t="shared" si="1"/>
        <v>1212</v>
      </c>
      <c r="H14" s="13">
        <f t="shared" si="0"/>
        <v>76.8</v>
      </c>
    </row>
    <row r="15" spans="1:9" ht="47.25" x14ac:dyDescent="0.25">
      <c r="A15" s="12" t="s">
        <v>132</v>
      </c>
      <c r="B15" s="12" t="s">
        <v>133</v>
      </c>
      <c r="C15" s="33">
        <v>9980000000</v>
      </c>
      <c r="D15" s="12"/>
      <c r="E15" s="35" t="s">
        <v>38</v>
      </c>
      <c r="F15" s="13">
        <f t="shared" si="1"/>
        <v>1577.6</v>
      </c>
      <c r="G15" s="13">
        <f t="shared" si="1"/>
        <v>1212</v>
      </c>
      <c r="H15" s="13">
        <f t="shared" si="0"/>
        <v>76.8</v>
      </c>
    </row>
    <row r="16" spans="1:9" x14ac:dyDescent="0.25">
      <c r="A16" s="12" t="s">
        <v>132</v>
      </c>
      <c r="B16" s="12" t="s">
        <v>133</v>
      </c>
      <c r="C16" s="33" t="s">
        <v>176</v>
      </c>
      <c r="D16" s="12"/>
      <c r="E16" s="31" t="s">
        <v>155</v>
      </c>
      <c r="F16" s="13">
        <f t="shared" si="1"/>
        <v>1577.6</v>
      </c>
      <c r="G16" s="13">
        <f t="shared" si="1"/>
        <v>1212</v>
      </c>
      <c r="H16" s="13">
        <f t="shared" si="0"/>
        <v>76.8</v>
      </c>
    </row>
    <row r="17" spans="1:8" ht="47.25" x14ac:dyDescent="0.25">
      <c r="A17" s="12" t="s">
        <v>132</v>
      </c>
      <c r="B17" s="12" t="s">
        <v>133</v>
      </c>
      <c r="C17" s="33" t="s">
        <v>176</v>
      </c>
      <c r="D17" s="12" t="s">
        <v>101</v>
      </c>
      <c r="E17" s="31" t="s">
        <v>125</v>
      </c>
      <c r="F17" s="13">
        <v>1577.6</v>
      </c>
      <c r="G17" s="13">
        <v>1212</v>
      </c>
      <c r="H17" s="13">
        <f t="shared" si="0"/>
        <v>76.8</v>
      </c>
    </row>
    <row r="18" spans="1:8" ht="78.75" x14ac:dyDescent="0.25">
      <c r="A18" s="12" t="s">
        <v>132</v>
      </c>
      <c r="B18" s="12" t="s">
        <v>135</v>
      </c>
      <c r="C18" s="12"/>
      <c r="D18" s="12"/>
      <c r="E18" s="31" t="s">
        <v>165</v>
      </c>
      <c r="F18" s="13">
        <f>F19</f>
        <v>3877.9</v>
      </c>
      <c r="G18" s="13">
        <f>G19</f>
        <v>2747.6000000000004</v>
      </c>
      <c r="H18" s="13">
        <f t="shared" si="0"/>
        <v>70.900000000000006</v>
      </c>
    </row>
    <row r="19" spans="1:8" ht="47.25" x14ac:dyDescent="0.25">
      <c r="A19" s="12" t="s">
        <v>132</v>
      </c>
      <c r="B19" s="12" t="s">
        <v>135</v>
      </c>
      <c r="C19" s="33">
        <v>9990000000</v>
      </c>
      <c r="D19" s="12"/>
      <c r="E19" s="35" t="s">
        <v>37</v>
      </c>
      <c r="F19" s="13">
        <f>F20+F22</f>
        <v>3877.9</v>
      </c>
      <c r="G19" s="13">
        <f>G20+G22</f>
        <v>2747.6000000000004</v>
      </c>
      <c r="H19" s="13">
        <f t="shared" si="0"/>
        <v>70.900000000000006</v>
      </c>
    </row>
    <row r="20" spans="1:8" x14ac:dyDescent="0.25">
      <c r="A20" s="12" t="s">
        <v>132</v>
      </c>
      <c r="B20" s="12" t="s">
        <v>135</v>
      </c>
      <c r="C20" s="33" t="s">
        <v>175</v>
      </c>
      <c r="D20" s="12"/>
      <c r="E20" s="36" t="s">
        <v>174</v>
      </c>
      <c r="F20" s="13">
        <f t="shared" ref="F20:G20" si="2">F21</f>
        <v>1319.6</v>
      </c>
      <c r="G20" s="13">
        <f t="shared" si="2"/>
        <v>956.7</v>
      </c>
      <c r="H20" s="13">
        <f t="shared" si="0"/>
        <v>72.5</v>
      </c>
    </row>
    <row r="21" spans="1:8" ht="47.25" x14ac:dyDescent="0.25">
      <c r="A21" s="12" t="s">
        <v>132</v>
      </c>
      <c r="B21" s="12" t="s">
        <v>135</v>
      </c>
      <c r="C21" s="33" t="s">
        <v>175</v>
      </c>
      <c r="D21" s="12" t="s">
        <v>101</v>
      </c>
      <c r="E21" s="34" t="s">
        <v>102</v>
      </c>
      <c r="F21" s="13">
        <v>1319.6</v>
      </c>
      <c r="G21" s="22">
        <v>956.7</v>
      </c>
      <c r="H21" s="13">
        <f t="shared" si="0"/>
        <v>72.5</v>
      </c>
    </row>
    <row r="22" spans="1:8" x14ac:dyDescent="0.25">
      <c r="A22" s="12" t="s">
        <v>132</v>
      </c>
      <c r="B22" s="12" t="s">
        <v>135</v>
      </c>
      <c r="C22" s="33" t="s">
        <v>50</v>
      </c>
      <c r="D22" s="12"/>
      <c r="E22" s="31" t="s">
        <v>36</v>
      </c>
      <c r="F22" s="13">
        <f>SUM(F23:F24)</f>
        <v>2558.3000000000002</v>
      </c>
      <c r="G22" s="13">
        <f>SUM(G23:G24)</f>
        <v>1790.9</v>
      </c>
      <c r="H22" s="13">
        <f t="shared" si="0"/>
        <v>70</v>
      </c>
    </row>
    <row r="23" spans="1:8" ht="47.25" x14ac:dyDescent="0.25">
      <c r="A23" s="12" t="s">
        <v>132</v>
      </c>
      <c r="B23" s="12" t="s">
        <v>135</v>
      </c>
      <c r="C23" s="33" t="s">
        <v>50</v>
      </c>
      <c r="D23" s="12" t="s">
        <v>101</v>
      </c>
      <c r="E23" s="34" t="s">
        <v>102</v>
      </c>
      <c r="F23" s="13">
        <v>2455.5</v>
      </c>
      <c r="G23" s="13">
        <v>1719.5</v>
      </c>
      <c r="H23" s="13">
        <f t="shared" si="0"/>
        <v>70</v>
      </c>
    </row>
    <row r="24" spans="1:8" ht="47.25" x14ac:dyDescent="0.25">
      <c r="A24" s="12" t="s">
        <v>132</v>
      </c>
      <c r="B24" s="12" t="s">
        <v>135</v>
      </c>
      <c r="C24" s="33" t="s">
        <v>50</v>
      </c>
      <c r="D24" s="12" t="s">
        <v>309</v>
      </c>
      <c r="E24" s="36" t="s">
        <v>310</v>
      </c>
      <c r="F24" s="13">
        <f>98.8+4</f>
        <v>102.8</v>
      </c>
      <c r="G24" s="13">
        <v>71.400000000000006</v>
      </c>
      <c r="H24" s="13">
        <f t="shared" si="0"/>
        <v>69.5</v>
      </c>
    </row>
    <row r="25" spans="1:8" ht="94.5" x14ac:dyDescent="0.25">
      <c r="A25" s="12" t="s">
        <v>132</v>
      </c>
      <c r="B25" s="12" t="s">
        <v>136</v>
      </c>
      <c r="C25" s="12"/>
      <c r="D25" s="12"/>
      <c r="E25" s="31" t="s">
        <v>163</v>
      </c>
      <c r="F25" s="13">
        <f t="shared" ref="F25:G25" si="3">F26</f>
        <v>44746.1</v>
      </c>
      <c r="G25" s="13">
        <f t="shared" si="3"/>
        <v>33042.399999999994</v>
      </c>
      <c r="H25" s="13">
        <f t="shared" si="0"/>
        <v>73.8</v>
      </c>
    </row>
    <row r="26" spans="1:8" ht="31.5" x14ac:dyDescent="0.25">
      <c r="A26" s="12" t="s">
        <v>132</v>
      </c>
      <c r="B26" s="12" t="s">
        <v>136</v>
      </c>
      <c r="C26" s="33">
        <v>9900000000</v>
      </c>
      <c r="D26" s="12"/>
      <c r="E26" s="34" t="s">
        <v>178</v>
      </c>
      <c r="F26" s="13">
        <f>F27+F31</f>
        <v>44746.1</v>
      </c>
      <c r="G26" s="13">
        <f>G27+G31</f>
        <v>33042.399999999994</v>
      </c>
      <c r="H26" s="13">
        <f t="shared" si="0"/>
        <v>73.8</v>
      </c>
    </row>
    <row r="27" spans="1:8" ht="31.5" x14ac:dyDescent="0.25">
      <c r="A27" s="12" t="s">
        <v>132</v>
      </c>
      <c r="B27" s="12" t="s">
        <v>136</v>
      </c>
      <c r="C27" s="33">
        <v>9930000000</v>
      </c>
      <c r="D27" s="12"/>
      <c r="E27" s="31" t="s">
        <v>57</v>
      </c>
      <c r="F27" s="13">
        <f>F28</f>
        <v>385.1</v>
      </c>
      <c r="G27" s="13">
        <f>G28</f>
        <v>202</v>
      </c>
      <c r="H27" s="13">
        <f t="shared" si="0"/>
        <v>52.5</v>
      </c>
    </row>
    <row r="28" spans="1:8" ht="94.5" x14ac:dyDescent="0.25">
      <c r="A28" s="12" t="s">
        <v>132</v>
      </c>
      <c r="B28" s="12" t="s">
        <v>136</v>
      </c>
      <c r="C28" s="33">
        <v>9930010510</v>
      </c>
      <c r="D28" s="12"/>
      <c r="E28" s="31" t="s">
        <v>26</v>
      </c>
      <c r="F28" s="13">
        <f>F29+F30</f>
        <v>385.1</v>
      </c>
      <c r="G28" s="13">
        <f>G29+G30</f>
        <v>202</v>
      </c>
      <c r="H28" s="13">
        <f t="shared" si="0"/>
        <v>52.5</v>
      </c>
    </row>
    <row r="29" spans="1:8" ht="47.25" x14ac:dyDescent="0.25">
      <c r="A29" s="12" t="s">
        <v>132</v>
      </c>
      <c r="B29" s="12" t="s">
        <v>136</v>
      </c>
      <c r="C29" s="33">
        <v>9930010510</v>
      </c>
      <c r="D29" s="12" t="s">
        <v>101</v>
      </c>
      <c r="E29" s="37" t="s">
        <v>102</v>
      </c>
      <c r="F29" s="13">
        <v>375.5</v>
      </c>
      <c r="G29" s="13">
        <v>197.4</v>
      </c>
      <c r="H29" s="13">
        <f t="shared" si="0"/>
        <v>52.6</v>
      </c>
    </row>
    <row r="30" spans="1:8" ht="47.25" x14ac:dyDescent="0.25">
      <c r="A30" s="12" t="s">
        <v>132</v>
      </c>
      <c r="B30" s="12" t="s">
        <v>136</v>
      </c>
      <c r="C30" s="33">
        <v>9930010510</v>
      </c>
      <c r="D30" s="12" t="s">
        <v>309</v>
      </c>
      <c r="E30" s="36" t="s">
        <v>310</v>
      </c>
      <c r="F30" s="13">
        <v>9.6</v>
      </c>
      <c r="G30" s="13">
        <v>4.5999999999999996</v>
      </c>
      <c r="H30" s="13">
        <f t="shared" si="0"/>
        <v>47.9</v>
      </c>
    </row>
    <row r="31" spans="1:8" ht="47.25" x14ac:dyDescent="0.25">
      <c r="A31" s="12" t="s">
        <v>132</v>
      </c>
      <c r="B31" s="12" t="s">
        <v>136</v>
      </c>
      <c r="C31" s="33">
        <v>9980000000</v>
      </c>
      <c r="D31" s="12"/>
      <c r="E31" s="35" t="s">
        <v>38</v>
      </c>
      <c r="F31" s="13">
        <f>F32</f>
        <v>44361</v>
      </c>
      <c r="G31" s="13">
        <f>G32</f>
        <v>32840.399999999994</v>
      </c>
      <c r="H31" s="13">
        <f t="shared" si="0"/>
        <v>74</v>
      </c>
    </row>
    <row r="32" spans="1:8" x14ac:dyDescent="0.25">
      <c r="A32" s="12" t="s">
        <v>132</v>
      </c>
      <c r="B32" s="12" t="s">
        <v>136</v>
      </c>
      <c r="C32" s="33" t="s">
        <v>52</v>
      </c>
      <c r="D32" s="12"/>
      <c r="E32" s="31" t="s">
        <v>156</v>
      </c>
      <c r="F32" s="13">
        <f>SUM(F33:F35)</f>
        <v>44361</v>
      </c>
      <c r="G32" s="13">
        <f>SUM(G33:G35)</f>
        <v>32840.399999999994</v>
      </c>
      <c r="H32" s="13">
        <f t="shared" si="0"/>
        <v>74</v>
      </c>
    </row>
    <row r="33" spans="1:8" ht="47.25" x14ac:dyDescent="0.25">
      <c r="A33" s="12" t="s">
        <v>132</v>
      </c>
      <c r="B33" s="12" t="s">
        <v>136</v>
      </c>
      <c r="C33" s="33" t="s">
        <v>52</v>
      </c>
      <c r="D33" s="12" t="s">
        <v>101</v>
      </c>
      <c r="E33" s="34" t="s">
        <v>102</v>
      </c>
      <c r="F33" s="13">
        <f>41587.8-124</f>
        <v>41463.800000000003</v>
      </c>
      <c r="G33" s="13">
        <v>31027.200000000001</v>
      </c>
      <c r="H33" s="13">
        <f t="shared" si="0"/>
        <v>74.8</v>
      </c>
    </row>
    <row r="34" spans="1:8" ht="47.25" x14ac:dyDescent="0.25">
      <c r="A34" s="12" t="s">
        <v>132</v>
      </c>
      <c r="B34" s="12" t="s">
        <v>136</v>
      </c>
      <c r="C34" s="33" t="s">
        <v>52</v>
      </c>
      <c r="D34" s="12" t="s">
        <v>309</v>
      </c>
      <c r="E34" s="36" t="s">
        <v>310</v>
      </c>
      <c r="F34" s="13">
        <f>2846.5-7.2+99.9-93.6</f>
        <v>2845.6000000000004</v>
      </c>
      <c r="G34" s="13">
        <v>1806</v>
      </c>
      <c r="H34" s="13">
        <f t="shared" si="0"/>
        <v>63.5</v>
      </c>
    </row>
    <row r="35" spans="1:8" ht="31.5" x14ac:dyDescent="0.25">
      <c r="A35" s="12" t="s">
        <v>132</v>
      </c>
      <c r="B35" s="12" t="s">
        <v>136</v>
      </c>
      <c r="C35" s="33" t="s">
        <v>52</v>
      </c>
      <c r="D35" s="12" t="s">
        <v>168</v>
      </c>
      <c r="E35" s="36" t="s">
        <v>169</v>
      </c>
      <c r="F35" s="13">
        <f>44.4+7.2</f>
        <v>51.6</v>
      </c>
      <c r="G35" s="13">
        <v>7.2</v>
      </c>
      <c r="H35" s="13">
        <f t="shared" si="0"/>
        <v>14</v>
      </c>
    </row>
    <row r="36" spans="1:8" x14ac:dyDescent="0.25">
      <c r="A36" s="12" t="s">
        <v>132</v>
      </c>
      <c r="B36" s="12" t="s">
        <v>137</v>
      </c>
      <c r="C36" s="12"/>
      <c r="D36" s="12"/>
      <c r="E36" s="31" t="s">
        <v>311</v>
      </c>
      <c r="F36" s="13">
        <f>SUM(F37)</f>
        <v>15.6</v>
      </c>
      <c r="G36" s="13">
        <f>SUM(G37)</f>
        <v>0</v>
      </c>
      <c r="H36" s="13">
        <f t="shared" si="0"/>
        <v>0</v>
      </c>
    </row>
    <row r="37" spans="1:8" ht="31.5" x14ac:dyDescent="0.25">
      <c r="A37" s="12" t="s">
        <v>132</v>
      </c>
      <c r="B37" s="12" t="s">
        <v>137</v>
      </c>
      <c r="C37" s="33">
        <v>9900000000</v>
      </c>
      <c r="D37" s="12"/>
      <c r="E37" s="34" t="s">
        <v>179</v>
      </c>
      <c r="F37" s="13">
        <f t="shared" ref="F37:G39" si="4">F38</f>
        <v>15.6</v>
      </c>
      <c r="G37" s="13">
        <f t="shared" si="4"/>
        <v>0</v>
      </c>
      <c r="H37" s="13">
        <f t="shared" si="0"/>
        <v>0</v>
      </c>
    </row>
    <row r="38" spans="1:8" ht="31.5" x14ac:dyDescent="0.25">
      <c r="A38" s="12" t="s">
        <v>132</v>
      </c>
      <c r="B38" s="12" t="s">
        <v>137</v>
      </c>
      <c r="C38" s="33">
        <v>9930000000</v>
      </c>
      <c r="D38" s="12"/>
      <c r="E38" s="31" t="s">
        <v>57</v>
      </c>
      <c r="F38" s="13">
        <f t="shared" si="4"/>
        <v>15.6</v>
      </c>
      <c r="G38" s="13">
        <f t="shared" si="4"/>
        <v>0</v>
      </c>
      <c r="H38" s="13">
        <f t="shared" si="0"/>
        <v>0</v>
      </c>
    </row>
    <row r="39" spans="1:8" ht="75" customHeight="1" x14ac:dyDescent="0.25">
      <c r="A39" s="12" t="s">
        <v>132</v>
      </c>
      <c r="B39" s="12" t="s">
        <v>137</v>
      </c>
      <c r="C39" s="33">
        <v>9930051200</v>
      </c>
      <c r="D39" s="12"/>
      <c r="E39" s="35" t="s">
        <v>312</v>
      </c>
      <c r="F39" s="13">
        <f t="shared" si="4"/>
        <v>15.6</v>
      </c>
      <c r="G39" s="13">
        <f t="shared" si="4"/>
        <v>0</v>
      </c>
      <c r="H39" s="13">
        <f t="shared" si="0"/>
        <v>0</v>
      </c>
    </row>
    <row r="40" spans="1:8" ht="47.25" x14ac:dyDescent="0.25">
      <c r="A40" s="12" t="s">
        <v>132</v>
      </c>
      <c r="B40" s="12" t="s">
        <v>137</v>
      </c>
      <c r="C40" s="33">
        <v>9930051200</v>
      </c>
      <c r="D40" s="12" t="s">
        <v>309</v>
      </c>
      <c r="E40" s="36" t="s">
        <v>310</v>
      </c>
      <c r="F40" s="28">
        <v>15.6</v>
      </c>
      <c r="G40" s="13"/>
      <c r="H40" s="13">
        <f t="shared" si="0"/>
        <v>0</v>
      </c>
    </row>
    <row r="41" spans="1:8" ht="60.75" customHeight="1" x14ac:dyDescent="0.25">
      <c r="A41" s="12" t="s">
        <v>132</v>
      </c>
      <c r="B41" s="12" t="s">
        <v>138</v>
      </c>
      <c r="C41" s="12"/>
      <c r="D41" s="12"/>
      <c r="E41" s="31" t="s">
        <v>164</v>
      </c>
      <c r="F41" s="13">
        <f>SUM(F42)</f>
        <v>10660.3</v>
      </c>
      <c r="G41" s="13">
        <f>SUM(G42)</f>
        <v>7938.4</v>
      </c>
      <c r="H41" s="13">
        <f t="shared" si="0"/>
        <v>74.5</v>
      </c>
    </row>
    <row r="42" spans="1:8" ht="31.5" x14ac:dyDescent="0.25">
      <c r="A42" s="12" t="s">
        <v>132</v>
      </c>
      <c r="B42" s="12" t="s">
        <v>138</v>
      </c>
      <c r="C42" s="33">
        <v>9900000000</v>
      </c>
      <c r="D42" s="12"/>
      <c r="E42" s="34" t="s">
        <v>178</v>
      </c>
      <c r="F42" s="13">
        <f>F43+F48</f>
        <v>10660.3</v>
      </c>
      <c r="G42" s="13">
        <f>G43+G48</f>
        <v>7938.4</v>
      </c>
      <c r="H42" s="13">
        <f t="shared" si="0"/>
        <v>74.5</v>
      </c>
    </row>
    <row r="43" spans="1:8" ht="47.25" x14ac:dyDescent="0.25">
      <c r="A43" s="12" t="s">
        <v>132</v>
      </c>
      <c r="B43" s="12" t="s">
        <v>138</v>
      </c>
      <c r="C43" s="33">
        <v>9980000000</v>
      </c>
      <c r="D43" s="12"/>
      <c r="E43" s="35" t="s">
        <v>38</v>
      </c>
      <c r="F43" s="13">
        <f>F44</f>
        <v>9239.1999999999989</v>
      </c>
      <c r="G43" s="13">
        <f>G44</f>
        <v>6895.7</v>
      </c>
      <c r="H43" s="13">
        <f t="shared" si="0"/>
        <v>74.599999999999994</v>
      </c>
    </row>
    <row r="44" spans="1:8" x14ac:dyDescent="0.25">
      <c r="A44" s="12" t="s">
        <v>132</v>
      </c>
      <c r="B44" s="12" t="s">
        <v>138</v>
      </c>
      <c r="C44" s="33" t="s">
        <v>52</v>
      </c>
      <c r="D44" s="12"/>
      <c r="E44" s="31" t="s">
        <v>156</v>
      </c>
      <c r="F44" s="13">
        <f>SUM(F45:F47)</f>
        <v>9239.1999999999989</v>
      </c>
      <c r="G44" s="13">
        <f>SUM(G45:G47)</f>
        <v>6895.7</v>
      </c>
      <c r="H44" s="13">
        <f t="shared" si="0"/>
        <v>74.599999999999994</v>
      </c>
    </row>
    <row r="45" spans="1:8" ht="47.25" x14ac:dyDescent="0.25">
      <c r="A45" s="12" t="s">
        <v>132</v>
      </c>
      <c r="B45" s="12" t="s">
        <v>138</v>
      </c>
      <c r="C45" s="33" t="s">
        <v>52</v>
      </c>
      <c r="D45" s="12" t="s">
        <v>101</v>
      </c>
      <c r="E45" s="37" t="s">
        <v>102</v>
      </c>
      <c r="F45" s="13">
        <v>8788.2999999999993</v>
      </c>
      <c r="G45" s="13">
        <v>6720.8</v>
      </c>
      <c r="H45" s="22">
        <f t="shared" si="0"/>
        <v>76.5</v>
      </c>
    </row>
    <row r="46" spans="1:8" ht="47.25" x14ac:dyDescent="0.25">
      <c r="A46" s="12" t="s">
        <v>132</v>
      </c>
      <c r="B46" s="12" t="s">
        <v>138</v>
      </c>
      <c r="C46" s="33" t="s">
        <v>52</v>
      </c>
      <c r="D46" s="12" t="s">
        <v>309</v>
      </c>
      <c r="E46" s="36" t="s">
        <v>310</v>
      </c>
      <c r="F46" s="13">
        <v>447.9</v>
      </c>
      <c r="G46" s="13">
        <v>174.9</v>
      </c>
      <c r="H46" s="13">
        <f t="shared" si="0"/>
        <v>39</v>
      </c>
    </row>
    <row r="47" spans="1:8" x14ac:dyDescent="0.25">
      <c r="A47" s="12" t="s">
        <v>132</v>
      </c>
      <c r="B47" s="12" t="s">
        <v>138</v>
      </c>
      <c r="C47" s="33" t="s">
        <v>52</v>
      </c>
      <c r="D47" s="12" t="s">
        <v>313</v>
      </c>
      <c r="E47" s="36" t="s">
        <v>314</v>
      </c>
      <c r="F47" s="13">
        <v>3</v>
      </c>
      <c r="G47" s="13">
        <v>0</v>
      </c>
      <c r="H47" s="13">
        <f t="shared" si="0"/>
        <v>0</v>
      </c>
    </row>
    <row r="48" spans="1:8" ht="47.25" x14ac:dyDescent="0.25">
      <c r="A48" s="12" t="s">
        <v>132</v>
      </c>
      <c r="B48" s="12" t="s">
        <v>138</v>
      </c>
      <c r="C48" s="33">
        <v>9990000000</v>
      </c>
      <c r="D48" s="12"/>
      <c r="E48" s="35" t="s">
        <v>37</v>
      </c>
      <c r="F48" s="13">
        <f>F49</f>
        <v>1421.1</v>
      </c>
      <c r="G48" s="13">
        <f>G49</f>
        <v>1042.7</v>
      </c>
      <c r="H48" s="13">
        <f t="shared" si="0"/>
        <v>73.400000000000006</v>
      </c>
    </row>
    <row r="49" spans="1:8" ht="31.5" x14ac:dyDescent="0.25">
      <c r="A49" s="12" t="s">
        <v>132</v>
      </c>
      <c r="B49" s="12" t="s">
        <v>138</v>
      </c>
      <c r="C49" s="33" t="s">
        <v>51</v>
      </c>
      <c r="D49" s="12"/>
      <c r="E49" s="31" t="s">
        <v>276</v>
      </c>
      <c r="F49" s="13">
        <f>F50+F51</f>
        <v>1421.1</v>
      </c>
      <c r="G49" s="13">
        <f>G50+G51</f>
        <v>1042.7</v>
      </c>
      <c r="H49" s="13">
        <f t="shared" si="0"/>
        <v>73.400000000000006</v>
      </c>
    </row>
    <row r="50" spans="1:8" ht="47.25" x14ac:dyDescent="0.25">
      <c r="A50" s="12" t="s">
        <v>132</v>
      </c>
      <c r="B50" s="12" t="s">
        <v>138</v>
      </c>
      <c r="C50" s="33" t="s">
        <v>51</v>
      </c>
      <c r="D50" s="12" t="s">
        <v>101</v>
      </c>
      <c r="E50" s="31" t="s">
        <v>125</v>
      </c>
      <c r="F50" s="13">
        <v>1417.6</v>
      </c>
      <c r="G50" s="13">
        <v>1042.7</v>
      </c>
      <c r="H50" s="13">
        <f t="shared" si="0"/>
        <v>73.599999999999994</v>
      </c>
    </row>
    <row r="51" spans="1:8" ht="47.25" x14ac:dyDescent="0.25">
      <c r="A51" s="12" t="s">
        <v>132</v>
      </c>
      <c r="B51" s="12" t="s">
        <v>138</v>
      </c>
      <c r="C51" s="33" t="s">
        <v>51</v>
      </c>
      <c r="D51" s="12" t="s">
        <v>309</v>
      </c>
      <c r="E51" s="36" t="s">
        <v>310</v>
      </c>
      <c r="F51" s="13">
        <v>3.5</v>
      </c>
      <c r="G51" s="13">
        <v>0</v>
      </c>
      <c r="H51" s="13">
        <f t="shared" si="0"/>
        <v>0</v>
      </c>
    </row>
    <row r="52" spans="1:8" ht="31.5" x14ac:dyDescent="0.25">
      <c r="A52" s="12" t="s">
        <v>132</v>
      </c>
      <c r="B52" s="12" t="s">
        <v>146</v>
      </c>
      <c r="C52" s="12"/>
      <c r="D52" s="12"/>
      <c r="E52" s="38" t="s">
        <v>539</v>
      </c>
      <c r="F52" s="13">
        <f t="shared" ref="F52:F54" si="5">F53</f>
        <v>1844.8</v>
      </c>
      <c r="G52" s="13">
        <f t="shared" ref="G52:G54" si="6">G53</f>
        <v>1844.8</v>
      </c>
      <c r="H52" s="13">
        <f t="shared" si="0"/>
        <v>100</v>
      </c>
    </row>
    <row r="53" spans="1:8" ht="47.25" x14ac:dyDescent="0.25">
      <c r="A53" s="12" t="s">
        <v>132</v>
      </c>
      <c r="B53" s="12" t="s">
        <v>146</v>
      </c>
      <c r="C53" s="12" t="s">
        <v>34</v>
      </c>
      <c r="D53" s="12"/>
      <c r="E53" s="31" t="s">
        <v>55</v>
      </c>
      <c r="F53" s="13">
        <f t="shared" si="5"/>
        <v>1844.8</v>
      </c>
      <c r="G53" s="13">
        <f t="shared" si="6"/>
        <v>1844.8</v>
      </c>
      <c r="H53" s="13">
        <f t="shared" si="0"/>
        <v>100</v>
      </c>
    </row>
    <row r="54" spans="1:8" ht="31.5" x14ac:dyDescent="0.25">
      <c r="A54" s="12" t="s">
        <v>132</v>
      </c>
      <c r="B54" s="12" t="s">
        <v>146</v>
      </c>
      <c r="C54" s="33" t="s">
        <v>540</v>
      </c>
      <c r="D54" s="12"/>
      <c r="E54" s="38" t="s">
        <v>539</v>
      </c>
      <c r="F54" s="13">
        <f t="shared" si="5"/>
        <v>1844.8</v>
      </c>
      <c r="G54" s="13">
        <f t="shared" si="6"/>
        <v>1844.8</v>
      </c>
      <c r="H54" s="13">
        <f t="shared" si="0"/>
        <v>100</v>
      </c>
    </row>
    <row r="55" spans="1:8" x14ac:dyDescent="0.25">
      <c r="A55" s="12" t="s">
        <v>132</v>
      </c>
      <c r="B55" s="12" t="s">
        <v>146</v>
      </c>
      <c r="C55" s="33" t="s">
        <v>540</v>
      </c>
      <c r="D55" s="12" t="s">
        <v>541</v>
      </c>
      <c r="E55" s="36" t="s">
        <v>542</v>
      </c>
      <c r="F55" s="13">
        <v>1844.8</v>
      </c>
      <c r="G55" s="13">
        <v>1844.8</v>
      </c>
      <c r="H55" s="13">
        <f t="shared" si="0"/>
        <v>100</v>
      </c>
    </row>
    <row r="56" spans="1:8" x14ac:dyDescent="0.25">
      <c r="A56" s="12" t="s">
        <v>132</v>
      </c>
      <c r="B56" s="12" t="s">
        <v>144</v>
      </c>
      <c r="C56" s="12"/>
      <c r="D56" s="12"/>
      <c r="E56" s="11" t="s">
        <v>13</v>
      </c>
      <c r="F56" s="13">
        <f t="shared" ref="F56:G58" si="7">F57</f>
        <v>200</v>
      </c>
      <c r="G56" s="13">
        <f t="shared" si="7"/>
        <v>0</v>
      </c>
      <c r="H56" s="13">
        <f t="shared" si="0"/>
        <v>0</v>
      </c>
    </row>
    <row r="57" spans="1:8" x14ac:dyDescent="0.25">
      <c r="A57" s="12" t="s">
        <v>132</v>
      </c>
      <c r="B57" s="12" t="s">
        <v>144</v>
      </c>
      <c r="C57" s="33">
        <v>9920000000</v>
      </c>
      <c r="D57" s="12"/>
      <c r="E57" s="17" t="s">
        <v>13</v>
      </c>
      <c r="F57" s="13">
        <f t="shared" si="7"/>
        <v>200</v>
      </c>
      <c r="G57" s="13">
        <f t="shared" si="7"/>
        <v>0</v>
      </c>
      <c r="H57" s="13">
        <f t="shared" si="0"/>
        <v>0</v>
      </c>
    </row>
    <row r="58" spans="1:8" ht="31.5" x14ac:dyDescent="0.25">
      <c r="A58" s="12" t="s">
        <v>132</v>
      </c>
      <c r="B58" s="12" t="s">
        <v>144</v>
      </c>
      <c r="C58" s="33" t="s">
        <v>53</v>
      </c>
      <c r="D58" s="12"/>
      <c r="E58" s="31" t="s">
        <v>20</v>
      </c>
      <c r="F58" s="13">
        <f t="shared" si="7"/>
        <v>200</v>
      </c>
      <c r="G58" s="13">
        <f t="shared" si="7"/>
        <v>0</v>
      </c>
      <c r="H58" s="13">
        <f t="shared" si="0"/>
        <v>0</v>
      </c>
    </row>
    <row r="59" spans="1:8" x14ac:dyDescent="0.25">
      <c r="A59" s="12" t="s">
        <v>132</v>
      </c>
      <c r="B59" s="12" t="s">
        <v>144</v>
      </c>
      <c r="C59" s="33" t="s">
        <v>53</v>
      </c>
      <c r="D59" s="12" t="s">
        <v>130</v>
      </c>
      <c r="E59" s="36" t="s">
        <v>131</v>
      </c>
      <c r="F59" s="13">
        <f>250-50</f>
        <v>200</v>
      </c>
      <c r="G59" s="13"/>
      <c r="H59" s="13">
        <f t="shared" si="0"/>
        <v>0</v>
      </c>
    </row>
    <row r="60" spans="1:8" x14ac:dyDescent="0.25">
      <c r="A60" s="12" t="s">
        <v>132</v>
      </c>
      <c r="B60" s="12" t="s">
        <v>17</v>
      </c>
      <c r="C60" s="12"/>
      <c r="D60" s="12"/>
      <c r="E60" s="11" t="s">
        <v>139</v>
      </c>
      <c r="F60" s="13">
        <f>F61+F74+F82</f>
        <v>53394.1</v>
      </c>
      <c r="G60" s="13">
        <f>G61+G74+G82</f>
        <v>36215.200000000004</v>
      </c>
      <c r="H60" s="13">
        <f t="shared" si="0"/>
        <v>67.8</v>
      </c>
    </row>
    <row r="61" spans="1:8" ht="63" x14ac:dyDescent="0.25">
      <c r="A61" s="12" t="s">
        <v>132</v>
      </c>
      <c r="B61" s="12" t="s">
        <v>17</v>
      </c>
      <c r="C61" s="12" t="s">
        <v>110</v>
      </c>
      <c r="D61" s="12"/>
      <c r="E61" s="31" t="s">
        <v>382</v>
      </c>
      <c r="F61" s="13">
        <f>F62</f>
        <v>9411.4999999999982</v>
      </c>
      <c r="G61" s="13">
        <f>G62</f>
        <v>5985.3</v>
      </c>
      <c r="H61" s="13">
        <f t="shared" si="0"/>
        <v>63.6</v>
      </c>
    </row>
    <row r="62" spans="1:8" ht="47.25" x14ac:dyDescent="0.25">
      <c r="A62" s="12" t="s">
        <v>132</v>
      </c>
      <c r="B62" s="12" t="s">
        <v>17</v>
      </c>
      <c r="C62" s="12" t="s">
        <v>111</v>
      </c>
      <c r="D62" s="12"/>
      <c r="E62" s="31" t="s">
        <v>200</v>
      </c>
      <c r="F62" s="13">
        <f>F63+F65+F67+F69+F72</f>
        <v>9411.4999999999982</v>
      </c>
      <c r="G62" s="13">
        <f>G63+G65+G67+G69+G72</f>
        <v>5985.3</v>
      </c>
      <c r="H62" s="13">
        <f t="shared" si="0"/>
        <v>63.6</v>
      </c>
    </row>
    <row r="63" spans="1:8" ht="47.25" x14ac:dyDescent="0.25">
      <c r="A63" s="12" t="s">
        <v>132</v>
      </c>
      <c r="B63" s="12" t="s">
        <v>17</v>
      </c>
      <c r="C63" s="12" t="s">
        <v>202</v>
      </c>
      <c r="D63" s="12"/>
      <c r="E63" s="31" t="s">
        <v>201</v>
      </c>
      <c r="F63" s="13">
        <f>F64</f>
        <v>250</v>
      </c>
      <c r="G63" s="13">
        <f>G64</f>
        <v>148.80000000000001</v>
      </c>
      <c r="H63" s="13">
        <f t="shared" si="0"/>
        <v>59.5</v>
      </c>
    </row>
    <row r="64" spans="1:8" ht="47.25" x14ac:dyDescent="0.25">
      <c r="A64" s="12" t="s">
        <v>132</v>
      </c>
      <c r="B64" s="12" t="s">
        <v>17</v>
      </c>
      <c r="C64" s="12" t="s">
        <v>202</v>
      </c>
      <c r="D64" s="12" t="s">
        <v>309</v>
      </c>
      <c r="E64" s="36" t="s">
        <v>310</v>
      </c>
      <c r="F64" s="13">
        <v>250</v>
      </c>
      <c r="G64" s="13">
        <v>148.80000000000001</v>
      </c>
      <c r="H64" s="13">
        <f t="shared" si="0"/>
        <v>59.5</v>
      </c>
    </row>
    <row r="65" spans="1:8" ht="63" x14ac:dyDescent="0.25">
      <c r="A65" s="12" t="s">
        <v>132</v>
      </c>
      <c r="B65" s="12" t="s">
        <v>17</v>
      </c>
      <c r="C65" s="39" t="s">
        <v>112</v>
      </c>
      <c r="D65" s="12"/>
      <c r="E65" s="31" t="s">
        <v>203</v>
      </c>
      <c r="F65" s="13">
        <f>F66</f>
        <v>119</v>
      </c>
      <c r="G65" s="13">
        <f>G66</f>
        <v>38.5</v>
      </c>
      <c r="H65" s="13">
        <f t="shared" si="0"/>
        <v>32.4</v>
      </c>
    </row>
    <row r="66" spans="1:8" ht="47.25" x14ac:dyDescent="0.25">
      <c r="A66" s="12" t="s">
        <v>132</v>
      </c>
      <c r="B66" s="12" t="s">
        <v>17</v>
      </c>
      <c r="C66" s="39" t="s">
        <v>112</v>
      </c>
      <c r="D66" s="12" t="s">
        <v>309</v>
      </c>
      <c r="E66" s="36" t="s">
        <v>310</v>
      </c>
      <c r="F66" s="13">
        <f>100+19</f>
        <v>119</v>
      </c>
      <c r="G66" s="13">
        <v>38.5</v>
      </c>
      <c r="H66" s="13">
        <f t="shared" si="0"/>
        <v>32.4</v>
      </c>
    </row>
    <row r="67" spans="1:8" ht="95.25" customHeight="1" x14ac:dyDescent="0.25">
      <c r="A67" s="12" t="s">
        <v>132</v>
      </c>
      <c r="B67" s="12" t="s">
        <v>17</v>
      </c>
      <c r="C67" s="39" t="s">
        <v>383</v>
      </c>
      <c r="D67" s="12"/>
      <c r="E67" s="31" t="s">
        <v>384</v>
      </c>
      <c r="F67" s="13">
        <f>F68</f>
        <v>134</v>
      </c>
      <c r="G67" s="13">
        <f>G68</f>
        <v>31.5</v>
      </c>
      <c r="H67" s="13">
        <f t="shared" si="0"/>
        <v>23.5</v>
      </c>
    </row>
    <row r="68" spans="1:8" ht="47.25" x14ac:dyDescent="0.25">
      <c r="A68" s="12" t="s">
        <v>132</v>
      </c>
      <c r="B68" s="12" t="s">
        <v>17</v>
      </c>
      <c r="C68" s="39" t="s">
        <v>383</v>
      </c>
      <c r="D68" s="12" t="s">
        <v>309</v>
      </c>
      <c r="E68" s="36" t="s">
        <v>310</v>
      </c>
      <c r="F68" s="13">
        <v>134</v>
      </c>
      <c r="G68" s="13">
        <v>31.5</v>
      </c>
      <c r="H68" s="13">
        <f t="shared" si="0"/>
        <v>23.5</v>
      </c>
    </row>
    <row r="69" spans="1:8" ht="47.25" x14ac:dyDescent="0.25">
      <c r="A69" s="12" t="s">
        <v>132</v>
      </c>
      <c r="B69" s="12" t="s">
        <v>17</v>
      </c>
      <c r="C69" s="39" t="s">
        <v>113</v>
      </c>
      <c r="D69" s="12"/>
      <c r="E69" s="31" t="s">
        <v>204</v>
      </c>
      <c r="F69" s="13">
        <f>SUM(F70:F71)</f>
        <v>8282.4999999999982</v>
      </c>
      <c r="G69" s="13">
        <f>SUM(G70:G71)</f>
        <v>5140.5</v>
      </c>
      <c r="H69" s="13">
        <f t="shared" si="0"/>
        <v>62.1</v>
      </c>
    </row>
    <row r="70" spans="1:8" ht="47.25" x14ac:dyDescent="0.25">
      <c r="A70" s="12" t="s">
        <v>132</v>
      </c>
      <c r="B70" s="12" t="s">
        <v>17</v>
      </c>
      <c r="C70" s="39" t="s">
        <v>113</v>
      </c>
      <c r="D70" s="12" t="s">
        <v>309</v>
      </c>
      <c r="E70" s="36" t="s">
        <v>310</v>
      </c>
      <c r="F70" s="13">
        <f>5444.5+1424.7-36.6+120-28+969.7-10.7+323.6</f>
        <v>8207.1999999999989</v>
      </c>
      <c r="G70" s="13">
        <v>5065.2</v>
      </c>
      <c r="H70" s="13">
        <f t="shared" si="0"/>
        <v>61.7</v>
      </c>
    </row>
    <row r="71" spans="1:8" ht="31.5" x14ac:dyDescent="0.25">
      <c r="A71" s="12" t="s">
        <v>132</v>
      </c>
      <c r="B71" s="12" t="s">
        <v>17</v>
      </c>
      <c r="C71" s="39" t="s">
        <v>113</v>
      </c>
      <c r="D71" s="12" t="s">
        <v>168</v>
      </c>
      <c r="E71" s="40" t="s">
        <v>169</v>
      </c>
      <c r="F71" s="13">
        <f>36.6+28+10.7</f>
        <v>75.3</v>
      </c>
      <c r="G71" s="13">
        <v>75.3</v>
      </c>
      <c r="H71" s="13">
        <f t="shared" si="0"/>
        <v>100</v>
      </c>
    </row>
    <row r="72" spans="1:8" ht="47.25" x14ac:dyDescent="0.25">
      <c r="A72" s="12" t="s">
        <v>132</v>
      </c>
      <c r="B72" s="12" t="s">
        <v>17</v>
      </c>
      <c r="C72" s="39" t="s">
        <v>715</v>
      </c>
      <c r="D72" s="12"/>
      <c r="E72" s="36" t="s">
        <v>716</v>
      </c>
      <c r="F72" s="13">
        <f>SUM(F73)</f>
        <v>626</v>
      </c>
      <c r="G72" s="13">
        <f>SUM(G73)</f>
        <v>626</v>
      </c>
      <c r="H72" s="13">
        <f t="shared" si="0"/>
        <v>100</v>
      </c>
    </row>
    <row r="73" spans="1:8" ht="78.75" x14ac:dyDescent="0.25">
      <c r="A73" s="12" t="s">
        <v>132</v>
      </c>
      <c r="B73" s="12" t="s">
        <v>17</v>
      </c>
      <c r="C73" s="39" t="s">
        <v>715</v>
      </c>
      <c r="D73" s="12" t="s">
        <v>327</v>
      </c>
      <c r="E73" s="36" t="s">
        <v>488</v>
      </c>
      <c r="F73" s="13">
        <v>626</v>
      </c>
      <c r="G73" s="13">
        <v>626</v>
      </c>
      <c r="H73" s="13">
        <f t="shared" si="0"/>
        <v>100</v>
      </c>
    </row>
    <row r="74" spans="1:8" ht="63" x14ac:dyDescent="0.25">
      <c r="A74" s="12" t="s">
        <v>132</v>
      </c>
      <c r="B74" s="12" t="s">
        <v>17</v>
      </c>
      <c r="C74" s="12" t="s">
        <v>86</v>
      </c>
      <c r="D74" s="12"/>
      <c r="E74" s="31" t="s">
        <v>396</v>
      </c>
      <c r="F74" s="22">
        <f>F75</f>
        <v>1178.2</v>
      </c>
      <c r="G74" s="22">
        <f>G75</f>
        <v>0</v>
      </c>
      <c r="H74" s="13">
        <f t="shared" si="0"/>
        <v>0</v>
      </c>
    </row>
    <row r="75" spans="1:8" ht="78.75" x14ac:dyDescent="0.25">
      <c r="A75" s="12" t="s">
        <v>132</v>
      </c>
      <c r="B75" s="12" t="s">
        <v>17</v>
      </c>
      <c r="C75" s="12" t="s">
        <v>480</v>
      </c>
      <c r="D75" s="12"/>
      <c r="E75" s="36" t="s">
        <v>481</v>
      </c>
      <c r="F75" s="13">
        <f>F76+F78+F80</f>
        <v>1178.2</v>
      </c>
      <c r="G75" s="13">
        <f>G76+G78+G80</f>
        <v>0</v>
      </c>
      <c r="H75" s="13">
        <f t="shared" si="0"/>
        <v>0</v>
      </c>
    </row>
    <row r="76" spans="1:8" ht="94.5" x14ac:dyDescent="0.25">
      <c r="A76" s="12" t="s">
        <v>132</v>
      </c>
      <c r="B76" s="12" t="s">
        <v>17</v>
      </c>
      <c r="C76" s="12" t="s">
        <v>616</v>
      </c>
      <c r="D76" s="12"/>
      <c r="E76" s="36" t="s">
        <v>617</v>
      </c>
      <c r="F76" s="13">
        <f>F77</f>
        <v>518.20000000000005</v>
      </c>
      <c r="G76" s="13">
        <f>G77</f>
        <v>0</v>
      </c>
      <c r="H76" s="13">
        <f t="shared" ref="H76:H78" si="8">ROUND((G76/F76*100),1)</f>
        <v>0</v>
      </c>
    </row>
    <row r="77" spans="1:8" ht="47.25" x14ac:dyDescent="0.25">
      <c r="A77" s="12" t="s">
        <v>132</v>
      </c>
      <c r="B77" s="12" t="s">
        <v>17</v>
      </c>
      <c r="C77" s="12" t="s">
        <v>616</v>
      </c>
      <c r="D77" s="12" t="s">
        <v>309</v>
      </c>
      <c r="E77" s="36" t="s">
        <v>310</v>
      </c>
      <c r="F77" s="13">
        <f>525.7+132+1-143+2.5</f>
        <v>518.20000000000005</v>
      </c>
      <c r="G77" s="13">
        <v>0</v>
      </c>
      <c r="H77" s="13">
        <f t="shared" si="8"/>
        <v>0</v>
      </c>
    </row>
    <row r="78" spans="1:8" ht="78.75" x14ac:dyDescent="0.25">
      <c r="A78" s="12" t="s">
        <v>132</v>
      </c>
      <c r="B78" s="12" t="s">
        <v>17</v>
      </c>
      <c r="C78" s="12" t="s">
        <v>618</v>
      </c>
      <c r="D78" s="12"/>
      <c r="E78" s="35" t="s">
        <v>619</v>
      </c>
      <c r="F78" s="13">
        <f>F79</f>
        <v>650</v>
      </c>
      <c r="G78" s="13">
        <f>G79</f>
        <v>0</v>
      </c>
      <c r="H78" s="13">
        <f t="shared" si="8"/>
        <v>0</v>
      </c>
    </row>
    <row r="79" spans="1:8" ht="47.25" x14ac:dyDescent="0.25">
      <c r="A79" s="12" t="s">
        <v>132</v>
      </c>
      <c r="B79" s="12" t="s">
        <v>17</v>
      </c>
      <c r="C79" s="12" t="s">
        <v>618</v>
      </c>
      <c r="D79" s="12" t="s">
        <v>309</v>
      </c>
      <c r="E79" s="36" t="s">
        <v>310</v>
      </c>
      <c r="F79" s="13">
        <v>650</v>
      </c>
      <c r="G79" s="13">
        <v>0</v>
      </c>
      <c r="H79" s="13">
        <f t="shared" ref="H79:H135" si="9">ROUND((G79/F79*100),1)</f>
        <v>0</v>
      </c>
    </row>
    <row r="80" spans="1:8" ht="126" x14ac:dyDescent="0.25">
      <c r="A80" s="12" t="s">
        <v>132</v>
      </c>
      <c r="B80" s="12" t="s">
        <v>17</v>
      </c>
      <c r="C80" s="12" t="s">
        <v>620</v>
      </c>
      <c r="D80" s="12"/>
      <c r="E80" s="41" t="s">
        <v>621</v>
      </c>
      <c r="F80" s="13">
        <f>F81</f>
        <v>10</v>
      </c>
      <c r="G80" s="13">
        <f t="shared" ref="G80" si="10">G81</f>
        <v>0</v>
      </c>
      <c r="H80" s="13">
        <f t="shared" si="9"/>
        <v>0</v>
      </c>
    </row>
    <row r="81" spans="1:8" ht="47.25" x14ac:dyDescent="0.25">
      <c r="A81" s="12" t="s">
        <v>132</v>
      </c>
      <c r="B81" s="12" t="s">
        <v>17</v>
      </c>
      <c r="C81" s="12" t="s">
        <v>620</v>
      </c>
      <c r="D81" s="12" t="s">
        <v>309</v>
      </c>
      <c r="E81" s="36" t="s">
        <v>310</v>
      </c>
      <c r="F81" s="13">
        <v>10</v>
      </c>
      <c r="G81" s="13"/>
      <c r="H81" s="13">
        <f t="shared" si="9"/>
        <v>0</v>
      </c>
    </row>
    <row r="82" spans="1:8" ht="31.5" x14ac:dyDescent="0.25">
      <c r="A82" s="12" t="s">
        <v>132</v>
      </c>
      <c r="B82" s="12" t="s">
        <v>17</v>
      </c>
      <c r="C82" s="33">
        <v>9900000000</v>
      </c>
      <c r="D82" s="12"/>
      <c r="E82" s="34" t="s">
        <v>178</v>
      </c>
      <c r="F82" s="13">
        <f>F83+F94+F89+F102</f>
        <v>42804.4</v>
      </c>
      <c r="G82" s="13">
        <f>G83+G94+G89+G102</f>
        <v>30229.9</v>
      </c>
      <c r="H82" s="13">
        <f t="shared" si="9"/>
        <v>70.599999999999994</v>
      </c>
    </row>
    <row r="83" spans="1:8" ht="31.5" x14ac:dyDescent="0.25">
      <c r="A83" s="12" t="s">
        <v>132</v>
      </c>
      <c r="B83" s="12" t="s">
        <v>17</v>
      </c>
      <c r="C83" s="33">
        <v>9930000000</v>
      </c>
      <c r="D83" s="12"/>
      <c r="E83" s="31" t="s">
        <v>57</v>
      </c>
      <c r="F83" s="13">
        <f>F84+F87</f>
        <v>765.2</v>
      </c>
      <c r="G83" s="13">
        <f>G84+G87</f>
        <v>129.5</v>
      </c>
      <c r="H83" s="13">
        <f t="shared" si="9"/>
        <v>16.899999999999999</v>
      </c>
    </row>
    <row r="84" spans="1:8" ht="63" x14ac:dyDescent="0.25">
      <c r="A84" s="12" t="s">
        <v>132</v>
      </c>
      <c r="B84" s="12" t="s">
        <v>17</v>
      </c>
      <c r="C84" s="33">
        <v>9930010540</v>
      </c>
      <c r="D84" s="12"/>
      <c r="E84" s="31" t="s">
        <v>27</v>
      </c>
      <c r="F84" s="13">
        <f>F85+F86</f>
        <v>199.8</v>
      </c>
      <c r="G84" s="13">
        <f>G85+G86</f>
        <v>129.5</v>
      </c>
      <c r="H84" s="13">
        <f t="shared" si="9"/>
        <v>64.8</v>
      </c>
    </row>
    <row r="85" spans="1:8" ht="47.25" x14ac:dyDescent="0.25">
      <c r="A85" s="12" t="s">
        <v>132</v>
      </c>
      <c r="B85" s="12" t="s">
        <v>17</v>
      </c>
      <c r="C85" s="33">
        <v>9930010540</v>
      </c>
      <c r="D85" s="12" t="s">
        <v>101</v>
      </c>
      <c r="E85" s="37" t="s">
        <v>102</v>
      </c>
      <c r="F85" s="13">
        <v>171.3</v>
      </c>
      <c r="G85" s="13">
        <v>129.5</v>
      </c>
      <c r="H85" s="13">
        <f t="shared" si="9"/>
        <v>75.599999999999994</v>
      </c>
    </row>
    <row r="86" spans="1:8" ht="47.25" x14ac:dyDescent="0.25">
      <c r="A86" s="12" t="s">
        <v>132</v>
      </c>
      <c r="B86" s="12" t="s">
        <v>17</v>
      </c>
      <c r="C86" s="33">
        <v>9930010540</v>
      </c>
      <c r="D86" s="12" t="s">
        <v>309</v>
      </c>
      <c r="E86" s="36" t="s">
        <v>310</v>
      </c>
      <c r="F86" s="13">
        <v>28.5</v>
      </c>
      <c r="G86" s="13"/>
      <c r="H86" s="13">
        <f t="shared" si="9"/>
        <v>0</v>
      </c>
    </row>
    <row r="87" spans="1:8" ht="47.25" x14ac:dyDescent="0.25">
      <c r="A87" s="12" t="s">
        <v>132</v>
      </c>
      <c r="B87" s="12" t="s">
        <v>17</v>
      </c>
      <c r="C87" s="33">
        <v>9930054690</v>
      </c>
      <c r="D87" s="12"/>
      <c r="E87" s="36" t="s">
        <v>482</v>
      </c>
      <c r="F87" s="13">
        <f>F88</f>
        <v>565.4</v>
      </c>
      <c r="G87" s="13">
        <f>G88</f>
        <v>0</v>
      </c>
      <c r="H87" s="13">
        <f t="shared" si="9"/>
        <v>0</v>
      </c>
    </row>
    <row r="88" spans="1:8" ht="47.25" x14ac:dyDescent="0.25">
      <c r="A88" s="12" t="s">
        <v>132</v>
      </c>
      <c r="B88" s="12" t="s">
        <v>17</v>
      </c>
      <c r="C88" s="33">
        <v>9930054690</v>
      </c>
      <c r="D88" s="12" t="s">
        <v>309</v>
      </c>
      <c r="E88" s="36" t="s">
        <v>310</v>
      </c>
      <c r="F88" s="13">
        <f>577.4-12</f>
        <v>565.4</v>
      </c>
      <c r="G88" s="13"/>
      <c r="H88" s="13">
        <f t="shared" si="9"/>
        <v>0</v>
      </c>
    </row>
    <row r="89" spans="1:8" ht="47.25" x14ac:dyDescent="0.25">
      <c r="A89" s="12" t="s">
        <v>132</v>
      </c>
      <c r="B89" s="12" t="s">
        <v>17</v>
      </c>
      <c r="C89" s="12" t="s">
        <v>34</v>
      </c>
      <c r="D89" s="12"/>
      <c r="E89" s="31" t="s">
        <v>55</v>
      </c>
      <c r="F89" s="13">
        <f>F90</f>
        <v>2628.4</v>
      </c>
      <c r="G89" s="13">
        <f>G90</f>
        <v>2226.5</v>
      </c>
      <c r="H89" s="13">
        <f t="shared" si="9"/>
        <v>84.7</v>
      </c>
    </row>
    <row r="90" spans="1:8" ht="31.5" x14ac:dyDescent="0.25">
      <c r="A90" s="12" t="s">
        <v>132</v>
      </c>
      <c r="B90" s="12" t="s">
        <v>17</v>
      </c>
      <c r="C90" s="12" t="s">
        <v>268</v>
      </c>
      <c r="D90" s="12"/>
      <c r="E90" s="31" t="s">
        <v>56</v>
      </c>
      <c r="F90" s="13">
        <f>SUM(F91:F93)</f>
        <v>2628.4</v>
      </c>
      <c r="G90" s="13">
        <f>SUM(G91:G93)</f>
        <v>2226.5</v>
      </c>
      <c r="H90" s="13">
        <f t="shared" si="9"/>
        <v>84.7</v>
      </c>
    </row>
    <row r="91" spans="1:8" ht="47.25" x14ac:dyDescent="0.25">
      <c r="A91" s="12" t="s">
        <v>132</v>
      </c>
      <c r="B91" s="12" t="s">
        <v>17</v>
      </c>
      <c r="C91" s="12" t="s">
        <v>268</v>
      </c>
      <c r="D91" s="12" t="s">
        <v>309</v>
      </c>
      <c r="E91" s="36" t="s">
        <v>310</v>
      </c>
      <c r="F91" s="13">
        <v>241</v>
      </c>
      <c r="G91" s="13">
        <v>91.4</v>
      </c>
      <c r="H91" s="13">
        <f t="shared" si="9"/>
        <v>37.9</v>
      </c>
    </row>
    <row r="92" spans="1:8" x14ac:dyDescent="0.25">
      <c r="A92" s="12" t="s">
        <v>132</v>
      </c>
      <c r="B92" s="12" t="s">
        <v>17</v>
      </c>
      <c r="C92" s="12" t="s">
        <v>268</v>
      </c>
      <c r="D92" s="12" t="s">
        <v>127</v>
      </c>
      <c r="E92" s="36" t="s">
        <v>128</v>
      </c>
      <c r="F92" s="13">
        <f>359-101</f>
        <v>258</v>
      </c>
      <c r="G92" s="13">
        <v>19.100000000000001</v>
      </c>
      <c r="H92" s="13">
        <f t="shared" si="9"/>
        <v>7.4</v>
      </c>
    </row>
    <row r="93" spans="1:8" ht="31.5" x14ac:dyDescent="0.25">
      <c r="A93" s="12" t="s">
        <v>132</v>
      </c>
      <c r="B93" s="12" t="s">
        <v>17</v>
      </c>
      <c r="C93" s="12" t="s">
        <v>268</v>
      </c>
      <c r="D93" s="12" t="s">
        <v>168</v>
      </c>
      <c r="E93" s="36" t="s">
        <v>169</v>
      </c>
      <c r="F93" s="13">
        <f>602+127.4+750+350+300</f>
        <v>2129.4</v>
      </c>
      <c r="G93" s="13">
        <v>2116</v>
      </c>
      <c r="H93" s="13">
        <f t="shared" si="9"/>
        <v>99.4</v>
      </c>
    </row>
    <row r="94" spans="1:8" ht="47.25" x14ac:dyDescent="0.25">
      <c r="A94" s="12" t="s">
        <v>132</v>
      </c>
      <c r="B94" s="12" t="s">
        <v>17</v>
      </c>
      <c r="C94" s="12" t="s">
        <v>259</v>
      </c>
      <c r="D94" s="12"/>
      <c r="E94" s="31" t="s">
        <v>260</v>
      </c>
      <c r="F94" s="13">
        <f>F95+F98</f>
        <v>38893.300000000003</v>
      </c>
      <c r="G94" s="13">
        <f>G95+G98</f>
        <v>27506.600000000002</v>
      </c>
      <c r="H94" s="13">
        <f t="shared" si="9"/>
        <v>70.7</v>
      </c>
    </row>
    <row r="95" spans="1:8" ht="47.25" x14ac:dyDescent="0.25">
      <c r="A95" s="12" t="s">
        <v>132</v>
      </c>
      <c r="B95" s="12" t="s">
        <v>17</v>
      </c>
      <c r="C95" s="12" t="s">
        <v>261</v>
      </c>
      <c r="D95" s="12"/>
      <c r="E95" s="35" t="s">
        <v>315</v>
      </c>
      <c r="F95" s="13">
        <f>SUM(F96:F97)</f>
        <v>8869.2000000000007</v>
      </c>
      <c r="G95" s="13">
        <f>SUM(G96:G97)</f>
        <v>6128.2</v>
      </c>
      <c r="H95" s="13">
        <f t="shared" si="9"/>
        <v>69.099999999999994</v>
      </c>
    </row>
    <row r="96" spans="1:8" ht="31.5" x14ac:dyDescent="0.25">
      <c r="A96" s="12" t="s">
        <v>132</v>
      </c>
      <c r="B96" s="12" t="s">
        <v>17</v>
      </c>
      <c r="C96" s="12" t="s">
        <v>261</v>
      </c>
      <c r="D96" s="12" t="s">
        <v>103</v>
      </c>
      <c r="E96" s="37" t="s">
        <v>167</v>
      </c>
      <c r="F96" s="13">
        <v>8108.8</v>
      </c>
      <c r="G96" s="13">
        <v>5828.3</v>
      </c>
      <c r="H96" s="13">
        <f t="shared" si="9"/>
        <v>71.900000000000006</v>
      </c>
    </row>
    <row r="97" spans="1:8" ht="47.25" x14ac:dyDescent="0.25">
      <c r="A97" s="12" t="s">
        <v>132</v>
      </c>
      <c r="B97" s="12" t="s">
        <v>17</v>
      </c>
      <c r="C97" s="12" t="s">
        <v>261</v>
      </c>
      <c r="D97" s="12" t="s">
        <v>309</v>
      </c>
      <c r="E97" s="36" t="s">
        <v>310</v>
      </c>
      <c r="F97" s="13">
        <v>760.4</v>
      </c>
      <c r="G97" s="13">
        <v>299.89999999999998</v>
      </c>
      <c r="H97" s="13">
        <f t="shared" si="9"/>
        <v>39.4</v>
      </c>
    </row>
    <row r="98" spans="1:8" ht="31.5" x14ac:dyDescent="0.25">
      <c r="A98" s="12" t="s">
        <v>132</v>
      </c>
      <c r="B98" s="12" t="s">
        <v>17</v>
      </c>
      <c r="C98" s="12" t="s">
        <v>269</v>
      </c>
      <c r="D98" s="12"/>
      <c r="E98" s="35" t="s">
        <v>316</v>
      </c>
      <c r="F98" s="13">
        <f>SUM(F99:F101)</f>
        <v>30024.1</v>
      </c>
      <c r="G98" s="13">
        <f>SUM(G99:G101)</f>
        <v>21378.400000000001</v>
      </c>
      <c r="H98" s="22">
        <f t="shared" si="9"/>
        <v>71.2</v>
      </c>
    </row>
    <row r="99" spans="1:8" ht="31.5" x14ac:dyDescent="0.25">
      <c r="A99" s="12" t="s">
        <v>132</v>
      </c>
      <c r="B99" s="12" t="s">
        <v>17</v>
      </c>
      <c r="C99" s="12" t="s">
        <v>269</v>
      </c>
      <c r="D99" s="12" t="s">
        <v>103</v>
      </c>
      <c r="E99" s="37" t="s">
        <v>167</v>
      </c>
      <c r="F99" s="13">
        <f>8142.2-25+260</f>
        <v>8377.2000000000007</v>
      </c>
      <c r="G99" s="13">
        <v>5597.6</v>
      </c>
      <c r="H99" s="13">
        <f t="shared" si="9"/>
        <v>66.8</v>
      </c>
    </row>
    <row r="100" spans="1:8" ht="47.25" x14ac:dyDescent="0.25">
      <c r="A100" s="12" t="s">
        <v>132</v>
      </c>
      <c r="B100" s="12" t="s">
        <v>17</v>
      </c>
      <c r="C100" s="12" t="s">
        <v>269</v>
      </c>
      <c r="D100" s="12" t="s">
        <v>309</v>
      </c>
      <c r="E100" s="36" t="s">
        <v>310</v>
      </c>
      <c r="F100" s="13">
        <f>15321.3+1000+8072-15-2500-100-260</f>
        <v>21518.3</v>
      </c>
      <c r="G100" s="13">
        <v>15732.3</v>
      </c>
      <c r="H100" s="13">
        <f t="shared" si="9"/>
        <v>73.099999999999994</v>
      </c>
    </row>
    <row r="101" spans="1:8" ht="31.5" x14ac:dyDescent="0.25">
      <c r="A101" s="12" t="s">
        <v>132</v>
      </c>
      <c r="B101" s="12" t="s">
        <v>17</v>
      </c>
      <c r="C101" s="12" t="s">
        <v>269</v>
      </c>
      <c r="D101" s="12" t="s">
        <v>168</v>
      </c>
      <c r="E101" s="36" t="s">
        <v>169</v>
      </c>
      <c r="F101" s="28">
        <f>113.6+15</f>
        <v>128.6</v>
      </c>
      <c r="G101" s="13">
        <v>48.5</v>
      </c>
      <c r="H101" s="13">
        <f t="shared" si="9"/>
        <v>37.700000000000003</v>
      </c>
    </row>
    <row r="102" spans="1:8" ht="47.25" x14ac:dyDescent="0.25">
      <c r="A102" s="12" t="s">
        <v>132</v>
      </c>
      <c r="B102" s="12" t="s">
        <v>17</v>
      </c>
      <c r="C102" s="33">
        <v>9980000000</v>
      </c>
      <c r="D102" s="12"/>
      <c r="E102" s="35" t="s">
        <v>38</v>
      </c>
      <c r="F102" s="13">
        <f>F103</f>
        <v>517.5</v>
      </c>
      <c r="G102" s="13">
        <f>G103</f>
        <v>367.29999999999995</v>
      </c>
      <c r="H102" s="13">
        <f t="shared" si="9"/>
        <v>71</v>
      </c>
    </row>
    <row r="103" spans="1:8" x14ac:dyDescent="0.25">
      <c r="A103" s="12" t="s">
        <v>132</v>
      </c>
      <c r="B103" s="12" t="s">
        <v>17</v>
      </c>
      <c r="C103" s="33" t="s">
        <v>54</v>
      </c>
      <c r="D103" s="12"/>
      <c r="E103" s="42" t="s">
        <v>317</v>
      </c>
      <c r="F103" s="13">
        <f>F104+F105</f>
        <v>517.5</v>
      </c>
      <c r="G103" s="13">
        <f>G104+G105</f>
        <v>367.29999999999995</v>
      </c>
      <c r="H103" s="13">
        <f t="shared" si="9"/>
        <v>71</v>
      </c>
    </row>
    <row r="104" spans="1:8" ht="47.25" x14ac:dyDescent="0.25">
      <c r="A104" s="12" t="s">
        <v>132</v>
      </c>
      <c r="B104" s="12" t="s">
        <v>17</v>
      </c>
      <c r="C104" s="33" t="s">
        <v>54</v>
      </c>
      <c r="D104" s="12" t="s">
        <v>101</v>
      </c>
      <c r="E104" s="34" t="s">
        <v>102</v>
      </c>
      <c r="F104" s="13">
        <v>203.6</v>
      </c>
      <c r="G104" s="13">
        <v>169.2</v>
      </c>
      <c r="H104" s="13">
        <f t="shared" si="9"/>
        <v>83.1</v>
      </c>
    </row>
    <row r="105" spans="1:8" ht="47.25" x14ac:dyDescent="0.25">
      <c r="A105" s="12" t="s">
        <v>132</v>
      </c>
      <c r="B105" s="12" t="s">
        <v>17</v>
      </c>
      <c r="C105" s="33" t="s">
        <v>54</v>
      </c>
      <c r="D105" s="12" t="s">
        <v>309</v>
      </c>
      <c r="E105" s="36" t="s">
        <v>310</v>
      </c>
      <c r="F105" s="13">
        <v>313.89999999999998</v>
      </c>
      <c r="G105" s="13">
        <v>198.1</v>
      </c>
      <c r="H105" s="13">
        <f t="shared" si="9"/>
        <v>63.1</v>
      </c>
    </row>
    <row r="106" spans="1:8" ht="31.5" x14ac:dyDescent="0.25">
      <c r="A106" s="12" t="s">
        <v>135</v>
      </c>
      <c r="B106" s="11"/>
      <c r="C106" s="11"/>
      <c r="D106" s="11"/>
      <c r="E106" s="31" t="s">
        <v>140</v>
      </c>
      <c r="F106" s="13">
        <f>F107+F112+F139</f>
        <v>7886.4000000000005</v>
      </c>
      <c r="G106" s="13">
        <f>G107+G112+G139</f>
        <v>5448.7999999999993</v>
      </c>
      <c r="H106" s="13">
        <f t="shared" si="9"/>
        <v>69.099999999999994</v>
      </c>
    </row>
    <row r="107" spans="1:8" x14ac:dyDescent="0.25">
      <c r="A107" s="12" t="s">
        <v>135</v>
      </c>
      <c r="B107" s="12" t="s">
        <v>136</v>
      </c>
      <c r="C107" s="12"/>
      <c r="D107" s="12"/>
      <c r="E107" s="31" t="s">
        <v>29</v>
      </c>
      <c r="F107" s="13">
        <f>F110</f>
        <v>1124.4000000000001</v>
      </c>
      <c r="G107" s="13">
        <f>G110</f>
        <v>825.2</v>
      </c>
      <c r="H107" s="13">
        <f t="shared" si="9"/>
        <v>73.400000000000006</v>
      </c>
    </row>
    <row r="108" spans="1:8" ht="31.5" x14ac:dyDescent="0.25">
      <c r="A108" s="12" t="s">
        <v>135</v>
      </c>
      <c r="B108" s="12" t="s">
        <v>136</v>
      </c>
      <c r="C108" s="33">
        <v>9900000000</v>
      </c>
      <c r="D108" s="12"/>
      <c r="E108" s="34" t="s">
        <v>178</v>
      </c>
      <c r="F108" s="13">
        <f t="shared" ref="F108:G109" si="11">F109</f>
        <v>1124.4000000000001</v>
      </c>
      <c r="G108" s="13">
        <f t="shared" si="11"/>
        <v>825.2</v>
      </c>
      <c r="H108" s="13">
        <f t="shared" si="9"/>
        <v>73.400000000000006</v>
      </c>
    </row>
    <row r="109" spans="1:8" ht="31.5" x14ac:dyDescent="0.25">
      <c r="A109" s="12" t="s">
        <v>135</v>
      </c>
      <c r="B109" s="12" t="s">
        <v>136</v>
      </c>
      <c r="C109" s="33">
        <v>9930000000</v>
      </c>
      <c r="D109" s="12"/>
      <c r="E109" s="31" t="s">
        <v>57</v>
      </c>
      <c r="F109" s="13">
        <f t="shared" si="11"/>
        <v>1124.4000000000001</v>
      </c>
      <c r="G109" s="13">
        <f t="shared" si="11"/>
        <v>825.2</v>
      </c>
      <c r="H109" s="13">
        <f t="shared" si="9"/>
        <v>73.400000000000006</v>
      </c>
    </row>
    <row r="110" spans="1:8" ht="63" x14ac:dyDescent="0.25">
      <c r="A110" s="12" t="s">
        <v>135</v>
      </c>
      <c r="B110" s="12" t="s">
        <v>136</v>
      </c>
      <c r="C110" s="33">
        <v>9930059302</v>
      </c>
      <c r="D110" s="12"/>
      <c r="E110" s="31" t="s">
        <v>483</v>
      </c>
      <c r="F110" s="13">
        <f>SUM(F111:F111)</f>
        <v>1124.4000000000001</v>
      </c>
      <c r="G110" s="13">
        <f>SUM(G111:G111)</f>
        <v>825.2</v>
      </c>
      <c r="H110" s="13">
        <f t="shared" si="9"/>
        <v>73.400000000000006</v>
      </c>
    </row>
    <row r="111" spans="1:8" ht="47.25" x14ac:dyDescent="0.25">
      <c r="A111" s="12" t="s">
        <v>135</v>
      </c>
      <c r="B111" s="12" t="s">
        <v>136</v>
      </c>
      <c r="C111" s="33">
        <v>9930059302</v>
      </c>
      <c r="D111" s="12" t="s">
        <v>101</v>
      </c>
      <c r="E111" s="34" t="s">
        <v>102</v>
      </c>
      <c r="F111" s="13">
        <v>1124.4000000000001</v>
      </c>
      <c r="G111" s="13">
        <v>825.2</v>
      </c>
      <c r="H111" s="13">
        <f t="shared" si="9"/>
        <v>73.400000000000006</v>
      </c>
    </row>
    <row r="112" spans="1:8" ht="63" x14ac:dyDescent="0.25">
      <c r="A112" s="12" t="s">
        <v>135</v>
      </c>
      <c r="B112" s="12" t="s">
        <v>152</v>
      </c>
      <c r="C112" s="12"/>
      <c r="D112" s="12"/>
      <c r="E112" s="31" t="s">
        <v>543</v>
      </c>
      <c r="F112" s="13">
        <f>F113+F134</f>
        <v>6605.7000000000007</v>
      </c>
      <c r="G112" s="13">
        <f>G113+G134</f>
        <v>4517.8999999999996</v>
      </c>
      <c r="H112" s="13">
        <f t="shared" si="9"/>
        <v>68.400000000000006</v>
      </c>
    </row>
    <row r="113" spans="1:8" ht="78.75" x14ac:dyDescent="0.25">
      <c r="A113" s="12" t="s">
        <v>135</v>
      </c>
      <c r="B113" s="12" t="s">
        <v>152</v>
      </c>
      <c r="C113" s="12" t="s">
        <v>75</v>
      </c>
      <c r="D113" s="12"/>
      <c r="E113" s="31" t="s">
        <v>388</v>
      </c>
      <c r="F113" s="13">
        <f>F114+F119+F124+F129</f>
        <v>1700</v>
      </c>
      <c r="G113" s="13">
        <f>G114+G119+G124+G129</f>
        <v>1041.3</v>
      </c>
      <c r="H113" s="13">
        <f t="shared" si="9"/>
        <v>61.3</v>
      </c>
    </row>
    <row r="114" spans="1:8" ht="59.25" customHeight="1" x14ac:dyDescent="0.25">
      <c r="A114" s="12" t="s">
        <v>135</v>
      </c>
      <c r="B114" s="12" t="s">
        <v>152</v>
      </c>
      <c r="C114" s="12" t="s">
        <v>76</v>
      </c>
      <c r="D114" s="12"/>
      <c r="E114" s="31" t="s">
        <v>279</v>
      </c>
      <c r="F114" s="13">
        <f>F115+F117</f>
        <v>80</v>
      </c>
      <c r="G114" s="13">
        <f>G115+G117</f>
        <v>19.5</v>
      </c>
      <c r="H114" s="13">
        <f t="shared" si="9"/>
        <v>24.4</v>
      </c>
    </row>
    <row r="115" spans="1:8" ht="47.25" x14ac:dyDescent="0.25">
      <c r="A115" s="12" t="s">
        <v>135</v>
      </c>
      <c r="B115" s="12" t="s">
        <v>152</v>
      </c>
      <c r="C115" s="39" t="s">
        <v>74</v>
      </c>
      <c r="D115" s="12"/>
      <c r="E115" s="31" t="s">
        <v>318</v>
      </c>
      <c r="F115" s="13">
        <f>F116</f>
        <v>49</v>
      </c>
      <c r="G115" s="13">
        <f>G116</f>
        <v>0</v>
      </c>
      <c r="H115" s="13">
        <f t="shared" si="9"/>
        <v>0</v>
      </c>
    </row>
    <row r="116" spans="1:8" ht="47.25" x14ac:dyDescent="0.25">
      <c r="A116" s="12" t="s">
        <v>135</v>
      </c>
      <c r="B116" s="12" t="s">
        <v>152</v>
      </c>
      <c r="C116" s="39" t="s">
        <v>74</v>
      </c>
      <c r="D116" s="12" t="s">
        <v>309</v>
      </c>
      <c r="E116" s="36" t="s">
        <v>310</v>
      </c>
      <c r="F116" s="13">
        <v>49</v>
      </c>
      <c r="G116" s="13">
        <v>0</v>
      </c>
      <c r="H116" s="13">
        <f t="shared" si="9"/>
        <v>0</v>
      </c>
    </row>
    <row r="117" spans="1:8" ht="78.75" x14ac:dyDescent="0.25">
      <c r="A117" s="12" t="s">
        <v>135</v>
      </c>
      <c r="B117" s="12" t="s">
        <v>152</v>
      </c>
      <c r="C117" s="39" t="s">
        <v>77</v>
      </c>
      <c r="D117" s="12"/>
      <c r="E117" s="31" t="s">
        <v>283</v>
      </c>
      <c r="F117" s="13">
        <f>F118</f>
        <v>31</v>
      </c>
      <c r="G117" s="13">
        <f>G118</f>
        <v>19.5</v>
      </c>
      <c r="H117" s="13">
        <f t="shared" si="9"/>
        <v>62.9</v>
      </c>
    </row>
    <row r="118" spans="1:8" ht="47.25" x14ac:dyDescent="0.25">
      <c r="A118" s="12" t="s">
        <v>135</v>
      </c>
      <c r="B118" s="12" t="s">
        <v>152</v>
      </c>
      <c r="C118" s="39" t="s">
        <v>77</v>
      </c>
      <c r="D118" s="12" t="s">
        <v>309</v>
      </c>
      <c r="E118" s="36" t="s">
        <v>310</v>
      </c>
      <c r="F118" s="13">
        <v>31</v>
      </c>
      <c r="G118" s="13">
        <v>19.5</v>
      </c>
      <c r="H118" s="13">
        <f t="shared" si="9"/>
        <v>62.9</v>
      </c>
    </row>
    <row r="119" spans="1:8" ht="46.5" customHeight="1" x14ac:dyDescent="0.25">
      <c r="A119" s="12" t="s">
        <v>135</v>
      </c>
      <c r="B119" s="12" t="s">
        <v>152</v>
      </c>
      <c r="C119" s="12" t="s">
        <v>78</v>
      </c>
      <c r="D119" s="12"/>
      <c r="E119" s="31" t="s">
        <v>273</v>
      </c>
      <c r="F119" s="13">
        <f>F120+F122</f>
        <v>1600</v>
      </c>
      <c r="G119" s="13">
        <f>G120+G122</f>
        <v>1014.3</v>
      </c>
      <c r="H119" s="13">
        <f t="shared" si="9"/>
        <v>63.4</v>
      </c>
    </row>
    <row r="120" spans="1:8" ht="78.75" x14ac:dyDescent="0.25">
      <c r="A120" s="12" t="s">
        <v>135</v>
      </c>
      <c r="B120" s="12" t="s">
        <v>152</v>
      </c>
      <c r="C120" s="39" t="s">
        <v>79</v>
      </c>
      <c r="D120" s="12"/>
      <c r="E120" s="36" t="s">
        <v>389</v>
      </c>
      <c r="F120" s="13">
        <f>F121</f>
        <v>916.8</v>
      </c>
      <c r="G120" s="13">
        <f>G121</f>
        <v>534.4</v>
      </c>
      <c r="H120" s="13">
        <f t="shared" si="9"/>
        <v>58.3</v>
      </c>
    </row>
    <row r="121" spans="1:8" ht="47.25" x14ac:dyDescent="0.25">
      <c r="A121" s="12" t="s">
        <v>135</v>
      </c>
      <c r="B121" s="12" t="s">
        <v>152</v>
      </c>
      <c r="C121" s="39" t="s">
        <v>79</v>
      </c>
      <c r="D121" s="12" t="s">
        <v>309</v>
      </c>
      <c r="E121" s="36" t="s">
        <v>310</v>
      </c>
      <c r="F121" s="13">
        <v>916.8</v>
      </c>
      <c r="G121" s="13">
        <v>534.4</v>
      </c>
      <c r="H121" s="13">
        <f t="shared" si="9"/>
        <v>58.3</v>
      </c>
    </row>
    <row r="122" spans="1:8" ht="63" x14ac:dyDescent="0.25">
      <c r="A122" s="12" t="s">
        <v>135</v>
      </c>
      <c r="B122" s="12" t="s">
        <v>152</v>
      </c>
      <c r="C122" s="39" t="s">
        <v>390</v>
      </c>
      <c r="D122" s="12"/>
      <c r="E122" s="36" t="s">
        <v>391</v>
      </c>
      <c r="F122" s="13">
        <f>SUM(F123:F123)</f>
        <v>683.2</v>
      </c>
      <c r="G122" s="13">
        <f>SUM(G123:G123)</f>
        <v>479.9</v>
      </c>
      <c r="H122" s="13">
        <f t="shared" si="9"/>
        <v>70.2</v>
      </c>
    </row>
    <row r="123" spans="1:8" ht="47.25" x14ac:dyDescent="0.25">
      <c r="A123" s="12" t="s">
        <v>135</v>
      </c>
      <c r="B123" s="12" t="s">
        <v>152</v>
      </c>
      <c r="C123" s="39" t="s">
        <v>390</v>
      </c>
      <c r="D123" s="12" t="s">
        <v>309</v>
      </c>
      <c r="E123" s="36" t="s">
        <v>310</v>
      </c>
      <c r="F123" s="13">
        <v>683.2</v>
      </c>
      <c r="G123" s="13">
        <v>479.9</v>
      </c>
      <c r="H123" s="13">
        <f t="shared" si="9"/>
        <v>70.2</v>
      </c>
    </row>
    <row r="124" spans="1:8" ht="63" x14ac:dyDescent="0.25">
      <c r="A124" s="12" t="s">
        <v>135</v>
      </c>
      <c r="B124" s="12" t="s">
        <v>152</v>
      </c>
      <c r="C124" s="12" t="s">
        <v>80</v>
      </c>
      <c r="D124" s="12"/>
      <c r="E124" s="31" t="s">
        <v>319</v>
      </c>
      <c r="F124" s="13">
        <f>F125+F127</f>
        <v>5</v>
      </c>
      <c r="G124" s="13">
        <f>G125+G127</f>
        <v>3.4</v>
      </c>
      <c r="H124" s="13">
        <f t="shared" si="9"/>
        <v>68</v>
      </c>
    </row>
    <row r="125" spans="1:8" ht="31.5" x14ac:dyDescent="0.25">
      <c r="A125" s="12" t="s">
        <v>135</v>
      </c>
      <c r="B125" s="12" t="s">
        <v>152</v>
      </c>
      <c r="C125" s="39" t="s">
        <v>81</v>
      </c>
      <c r="D125" s="12"/>
      <c r="E125" s="36" t="s">
        <v>320</v>
      </c>
      <c r="F125" s="13">
        <f>F126</f>
        <v>4</v>
      </c>
      <c r="G125" s="13">
        <f>G126</f>
        <v>3.4</v>
      </c>
      <c r="H125" s="13">
        <f t="shared" si="9"/>
        <v>85</v>
      </c>
    </row>
    <row r="126" spans="1:8" ht="47.25" x14ac:dyDescent="0.25">
      <c r="A126" s="12" t="s">
        <v>135</v>
      </c>
      <c r="B126" s="12" t="s">
        <v>152</v>
      </c>
      <c r="C126" s="39" t="s">
        <v>81</v>
      </c>
      <c r="D126" s="12" t="s">
        <v>309</v>
      </c>
      <c r="E126" s="36" t="s">
        <v>310</v>
      </c>
      <c r="F126" s="13">
        <v>4</v>
      </c>
      <c r="G126" s="13">
        <v>3.4</v>
      </c>
      <c r="H126" s="13">
        <f t="shared" si="9"/>
        <v>85</v>
      </c>
    </row>
    <row r="127" spans="1:8" ht="47.25" x14ac:dyDescent="0.25">
      <c r="A127" s="12" t="s">
        <v>135</v>
      </c>
      <c r="B127" s="12" t="s">
        <v>152</v>
      </c>
      <c r="C127" s="39" t="s">
        <v>82</v>
      </c>
      <c r="D127" s="12"/>
      <c r="E127" s="36" t="s">
        <v>321</v>
      </c>
      <c r="F127" s="13">
        <f>F128</f>
        <v>1</v>
      </c>
      <c r="G127" s="13">
        <f>G128</f>
        <v>0</v>
      </c>
      <c r="H127" s="13">
        <f t="shared" si="9"/>
        <v>0</v>
      </c>
    </row>
    <row r="128" spans="1:8" ht="47.25" x14ac:dyDescent="0.25">
      <c r="A128" s="12" t="s">
        <v>135</v>
      </c>
      <c r="B128" s="12" t="s">
        <v>152</v>
      </c>
      <c r="C128" s="39" t="s">
        <v>82</v>
      </c>
      <c r="D128" s="12" t="s">
        <v>309</v>
      </c>
      <c r="E128" s="36" t="s">
        <v>310</v>
      </c>
      <c r="F128" s="13">
        <v>1</v>
      </c>
      <c r="G128" s="13">
        <v>0</v>
      </c>
      <c r="H128" s="13">
        <f t="shared" si="9"/>
        <v>0</v>
      </c>
    </row>
    <row r="129" spans="1:8" ht="78.75" x14ac:dyDescent="0.25">
      <c r="A129" s="12" t="s">
        <v>135</v>
      </c>
      <c r="B129" s="12" t="s">
        <v>152</v>
      </c>
      <c r="C129" s="12" t="s">
        <v>83</v>
      </c>
      <c r="D129" s="12"/>
      <c r="E129" s="31" t="s">
        <v>280</v>
      </c>
      <c r="F129" s="13">
        <f>F130+F132</f>
        <v>15</v>
      </c>
      <c r="G129" s="13">
        <f>G130+G132</f>
        <v>4.0999999999999996</v>
      </c>
      <c r="H129" s="13">
        <f t="shared" si="9"/>
        <v>27.3</v>
      </c>
    </row>
    <row r="130" spans="1:8" ht="31.5" x14ac:dyDescent="0.25">
      <c r="A130" s="12" t="s">
        <v>135</v>
      </c>
      <c r="B130" s="12" t="s">
        <v>152</v>
      </c>
      <c r="C130" s="39" t="s">
        <v>84</v>
      </c>
      <c r="D130" s="12"/>
      <c r="E130" s="36" t="s">
        <v>320</v>
      </c>
      <c r="F130" s="13">
        <f>F131</f>
        <v>12</v>
      </c>
      <c r="G130" s="13">
        <f>G131</f>
        <v>3.6</v>
      </c>
      <c r="H130" s="13">
        <f t="shared" si="9"/>
        <v>30</v>
      </c>
    </row>
    <row r="131" spans="1:8" ht="47.25" x14ac:dyDescent="0.25">
      <c r="A131" s="12" t="s">
        <v>135</v>
      </c>
      <c r="B131" s="12" t="s">
        <v>152</v>
      </c>
      <c r="C131" s="39" t="s">
        <v>84</v>
      </c>
      <c r="D131" s="12" t="s">
        <v>309</v>
      </c>
      <c r="E131" s="36" t="s">
        <v>310</v>
      </c>
      <c r="F131" s="13">
        <v>12</v>
      </c>
      <c r="G131" s="13">
        <v>3.6</v>
      </c>
      <c r="H131" s="13">
        <f t="shared" si="9"/>
        <v>30</v>
      </c>
    </row>
    <row r="132" spans="1:8" ht="47.25" x14ac:dyDescent="0.25">
      <c r="A132" s="12" t="s">
        <v>135</v>
      </c>
      <c r="B132" s="12" t="s">
        <v>152</v>
      </c>
      <c r="C132" s="39" t="s">
        <v>85</v>
      </c>
      <c r="D132" s="12"/>
      <c r="E132" s="36" t="s">
        <v>322</v>
      </c>
      <c r="F132" s="13">
        <f>F133</f>
        <v>3</v>
      </c>
      <c r="G132" s="13">
        <f>G133</f>
        <v>0.5</v>
      </c>
      <c r="H132" s="13">
        <f t="shared" si="9"/>
        <v>16.7</v>
      </c>
    </row>
    <row r="133" spans="1:8" ht="47.25" x14ac:dyDescent="0.25">
      <c r="A133" s="12" t="s">
        <v>135</v>
      </c>
      <c r="B133" s="12" t="s">
        <v>152</v>
      </c>
      <c r="C133" s="39" t="s">
        <v>85</v>
      </c>
      <c r="D133" s="12" t="s">
        <v>309</v>
      </c>
      <c r="E133" s="36" t="s">
        <v>310</v>
      </c>
      <c r="F133" s="13">
        <v>3</v>
      </c>
      <c r="G133" s="13">
        <v>0.5</v>
      </c>
      <c r="H133" s="13">
        <f t="shared" si="9"/>
        <v>16.7</v>
      </c>
    </row>
    <row r="134" spans="1:8" ht="31.5" x14ac:dyDescent="0.25">
      <c r="A134" s="12" t="s">
        <v>135</v>
      </c>
      <c r="B134" s="12" t="s">
        <v>152</v>
      </c>
      <c r="C134" s="12" t="s">
        <v>259</v>
      </c>
      <c r="D134" s="12"/>
      <c r="E134" s="34" t="s">
        <v>178</v>
      </c>
      <c r="F134" s="13">
        <f>F135</f>
        <v>4905.7000000000007</v>
      </c>
      <c r="G134" s="13">
        <f>G135</f>
        <v>3476.6</v>
      </c>
      <c r="H134" s="13">
        <f t="shared" si="9"/>
        <v>70.900000000000006</v>
      </c>
    </row>
    <row r="135" spans="1:8" ht="47.25" x14ac:dyDescent="0.25">
      <c r="A135" s="12" t="s">
        <v>135</v>
      </c>
      <c r="B135" s="12" t="s">
        <v>152</v>
      </c>
      <c r="C135" s="12" t="s">
        <v>258</v>
      </c>
      <c r="D135" s="12"/>
      <c r="E135" s="35" t="s">
        <v>323</v>
      </c>
      <c r="F135" s="13">
        <f>F136+F137+F138</f>
        <v>4905.7000000000007</v>
      </c>
      <c r="G135" s="13">
        <f>G136+G137+G138</f>
        <v>3476.6</v>
      </c>
      <c r="H135" s="13">
        <f t="shared" si="9"/>
        <v>70.900000000000006</v>
      </c>
    </row>
    <row r="136" spans="1:8" ht="31.5" x14ac:dyDescent="0.25">
      <c r="A136" s="12" t="s">
        <v>135</v>
      </c>
      <c r="B136" s="12" t="s">
        <v>152</v>
      </c>
      <c r="C136" s="12" t="s">
        <v>258</v>
      </c>
      <c r="D136" s="12" t="s">
        <v>103</v>
      </c>
      <c r="E136" s="37" t="s">
        <v>167</v>
      </c>
      <c r="F136" s="13">
        <v>4615.6000000000004</v>
      </c>
      <c r="G136" s="13">
        <v>3310.2</v>
      </c>
      <c r="H136" s="13">
        <f t="shared" ref="H136:H186" si="12">ROUND((G136/F136*100),1)</f>
        <v>71.7</v>
      </c>
    </row>
    <row r="137" spans="1:8" ht="47.25" x14ac:dyDescent="0.25">
      <c r="A137" s="12" t="s">
        <v>135</v>
      </c>
      <c r="B137" s="12" t="s">
        <v>152</v>
      </c>
      <c r="C137" s="12" t="s">
        <v>258</v>
      </c>
      <c r="D137" s="12" t="s">
        <v>309</v>
      </c>
      <c r="E137" s="36" t="s">
        <v>310</v>
      </c>
      <c r="F137" s="13">
        <f>290.1-0.5</f>
        <v>289.60000000000002</v>
      </c>
      <c r="G137" s="13">
        <v>165.9</v>
      </c>
      <c r="H137" s="13">
        <f t="shared" si="12"/>
        <v>57.3</v>
      </c>
    </row>
    <row r="138" spans="1:8" ht="31.5" x14ac:dyDescent="0.25">
      <c r="A138" s="12" t="s">
        <v>135</v>
      </c>
      <c r="B138" s="12" t="s">
        <v>152</v>
      </c>
      <c r="C138" s="12" t="s">
        <v>258</v>
      </c>
      <c r="D138" s="12" t="s">
        <v>168</v>
      </c>
      <c r="E138" s="36" t="s">
        <v>169</v>
      </c>
      <c r="F138" s="13">
        <v>0.5</v>
      </c>
      <c r="G138" s="13">
        <v>0.5</v>
      </c>
      <c r="H138" s="13">
        <f t="shared" si="12"/>
        <v>100</v>
      </c>
    </row>
    <row r="139" spans="1:8" ht="47.25" x14ac:dyDescent="0.25">
      <c r="A139" s="12" t="s">
        <v>135</v>
      </c>
      <c r="B139" s="12" t="s">
        <v>160</v>
      </c>
      <c r="C139" s="12"/>
      <c r="D139" s="12"/>
      <c r="E139" s="31" t="s">
        <v>31</v>
      </c>
      <c r="F139" s="13">
        <f>F140+F146</f>
        <v>156.30000000000001</v>
      </c>
      <c r="G139" s="13">
        <f>G140+G146</f>
        <v>105.69999999999999</v>
      </c>
      <c r="H139" s="13">
        <f t="shared" si="12"/>
        <v>67.599999999999994</v>
      </c>
    </row>
    <row r="140" spans="1:8" ht="63" x14ac:dyDescent="0.25">
      <c r="A140" s="12" t="s">
        <v>135</v>
      </c>
      <c r="B140" s="12" t="s">
        <v>160</v>
      </c>
      <c r="C140" s="12" t="s">
        <v>114</v>
      </c>
      <c r="D140" s="12"/>
      <c r="E140" s="31" t="s">
        <v>392</v>
      </c>
      <c r="F140" s="13">
        <f>F141</f>
        <v>134</v>
      </c>
      <c r="G140" s="13">
        <f>G141</f>
        <v>83.399999999999991</v>
      </c>
      <c r="H140" s="13">
        <f t="shared" si="12"/>
        <v>62.2</v>
      </c>
    </row>
    <row r="141" spans="1:8" ht="63" x14ac:dyDescent="0.25">
      <c r="A141" s="12" t="s">
        <v>135</v>
      </c>
      <c r="B141" s="12" t="s">
        <v>160</v>
      </c>
      <c r="C141" s="12" t="s">
        <v>115</v>
      </c>
      <c r="D141" s="12"/>
      <c r="E141" s="36" t="s">
        <v>244</v>
      </c>
      <c r="F141" s="13">
        <f>F142+F144</f>
        <v>134</v>
      </c>
      <c r="G141" s="13">
        <f>G142+G144</f>
        <v>83.399999999999991</v>
      </c>
      <c r="H141" s="13">
        <f t="shared" si="12"/>
        <v>62.2</v>
      </c>
    </row>
    <row r="142" spans="1:8" ht="78.75" x14ac:dyDescent="0.25">
      <c r="A142" s="12" t="s">
        <v>135</v>
      </c>
      <c r="B142" s="12" t="s">
        <v>160</v>
      </c>
      <c r="C142" s="12" t="s">
        <v>245</v>
      </c>
      <c r="D142" s="12"/>
      <c r="E142" s="36" t="s">
        <v>393</v>
      </c>
      <c r="F142" s="13">
        <f>F143</f>
        <v>34</v>
      </c>
      <c r="G142" s="13">
        <f>G143</f>
        <v>5.3</v>
      </c>
      <c r="H142" s="13">
        <f t="shared" si="12"/>
        <v>15.6</v>
      </c>
    </row>
    <row r="143" spans="1:8" ht="31.5" x14ac:dyDescent="0.25">
      <c r="A143" s="12" t="s">
        <v>135</v>
      </c>
      <c r="B143" s="12" t="s">
        <v>160</v>
      </c>
      <c r="C143" s="12" t="s">
        <v>245</v>
      </c>
      <c r="D143" s="12" t="s">
        <v>103</v>
      </c>
      <c r="E143" s="34" t="s">
        <v>167</v>
      </c>
      <c r="F143" s="13">
        <v>34</v>
      </c>
      <c r="G143" s="13">
        <v>5.3</v>
      </c>
      <c r="H143" s="13">
        <f t="shared" si="12"/>
        <v>15.6</v>
      </c>
    </row>
    <row r="144" spans="1:8" ht="47.25" x14ac:dyDescent="0.25">
      <c r="A144" s="12" t="s">
        <v>135</v>
      </c>
      <c r="B144" s="12" t="s">
        <v>160</v>
      </c>
      <c r="C144" s="12" t="s">
        <v>544</v>
      </c>
      <c r="D144" s="12"/>
      <c r="E144" s="36" t="s">
        <v>545</v>
      </c>
      <c r="F144" s="13">
        <f>F145</f>
        <v>100</v>
      </c>
      <c r="G144" s="13">
        <f>G145</f>
        <v>78.099999999999994</v>
      </c>
      <c r="H144" s="13">
        <f t="shared" si="12"/>
        <v>78.099999999999994</v>
      </c>
    </row>
    <row r="145" spans="1:8" ht="47.25" x14ac:dyDescent="0.25">
      <c r="A145" s="12" t="s">
        <v>135</v>
      </c>
      <c r="B145" s="12" t="s">
        <v>160</v>
      </c>
      <c r="C145" s="12" t="s">
        <v>544</v>
      </c>
      <c r="D145" s="12" t="s">
        <v>309</v>
      </c>
      <c r="E145" s="36" t="s">
        <v>310</v>
      </c>
      <c r="F145" s="13">
        <v>100</v>
      </c>
      <c r="G145" s="13">
        <v>78.099999999999994</v>
      </c>
      <c r="H145" s="13">
        <f t="shared" si="12"/>
        <v>78.099999999999994</v>
      </c>
    </row>
    <row r="146" spans="1:8" ht="78.75" x14ac:dyDescent="0.25">
      <c r="A146" s="12" t="s">
        <v>135</v>
      </c>
      <c r="B146" s="12" t="s">
        <v>160</v>
      </c>
      <c r="C146" s="12" t="s">
        <v>334</v>
      </c>
      <c r="D146" s="12"/>
      <c r="E146" s="31" t="s">
        <v>405</v>
      </c>
      <c r="F146" s="13">
        <f t="shared" ref="F146:G150" si="13">F147</f>
        <v>22.3</v>
      </c>
      <c r="G146" s="13">
        <f t="shared" si="13"/>
        <v>22.3</v>
      </c>
      <c r="H146" s="13">
        <f t="shared" si="12"/>
        <v>100</v>
      </c>
    </row>
    <row r="147" spans="1:8" ht="63" x14ac:dyDescent="0.25">
      <c r="A147" s="12" t="s">
        <v>135</v>
      </c>
      <c r="B147" s="12" t="s">
        <v>160</v>
      </c>
      <c r="C147" s="12" t="s">
        <v>335</v>
      </c>
      <c r="D147" s="12"/>
      <c r="E147" s="31" t="s">
        <v>336</v>
      </c>
      <c r="F147" s="13">
        <f>F148+F150</f>
        <v>22.3</v>
      </c>
      <c r="G147" s="13">
        <f>G148+G150</f>
        <v>22.3</v>
      </c>
      <c r="H147" s="13">
        <f t="shared" si="12"/>
        <v>100</v>
      </c>
    </row>
    <row r="148" spans="1:8" ht="47.25" x14ac:dyDescent="0.25">
      <c r="A148" s="12" t="s">
        <v>135</v>
      </c>
      <c r="B148" s="12" t="s">
        <v>160</v>
      </c>
      <c r="C148" s="12" t="s">
        <v>484</v>
      </c>
      <c r="D148" s="12"/>
      <c r="E148" s="36" t="s">
        <v>485</v>
      </c>
      <c r="F148" s="13">
        <f t="shared" si="13"/>
        <v>16.3</v>
      </c>
      <c r="G148" s="13">
        <f t="shared" si="13"/>
        <v>16.3</v>
      </c>
      <c r="H148" s="13">
        <f t="shared" si="12"/>
        <v>100</v>
      </c>
    </row>
    <row r="149" spans="1:8" ht="47.25" x14ac:dyDescent="0.25">
      <c r="A149" s="12" t="s">
        <v>135</v>
      </c>
      <c r="B149" s="12" t="s">
        <v>160</v>
      </c>
      <c r="C149" s="12" t="s">
        <v>484</v>
      </c>
      <c r="D149" s="12" t="s">
        <v>309</v>
      </c>
      <c r="E149" s="36" t="s">
        <v>310</v>
      </c>
      <c r="F149" s="13">
        <v>16.3</v>
      </c>
      <c r="G149" s="13">
        <v>16.3</v>
      </c>
      <c r="H149" s="13">
        <f t="shared" si="12"/>
        <v>100</v>
      </c>
    </row>
    <row r="150" spans="1:8" ht="31.5" x14ac:dyDescent="0.25">
      <c r="A150" s="12" t="s">
        <v>135</v>
      </c>
      <c r="B150" s="12" t="s">
        <v>160</v>
      </c>
      <c r="C150" s="12" t="s">
        <v>486</v>
      </c>
      <c r="D150" s="12"/>
      <c r="E150" s="36" t="s">
        <v>487</v>
      </c>
      <c r="F150" s="13">
        <f t="shared" si="13"/>
        <v>6</v>
      </c>
      <c r="G150" s="13">
        <f t="shared" si="13"/>
        <v>6</v>
      </c>
      <c r="H150" s="13">
        <f t="shared" si="12"/>
        <v>100</v>
      </c>
    </row>
    <row r="151" spans="1:8" ht="47.25" x14ac:dyDescent="0.25">
      <c r="A151" s="12" t="s">
        <v>135</v>
      </c>
      <c r="B151" s="12" t="s">
        <v>160</v>
      </c>
      <c r="C151" s="12" t="s">
        <v>486</v>
      </c>
      <c r="D151" s="12" t="s">
        <v>309</v>
      </c>
      <c r="E151" s="36" t="s">
        <v>310</v>
      </c>
      <c r="F151" s="13">
        <v>6</v>
      </c>
      <c r="G151" s="13">
        <v>6</v>
      </c>
      <c r="H151" s="13">
        <f t="shared" si="12"/>
        <v>100</v>
      </c>
    </row>
    <row r="152" spans="1:8" x14ac:dyDescent="0.25">
      <c r="A152" s="12" t="s">
        <v>136</v>
      </c>
      <c r="B152" s="11"/>
      <c r="C152" s="11"/>
      <c r="D152" s="11"/>
      <c r="E152" s="31" t="s">
        <v>142</v>
      </c>
      <c r="F152" s="13">
        <f>F153+F158+F163+F172+F261</f>
        <v>190150.40000000002</v>
      </c>
      <c r="G152" s="13">
        <f>G153+G158+G163+G172+G261</f>
        <v>61750.3</v>
      </c>
      <c r="H152" s="13">
        <f t="shared" si="12"/>
        <v>32.5</v>
      </c>
    </row>
    <row r="153" spans="1:8" x14ac:dyDescent="0.25">
      <c r="A153" s="12" t="s">
        <v>136</v>
      </c>
      <c r="B153" s="12" t="s">
        <v>132</v>
      </c>
      <c r="C153" s="12"/>
      <c r="D153" s="12"/>
      <c r="E153" s="11" t="s">
        <v>166</v>
      </c>
      <c r="F153" s="13">
        <f t="shared" ref="F153:G156" si="14">F154</f>
        <v>486.8</v>
      </c>
      <c r="G153" s="13">
        <f t="shared" si="14"/>
        <v>486.8</v>
      </c>
      <c r="H153" s="13">
        <f t="shared" si="12"/>
        <v>100</v>
      </c>
    </row>
    <row r="154" spans="1:8" ht="63" x14ac:dyDescent="0.25">
      <c r="A154" s="12" t="s">
        <v>136</v>
      </c>
      <c r="B154" s="12" t="s">
        <v>132</v>
      </c>
      <c r="C154" s="12" t="s">
        <v>97</v>
      </c>
      <c r="D154" s="12"/>
      <c r="E154" s="31" t="s">
        <v>394</v>
      </c>
      <c r="F154" s="13">
        <f t="shared" si="14"/>
        <v>486.8</v>
      </c>
      <c r="G154" s="13">
        <f t="shared" si="14"/>
        <v>486.8</v>
      </c>
      <c r="H154" s="13">
        <f t="shared" si="12"/>
        <v>100</v>
      </c>
    </row>
    <row r="155" spans="1:8" ht="31.5" x14ac:dyDescent="0.25">
      <c r="A155" s="12" t="s">
        <v>136</v>
      </c>
      <c r="B155" s="12" t="s">
        <v>132</v>
      </c>
      <c r="C155" s="12" t="s">
        <v>39</v>
      </c>
      <c r="D155" s="12"/>
      <c r="E155" s="31" t="s">
        <v>229</v>
      </c>
      <c r="F155" s="13">
        <f t="shared" si="14"/>
        <v>486.8</v>
      </c>
      <c r="G155" s="13">
        <f t="shared" si="14"/>
        <v>486.8</v>
      </c>
      <c r="H155" s="13">
        <f t="shared" si="12"/>
        <v>100</v>
      </c>
    </row>
    <row r="156" spans="1:8" ht="94.5" x14ac:dyDescent="0.25">
      <c r="A156" s="12" t="s">
        <v>136</v>
      </c>
      <c r="B156" s="12" t="s">
        <v>132</v>
      </c>
      <c r="C156" s="39" t="s">
        <v>324</v>
      </c>
      <c r="D156" s="12"/>
      <c r="E156" s="36" t="s">
        <v>231</v>
      </c>
      <c r="F156" s="13">
        <f t="shared" si="14"/>
        <v>486.8</v>
      </c>
      <c r="G156" s="13">
        <f t="shared" si="14"/>
        <v>486.8</v>
      </c>
      <c r="H156" s="13">
        <f t="shared" si="12"/>
        <v>100</v>
      </c>
    </row>
    <row r="157" spans="1:8" x14ac:dyDescent="0.25">
      <c r="A157" s="12" t="s">
        <v>136</v>
      </c>
      <c r="B157" s="12" t="s">
        <v>132</v>
      </c>
      <c r="C157" s="39" t="s">
        <v>324</v>
      </c>
      <c r="D157" s="12" t="s">
        <v>325</v>
      </c>
      <c r="E157" s="36" t="s">
        <v>326</v>
      </c>
      <c r="F157" s="13">
        <f>486.8</f>
        <v>486.8</v>
      </c>
      <c r="G157" s="13">
        <f>486.8</f>
        <v>486.8</v>
      </c>
      <c r="H157" s="13">
        <f t="shared" si="12"/>
        <v>100</v>
      </c>
    </row>
    <row r="158" spans="1:8" x14ac:dyDescent="0.25">
      <c r="A158" s="12" t="s">
        <v>136</v>
      </c>
      <c r="B158" s="12" t="s">
        <v>137</v>
      </c>
      <c r="C158" s="12"/>
      <c r="D158" s="12"/>
      <c r="E158" s="11" t="s">
        <v>145</v>
      </c>
      <c r="F158" s="13">
        <f t="shared" ref="F158:G161" si="15">F159</f>
        <v>324.2</v>
      </c>
      <c r="G158" s="13">
        <f t="shared" si="15"/>
        <v>324.2</v>
      </c>
      <c r="H158" s="13">
        <f t="shared" si="12"/>
        <v>100</v>
      </c>
    </row>
    <row r="159" spans="1:8" ht="66" customHeight="1" x14ac:dyDescent="0.25">
      <c r="A159" s="12" t="s">
        <v>136</v>
      </c>
      <c r="B159" s="12" t="s">
        <v>137</v>
      </c>
      <c r="C159" s="39">
        <v>400000000</v>
      </c>
      <c r="D159" s="12"/>
      <c r="E159" s="31" t="s">
        <v>395</v>
      </c>
      <c r="F159" s="13">
        <f t="shared" si="15"/>
        <v>324.2</v>
      </c>
      <c r="G159" s="13">
        <f t="shared" si="15"/>
        <v>324.2</v>
      </c>
      <c r="H159" s="13">
        <f t="shared" si="12"/>
        <v>100</v>
      </c>
    </row>
    <row r="160" spans="1:8" ht="50.25" customHeight="1" x14ac:dyDescent="0.25">
      <c r="A160" s="12" t="s">
        <v>136</v>
      </c>
      <c r="B160" s="12" t="s">
        <v>137</v>
      </c>
      <c r="C160" s="39">
        <v>410000000</v>
      </c>
      <c r="D160" s="12"/>
      <c r="E160" s="31" t="s">
        <v>210</v>
      </c>
      <c r="F160" s="13">
        <f t="shared" si="15"/>
        <v>324.2</v>
      </c>
      <c r="G160" s="13">
        <f t="shared" si="15"/>
        <v>324.2</v>
      </c>
      <c r="H160" s="13">
        <f t="shared" si="12"/>
        <v>100</v>
      </c>
    </row>
    <row r="161" spans="1:8" ht="31.5" x14ac:dyDescent="0.25">
      <c r="A161" s="12" t="s">
        <v>136</v>
      </c>
      <c r="B161" s="12" t="s">
        <v>137</v>
      </c>
      <c r="C161" s="39" t="s">
        <v>328</v>
      </c>
      <c r="D161" s="12"/>
      <c r="E161" s="31" t="s">
        <v>219</v>
      </c>
      <c r="F161" s="13">
        <f t="shared" si="15"/>
        <v>324.2</v>
      </c>
      <c r="G161" s="13">
        <f t="shared" si="15"/>
        <v>324.2</v>
      </c>
      <c r="H161" s="13">
        <f t="shared" si="12"/>
        <v>100</v>
      </c>
    </row>
    <row r="162" spans="1:8" ht="47.25" x14ac:dyDescent="0.25">
      <c r="A162" s="12" t="s">
        <v>136</v>
      </c>
      <c r="B162" s="12" t="s">
        <v>137</v>
      </c>
      <c r="C162" s="39" t="s">
        <v>328</v>
      </c>
      <c r="D162" s="12" t="s">
        <v>309</v>
      </c>
      <c r="E162" s="36" t="s">
        <v>310</v>
      </c>
      <c r="F162" s="13">
        <v>324.2</v>
      </c>
      <c r="G162" s="13">
        <v>324.2</v>
      </c>
      <c r="H162" s="13">
        <f t="shared" si="12"/>
        <v>100</v>
      </c>
    </row>
    <row r="163" spans="1:8" x14ac:dyDescent="0.25">
      <c r="A163" s="12" t="s">
        <v>136</v>
      </c>
      <c r="B163" s="12" t="s">
        <v>143</v>
      </c>
      <c r="C163" s="12"/>
      <c r="D163" s="12"/>
      <c r="E163" s="11" t="s">
        <v>9</v>
      </c>
      <c r="F163" s="13">
        <f t="shared" ref="F163:G164" si="16">F164</f>
        <v>23891.5</v>
      </c>
      <c r="G163" s="13">
        <f t="shared" si="16"/>
        <v>16039.5</v>
      </c>
      <c r="H163" s="13">
        <f t="shared" si="12"/>
        <v>67.099999999999994</v>
      </c>
    </row>
    <row r="164" spans="1:8" ht="78.75" x14ac:dyDescent="0.25">
      <c r="A164" s="12" t="s">
        <v>136</v>
      </c>
      <c r="B164" s="12" t="s">
        <v>143</v>
      </c>
      <c r="C164" s="12" t="s">
        <v>107</v>
      </c>
      <c r="D164" s="12"/>
      <c r="E164" s="31" t="s">
        <v>397</v>
      </c>
      <c r="F164" s="13">
        <f t="shared" si="16"/>
        <v>23891.5</v>
      </c>
      <c r="G164" s="13">
        <f t="shared" si="16"/>
        <v>16039.5</v>
      </c>
      <c r="H164" s="13">
        <f t="shared" si="12"/>
        <v>67.099999999999994</v>
      </c>
    </row>
    <row r="165" spans="1:8" ht="78.75" x14ac:dyDescent="0.25">
      <c r="A165" s="12" t="s">
        <v>136</v>
      </c>
      <c r="B165" s="12" t="s">
        <v>143</v>
      </c>
      <c r="C165" s="12" t="s">
        <v>329</v>
      </c>
      <c r="D165" s="12"/>
      <c r="E165" s="31" t="s">
        <v>243</v>
      </c>
      <c r="F165" s="13">
        <f>F166+F168+F170</f>
        <v>23891.5</v>
      </c>
      <c r="G165" s="13">
        <f>G166+G168+G170</f>
        <v>16039.5</v>
      </c>
      <c r="H165" s="13">
        <f t="shared" si="12"/>
        <v>67.099999999999994</v>
      </c>
    </row>
    <row r="166" spans="1:8" ht="92.25" customHeight="1" x14ac:dyDescent="0.25">
      <c r="A166" s="12" t="s">
        <v>136</v>
      </c>
      <c r="B166" s="12" t="s">
        <v>143</v>
      </c>
      <c r="C166" s="39" t="s">
        <v>330</v>
      </c>
      <c r="D166" s="12"/>
      <c r="E166" s="31" t="s">
        <v>331</v>
      </c>
      <c r="F166" s="13">
        <f>F167</f>
        <v>4525.1000000000004</v>
      </c>
      <c r="G166" s="13">
        <f>G167</f>
        <v>3327.2</v>
      </c>
      <c r="H166" s="13">
        <f t="shared" si="12"/>
        <v>73.5</v>
      </c>
    </row>
    <row r="167" spans="1:8" ht="47.25" x14ac:dyDescent="0.25">
      <c r="A167" s="12" t="s">
        <v>136</v>
      </c>
      <c r="B167" s="12" t="s">
        <v>143</v>
      </c>
      <c r="C167" s="39" t="s">
        <v>330</v>
      </c>
      <c r="D167" s="12" t="s">
        <v>309</v>
      </c>
      <c r="E167" s="36" t="s">
        <v>310</v>
      </c>
      <c r="F167" s="13">
        <v>4525.1000000000004</v>
      </c>
      <c r="G167" s="13">
        <v>3327.2</v>
      </c>
      <c r="H167" s="13">
        <f t="shared" si="12"/>
        <v>73.5</v>
      </c>
    </row>
    <row r="168" spans="1:8" ht="110.25" x14ac:dyDescent="0.25">
      <c r="A168" s="12" t="s">
        <v>136</v>
      </c>
      <c r="B168" s="12" t="s">
        <v>143</v>
      </c>
      <c r="C168" s="39" t="s">
        <v>332</v>
      </c>
      <c r="D168" s="12"/>
      <c r="E168" s="14" t="s">
        <v>333</v>
      </c>
      <c r="F168" s="13">
        <f>F169</f>
        <v>1266.1000000000001</v>
      </c>
      <c r="G168" s="13">
        <f>G169</f>
        <v>826.7</v>
      </c>
      <c r="H168" s="13">
        <f t="shared" si="12"/>
        <v>65.3</v>
      </c>
    </row>
    <row r="169" spans="1:8" ht="47.25" x14ac:dyDescent="0.25">
      <c r="A169" s="12" t="s">
        <v>136</v>
      </c>
      <c r="B169" s="12" t="s">
        <v>143</v>
      </c>
      <c r="C169" s="39" t="s">
        <v>332</v>
      </c>
      <c r="D169" s="12" t="s">
        <v>309</v>
      </c>
      <c r="E169" s="36" t="s">
        <v>310</v>
      </c>
      <c r="F169" s="13">
        <f>1218.4+47.7</f>
        <v>1266.1000000000001</v>
      </c>
      <c r="G169" s="13">
        <v>826.7</v>
      </c>
      <c r="H169" s="13">
        <f t="shared" si="12"/>
        <v>65.3</v>
      </c>
    </row>
    <row r="170" spans="1:8" ht="110.25" x14ac:dyDescent="0.25">
      <c r="A170" s="12" t="s">
        <v>136</v>
      </c>
      <c r="B170" s="12" t="s">
        <v>143</v>
      </c>
      <c r="C170" s="39">
        <v>920110300</v>
      </c>
      <c r="D170" s="12"/>
      <c r="E170" s="35" t="s">
        <v>381</v>
      </c>
      <c r="F170" s="13">
        <f>F171</f>
        <v>18100.3</v>
      </c>
      <c r="G170" s="13">
        <f>G171</f>
        <v>11885.6</v>
      </c>
      <c r="H170" s="13">
        <f t="shared" si="12"/>
        <v>65.7</v>
      </c>
    </row>
    <row r="171" spans="1:8" ht="47.25" x14ac:dyDescent="0.25">
      <c r="A171" s="12" t="s">
        <v>136</v>
      </c>
      <c r="B171" s="12" t="s">
        <v>143</v>
      </c>
      <c r="C171" s="39">
        <v>920110300</v>
      </c>
      <c r="D171" s="12" t="s">
        <v>309</v>
      </c>
      <c r="E171" s="36" t="s">
        <v>310</v>
      </c>
      <c r="F171" s="13">
        <v>18100.3</v>
      </c>
      <c r="G171" s="13">
        <v>11885.6</v>
      </c>
      <c r="H171" s="13">
        <f t="shared" si="12"/>
        <v>65.7</v>
      </c>
    </row>
    <row r="172" spans="1:8" ht="31.5" x14ac:dyDescent="0.25">
      <c r="A172" s="12" t="s">
        <v>136</v>
      </c>
      <c r="B172" s="12" t="s">
        <v>141</v>
      </c>
      <c r="C172" s="12"/>
      <c r="D172" s="12"/>
      <c r="E172" s="31" t="s">
        <v>272</v>
      </c>
      <c r="F172" s="13">
        <f>F173+F199+F244+F258</f>
        <v>156784.20000000001</v>
      </c>
      <c r="G172" s="13">
        <f>G173+G199+G244+G258</f>
        <v>43192.800000000003</v>
      </c>
      <c r="H172" s="13">
        <f t="shared" si="12"/>
        <v>27.5</v>
      </c>
    </row>
    <row r="173" spans="1:8" ht="78.75" x14ac:dyDescent="0.25">
      <c r="A173" s="12" t="s">
        <v>136</v>
      </c>
      <c r="B173" s="12" t="s">
        <v>141</v>
      </c>
      <c r="C173" s="12" t="s">
        <v>107</v>
      </c>
      <c r="D173" s="12"/>
      <c r="E173" s="31" t="s">
        <v>397</v>
      </c>
      <c r="F173" s="13">
        <f>F174</f>
        <v>127225.40000000001</v>
      </c>
      <c r="G173" s="13">
        <f>G174</f>
        <v>32575.4</v>
      </c>
      <c r="H173" s="13">
        <f t="shared" si="12"/>
        <v>25.6</v>
      </c>
    </row>
    <row r="174" spans="1:8" ht="78.75" x14ac:dyDescent="0.25">
      <c r="A174" s="12" t="s">
        <v>136</v>
      </c>
      <c r="B174" s="12" t="s">
        <v>141</v>
      </c>
      <c r="C174" s="12" t="s">
        <v>108</v>
      </c>
      <c r="D174" s="12"/>
      <c r="E174" s="31" t="s">
        <v>209</v>
      </c>
      <c r="F174" s="13">
        <f>F175+F177+F179+F181+F183+F185+F187+F189+F191+F193+F195+F197</f>
        <v>127225.40000000001</v>
      </c>
      <c r="G174" s="13">
        <f>G175+G177+G179+G181+G183+G185+G187+G189+G191+G193+G195+G197</f>
        <v>32575.4</v>
      </c>
      <c r="H174" s="13">
        <f t="shared" si="12"/>
        <v>25.6</v>
      </c>
    </row>
    <row r="175" spans="1:8" ht="110.25" x14ac:dyDescent="0.25">
      <c r="A175" s="12" t="s">
        <v>136</v>
      </c>
      <c r="B175" s="12" t="s">
        <v>141</v>
      </c>
      <c r="C175" s="43" t="s">
        <v>109</v>
      </c>
      <c r="D175" s="44"/>
      <c r="E175" s="45" t="s">
        <v>717</v>
      </c>
      <c r="F175" s="22">
        <f>F176</f>
        <v>12237.3</v>
      </c>
      <c r="G175" s="22">
        <f>G176</f>
        <v>5878.5</v>
      </c>
      <c r="H175" s="13">
        <f t="shared" si="12"/>
        <v>48</v>
      </c>
    </row>
    <row r="176" spans="1:8" ht="47.25" x14ac:dyDescent="0.25">
      <c r="A176" s="12" t="s">
        <v>136</v>
      </c>
      <c r="B176" s="12" t="s">
        <v>141</v>
      </c>
      <c r="C176" s="43" t="s">
        <v>109</v>
      </c>
      <c r="D176" s="12" t="s">
        <v>309</v>
      </c>
      <c r="E176" s="36" t="s">
        <v>310</v>
      </c>
      <c r="F176" s="22">
        <f>12490-178.7-74</f>
        <v>12237.3</v>
      </c>
      <c r="G176" s="22">
        <v>5878.5</v>
      </c>
      <c r="H176" s="13">
        <f t="shared" si="12"/>
        <v>48</v>
      </c>
    </row>
    <row r="177" spans="1:8" ht="94.5" x14ac:dyDescent="0.25">
      <c r="A177" s="12" t="s">
        <v>136</v>
      </c>
      <c r="B177" s="12" t="s">
        <v>141</v>
      </c>
      <c r="C177" s="43">
        <v>910110520</v>
      </c>
      <c r="D177" s="44"/>
      <c r="E177" s="45" t="s">
        <v>238</v>
      </c>
      <c r="F177" s="22">
        <f>F178</f>
        <v>12239.2</v>
      </c>
      <c r="G177" s="22">
        <f>G178</f>
        <v>9937</v>
      </c>
      <c r="H177" s="13">
        <f t="shared" si="12"/>
        <v>81.2</v>
      </c>
    </row>
    <row r="178" spans="1:8" ht="47.25" x14ac:dyDescent="0.25">
      <c r="A178" s="12" t="s">
        <v>136</v>
      </c>
      <c r="B178" s="12" t="s">
        <v>141</v>
      </c>
      <c r="C178" s="43">
        <v>910110520</v>
      </c>
      <c r="D178" s="12" t="s">
        <v>309</v>
      </c>
      <c r="E178" s="36" t="s">
        <v>21</v>
      </c>
      <c r="F178" s="22">
        <v>12239.2</v>
      </c>
      <c r="G178" s="22">
        <v>9937</v>
      </c>
      <c r="H178" s="13">
        <f t="shared" si="12"/>
        <v>81.2</v>
      </c>
    </row>
    <row r="179" spans="1:8" ht="31.5" x14ac:dyDescent="0.25">
      <c r="A179" s="12" t="s">
        <v>136</v>
      </c>
      <c r="B179" s="12" t="s">
        <v>141</v>
      </c>
      <c r="C179" s="43" t="s">
        <v>240</v>
      </c>
      <c r="D179" s="44"/>
      <c r="E179" s="36" t="s">
        <v>239</v>
      </c>
      <c r="F179" s="22">
        <f>F180</f>
        <v>14676.2</v>
      </c>
      <c r="G179" s="22">
        <f>G180</f>
        <v>11653.7</v>
      </c>
      <c r="H179" s="13">
        <f t="shared" si="12"/>
        <v>79.400000000000006</v>
      </c>
    </row>
    <row r="180" spans="1:8" ht="47.25" x14ac:dyDescent="0.25">
      <c r="A180" s="12" t="s">
        <v>136</v>
      </c>
      <c r="B180" s="12" t="s">
        <v>141</v>
      </c>
      <c r="C180" s="43" t="s">
        <v>240</v>
      </c>
      <c r="D180" s="12" t="s">
        <v>309</v>
      </c>
      <c r="E180" s="36" t="s">
        <v>310</v>
      </c>
      <c r="F180" s="22">
        <f>14293.5+382.7</f>
        <v>14676.2</v>
      </c>
      <c r="G180" s="22">
        <v>11653.7</v>
      </c>
      <c r="H180" s="13">
        <f t="shared" si="12"/>
        <v>79.400000000000006</v>
      </c>
    </row>
    <row r="181" spans="1:8" ht="126" x14ac:dyDescent="0.25">
      <c r="A181" s="12" t="s">
        <v>136</v>
      </c>
      <c r="B181" s="12" t="s">
        <v>141</v>
      </c>
      <c r="C181" s="43" t="s">
        <v>241</v>
      </c>
      <c r="D181" s="44"/>
      <c r="E181" s="36" t="s">
        <v>622</v>
      </c>
      <c r="F181" s="22">
        <f>F182</f>
        <v>300</v>
      </c>
      <c r="G181" s="22">
        <f>G182</f>
        <v>100</v>
      </c>
      <c r="H181" s="13">
        <f t="shared" si="12"/>
        <v>33.299999999999997</v>
      </c>
    </row>
    <row r="182" spans="1:8" ht="47.25" x14ac:dyDescent="0.25">
      <c r="A182" s="12" t="s">
        <v>136</v>
      </c>
      <c r="B182" s="12" t="s">
        <v>141</v>
      </c>
      <c r="C182" s="43" t="s">
        <v>241</v>
      </c>
      <c r="D182" s="12" t="s">
        <v>309</v>
      </c>
      <c r="E182" s="36" t="s">
        <v>310</v>
      </c>
      <c r="F182" s="22">
        <f>920-620</f>
        <v>300</v>
      </c>
      <c r="G182" s="22">
        <v>100</v>
      </c>
      <c r="H182" s="13">
        <f t="shared" si="12"/>
        <v>33.299999999999997</v>
      </c>
    </row>
    <row r="183" spans="1:8" ht="31.5" x14ac:dyDescent="0.25">
      <c r="A183" s="12" t="s">
        <v>136</v>
      </c>
      <c r="B183" s="12" t="s">
        <v>141</v>
      </c>
      <c r="C183" s="43" t="s">
        <v>242</v>
      </c>
      <c r="D183" s="12"/>
      <c r="E183" s="46" t="s">
        <v>398</v>
      </c>
      <c r="F183" s="22">
        <f>F184</f>
        <v>1550</v>
      </c>
      <c r="G183" s="22">
        <f>G184</f>
        <v>199.8</v>
      </c>
      <c r="H183" s="13">
        <f t="shared" si="12"/>
        <v>12.9</v>
      </c>
    </row>
    <row r="184" spans="1:8" ht="47.25" x14ac:dyDescent="0.25">
      <c r="A184" s="12" t="s">
        <v>136</v>
      </c>
      <c r="B184" s="12" t="s">
        <v>141</v>
      </c>
      <c r="C184" s="43" t="s">
        <v>242</v>
      </c>
      <c r="D184" s="12" t="s">
        <v>309</v>
      </c>
      <c r="E184" s="36" t="s">
        <v>310</v>
      </c>
      <c r="F184" s="22">
        <f>200+1350</f>
        <v>1550</v>
      </c>
      <c r="G184" s="22">
        <v>199.8</v>
      </c>
      <c r="H184" s="13">
        <f t="shared" si="12"/>
        <v>12.9</v>
      </c>
    </row>
    <row r="185" spans="1:8" ht="63" x14ac:dyDescent="0.25">
      <c r="A185" s="12" t="s">
        <v>136</v>
      </c>
      <c r="B185" s="12" t="s">
        <v>141</v>
      </c>
      <c r="C185" s="43" t="s">
        <v>399</v>
      </c>
      <c r="D185" s="12"/>
      <c r="E185" s="47" t="s">
        <v>400</v>
      </c>
      <c r="F185" s="22">
        <f>F186</f>
        <v>3170.8</v>
      </c>
      <c r="G185" s="13">
        <v>0</v>
      </c>
      <c r="H185" s="13">
        <f t="shared" si="12"/>
        <v>0</v>
      </c>
    </row>
    <row r="186" spans="1:8" ht="47.25" x14ac:dyDescent="0.25">
      <c r="A186" s="12" t="s">
        <v>136</v>
      </c>
      <c r="B186" s="12" t="s">
        <v>141</v>
      </c>
      <c r="C186" s="43" t="s">
        <v>399</v>
      </c>
      <c r="D186" s="12" t="s">
        <v>309</v>
      </c>
      <c r="E186" s="36" t="s">
        <v>310</v>
      </c>
      <c r="F186" s="22">
        <f>2328.2+733.3+109.3</f>
        <v>3170.8</v>
      </c>
      <c r="G186" s="22">
        <v>0</v>
      </c>
      <c r="H186" s="13">
        <f t="shared" si="12"/>
        <v>0</v>
      </c>
    </row>
    <row r="187" spans="1:8" ht="78.75" x14ac:dyDescent="0.25">
      <c r="A187" s="12" t="s">
        <v>136</v>
      </c>
      <c r="B187" s="12" t="s">
        <v>141</v>
      </c>
      <c r="C187" s="43">
        <v>910111020</v>
      </c>
      <c r="D187" s="12"/>
      <c r="E187" s="47" t="s">
        <v>401</v>
      </c>
      <c r="F187" s="22">
        <f>F188</f>
        <v>4781.6000000000004</v>
      </c>
      <c r="G187" s="13">
        <v>0</v>
      </c>
      <c r="H187" s="13">
        <f t="shared" ref="H187:H244" si="17">ROUND((G187/F187*100),1)</f>
        <v>0</v>
      </c>
    </row>
    <row r="188" spans="1:8" ht="47.25" x14ac:dyDescent="0.25">
      <c r="A188" s="12" t="s">
        <v>136</v>
      </c>
      <c r="B188" s="12" t="s">
        <v>141</v>
      </c>
      <c r="C188" s="43">
        <v>910111020</v>
      </c>
      <c r="D188" s="12" t="s">
        <v>309</v>
      </c>
      <c r="E188" s="36" t="s">
        <v>310</v>
      </c>
      <c r="F188" s="22">
        <v>4781.6000000000004</v>
      </c>
      <c r="G188" s="22">
        <v>0</v>
      </c>
      <c r="H188" s="13">
        <f t="shared" si="17"/>
        <v>0</v>
      </c>
    </row>
    <row r="189" spans="1:8" ht="31.5" x14ac:dyDescent="0.25">
      <c r="A189" s="12" t="s">
        <v>136</v>
      </c>
      <c r="B189" s="12" t="s">
        <v>141</v>
      </c>
      <c r="C189" s="43" t="s">
        <v>402</v>
      </c>
      <c r="D189" s="12"/>
      <c r="E189" s="36" t="s">
        <v>403</v>
      </c>
      <c r="F189" s="22">
        <f>F190</f>
        <v>13048.6</v>
      </c>
      <c r="G189" s="22">
        <f>G190</f>
        <v>0</v>
      </c>
      <c r="H189" s="13">
        <f t="shared" si="17"/>
        <v>0</v>
      </c>
    </row>
    <row r="190" spans="1:8" ht="47.25" x14ac:dyDescent="0.25">
      <c r="A190" s="12" t="s">
        <v>136</v>
      </c>
      <c r="B190" s="12" t="s">
        <v>141</v>
      </c>
      <c r="C190" s="43" t="s">
        <v>402</v>
      </c>
      <c r="D190" s="12" t="s">
        <v>309</v>
      </c>
      <c r="E190" s="36" t="s">
        <v>310</v>
      </c>
      <c r="F190" s="22">
        <f>5551.9+270.2+1453.9+4977.1+3134.6+3157.3-5464.3-32.1</f>
        <v>13048.6</v>
      </c>
      <c r="G190" s="22">
        <v>0</v>
      </c>
      <c r="H190" s="13">
        <f t="shared" si="17"/>
        <v>0</v>
      </c>
    </row>
    <row r="191" spans="1:8" ht="31.5" x14ac:dyDescent="0.25">
      <c r="A191" s="12" t="s">
        <v>136</v>
      </c>
      <c r="B191" s="12" t="s">
        <v>141</v>
      </c>
      <c r="C191" s="43">
        <v>910111050</v>
      </c>
      <c r="D191" s="12"/>
      <c r="E191" s="36" t="s">
        <v>404</v>
      </c>
      <c r="F191" s="22">
        <f>F192</f>
        <v>51113.8</v>
      </c>
      <c r="G191" s="22">
        <f>G192</f>
        <v>0</v>
      </c>
      <c r="H191" s="13">
        <f t="shared" si="17"/>
        <v>0</v>
      </c>
    </row>
    <row r="192" spans="1:8" ht="47.25" x14ac:dyDescent="0.25">
      <c r="A192" s="12" t="s">
        <v>136</v>
      </c>
      <c r="B192" s="12" t="s">
        <v>141</v>
      </c>
      <c r="C192" s="43">
        <v>910111050</v>
      </c>
      <c r="D192" s="12" t="s">
        <v>309</v>
      </c>
      <c r="E192" s="36" t="s">
        <v>310</v>
      </c>
      <c r="F192" s="22">
        <v>51113.8</v>
      </c>
      <c r="G192" s="13">
        <v>0</v>
      </c>
      <c r="H192" s="13">
        <f t="shared" si="17"/>
        <v>0</v>
      </c>
    </row>
    <row r="193" spans="1:8" ht="31.5" x14ac:dyDescent="0.25">
      <c r="A193" s="12" t="s">
        <v>136</v>
      </c>
      <c r="B193" s="12" t="s">
        <v>141</v>
      </c>
      <c r="C193" s="43" t="s">
        <v>489</v>
      </c>
      <c r="D193" s="12"/>
      <c r="E193" s="36" t="s">
        <v>490</v>
      </c>
      <c r="F193" s="22">
        <f>F194</f>
        <v>13080.6</v>
      </c>
      <c r="G193" s="22">
        <f>G194</f>
        <v>4416.3999999999996</v>
      </c>
      <c r="H193" s="13">
        <f t="shared" si="17"/>
        <v>33.799999999999997</v>
      </c>
    </row>
    <row r="194" spans="1:8" ht="47.25" x14ac:dyDescent="0.25">
      <c r="A194" s="12" t="s">
        <v>136</v>
      </c>
      <c r="B194" s="12" t="s">
        <v>141</v>
      </c>
      <c r="C194" s="43" t="s">
        <v>489</v>
      </c>
      <c r="D194" s="12" t="s">
        <v>309</v>
      </c>
      <c r="E194" s="36" t="s">
        <v>310</v>
      </c>
      <c r="F194" s="22">
        <f>4416.4+8664.2</f>
        <v>13080.6</v>
      </c>
      <c r="G194" s="22">
        <v>4416.3999999999996</v>
      </c>
      <c r="H194" s="13">
        <f t="shared" si="17"/>
        <v>33.799999999999997</v>
      </c>
    </row>
    <row r="195" spans="1:8" ht="47.25" x14ac:dyDescent="0.25">
      <c r="A195" s="12" t="s">
        <v>136</v>
      </c>
      <c r="B195" s="12" t="s">
        <v>141</v>
      </c>
      <c r="C195" s="39" t="s">
        <v>623</v>
      </c>
      <c r="D195" s="12"/>
      <c r="E195" s="41" t="s">
        <v>624</v>
      </c>
      <c r="F195" s="13">
        <f>F196</f>
        <v>532.19999999999993</v>
      </c>
      <c r="G195" s="13">
        <f>G196</f>
        <v>0</v>
      </c>
      <c r="H195" s="13">
        <f t="shared" si="17"/>
        <v>0</v>
      </c>
    </row>
    <row r="196" spans="1:8" ht="47.25" x14ac:dyDescent="0.25">
      <c r="A196" s="12" t="s">
        <v>136</v>
      </c>
      <c r="B196" s="12" t="s">
        <v>141</v>
      </c>
      <c r="C196" s="39" t="s">
        <v>623</v>
      </c>
      <c r="D196" s="12" t="s">
        <v>309</v>
      </c>
      <c r="E196" s="41" t="s">
        <v>310</v>
      </c>
      <c r="F196" s="13">
        <f>416.9+115.3</f>
        <v>532.19999999999993</v>
      </c>
      <c r="G196" s="22">
        <v>0</v>
      </c>
      <c r="H196" s="13">
        <f t="shared" si="17"/>
        <v>0</v>
      </c>
    </row>
    <row r="197" spans="1:8" ht="47.25" x14ac:dyDescent="0.25">
      <c r="A197" s="12" t="s">
        <v>136</v>
      </c>
      <c r="B197" s="12" t="s">
        <v>141</v>
      </c>
      <c r="C197" s="43" t="s">
        <v>546</v>
      </c>
      <c r="D197" s="12"/>
      <c r="E197" s="36" t="s">
        <v>547</v>
      </c>
      <c r="F197" s="22">
        <f>F198</f>
        <v>495.1</v>
      </c>
      <c r="G197" s="22">
        <f>G198</f>
        <v>390</v>
      </c>
      <c r="H197" s="13">
        <f t="shared" si="17"/>
        <v>78.8</v>
      </c>
    </row>
    <row r="198" spans="1:8" ht="47.25" x14ac:dyDescent="0.25">
      <c r="A198" s="12" t="s">
        <v>136</v>
      </c>
      <c r="B198" s="12" t="s">
        <v>141</v>
      </c>
      <c r="C198" s="43" t="s">
        <v>546</v>
      </c>
      <c r="D198" s="12" t="s">
        <v>309</v>
      </c>
      <c r="E198" s="36" t="s">
        <v>310</v>
      </c>
      <c r="F198" s="22">
        <f>900-404.9</f>
        <v>495.1</v>
      </c>
      <c r="G198" s="13">
        <v>390</v>
      </c>
      <c r="H198" s="13">
        <f t="shared" si="17"/>
        <v>78.8</v>
      </c>
    </row>
    <row r="199" spans="1:8" ht="63" x14ac:dyDescent="0.25">
      <c r="A199" s="12" t="s">
        <v>136</v>
      </c>
      <c r="B199" s="12" t="s">
        <v>141</v>
      </c>
      <c r="C199" s="12" t="s">
        <v>86</v>
      </c>
      <c r="D199" s="12"/>
      <c r="E199" s="31" t="s">
        <v>396</v>
      </c>
      <c r="F199" s="22">
        <f>F200+F229</f>
        <v>22244.5</v>
      </c>
      <c r="G199" s="22">
        <f>G200+G229</f>
        <v>7992.8</v>
      </c>
      <c r="H199" s="13">
        <f t="shared" si="17"/>
        <v>35.9</v>
      </c>
    </row>
    <row r="200" spans="1:8" ht="72" customHeight="1" x14ac:dyDescent="0.25">
      <c r="A200" s="12" t="s">
        <v>136</v>
      </c>
      <c r="B200" s="12" t="s">
        <v>141</v>
      </c>
      <c r="C200" s="12" t="s">
        <v>480</v>
      </c>
      <c r="D200" s="12"/>
      <c r="E200" s="41" t="s">
        <v>481</v>
      </c>
      <c r="F200" s="13">
        <f>F201+F207+F213+F221</f>
        <v>8872.1</v>
      </c>
      <c r="G200" s="13">
        <f>G201+G207+G213+G221</f>
        <v>1168.7</v>
      </c>
      <c r="H200" s="13">
        <f t="shared" si="17"/>
        <v>13.2</v>
      </c>
    </row>
    <row r="201" spans="1:8" ht="78.75" x14ac:dyDescent="0.25">
      <c r="A201" s="12" t="s">
        <v>136</v>
      </c>
      <c r="B201" s="12" t="s">
        <v>141</v>
      </c>
      <c r="C201" s="12" t="s">
        <v>548</v>
      </c>
      <c r="D201" s="12"/>
      <c r="E201" s="41" t="s">
        <v>350</v>
      </c>
      <c r="F201" s="13">
        <f>F202</f>
        <v>2191.1</v>
      </c>
      <c r="G201" s="13">
        <f>G202</f>
        <v>1168.7</v>
      </c>
      <c r="H201" s="13">
        <f t="shared" si="17"/>
        <v>53.3</v>
      </c>
    </row>
    <row r="202" spans="1:8" ht="47.25" x14ac:dyDescent="0.25">
      <c r="A202" s="12" t="s">
        <v>136</v>
      </c>
      <c r="B202" s="12" t="s">
        <v>141</v>
      </c>
      <c r="C202" s="12" t="s">
        <v>548</v>
      </c>
      <c r="D202" s="12" t="s">
        <v>309</v>
      </c>
      <c r="E202" s="41" t="s">
        <v>310</v>
      </c>
      <c r="F202" s="13">
        <f>F204+F206</f>
        <v>2191.1</v>
      </c>
      <c r="G202" s="13">
        <f>G204+G206</f>
        <v>1168.7</v>
      </c>
      <c r="H202" s="13">
        <f t="shared" si="17"/>
        <v>53.3</v>
      </c>
    </row>
    <row r="203" spans="1:8" ht="63" x14ac:dyDescent="0.25">
      <c r="A203" s="12" t="s">
        <v>136</v>
      </c>
      <c r="B203" s="12" t="s">
        <v>141</v>
      </c>
      <c r="C203" s="12" t="s">
        <v>625</v>
      </c>
      <c r="D203" s="12"/>
      <c r="E203" s="31" t="s">
        <v>626</v>
      </c>
      <c r="F203" s="22">
        <f>F204</f>
        <v>1404.8</v>
      </c>
      <c r="G203" s="22">
        <f>G204</f>
        <v>1168.7</v>
      </c>
      <c r="H203" s="13">
        <f t="shared" si="17"/>
        <v>83.2</v>
      </c>
    </row>
    <row r="204" spans="1:8" ht="47.25" x14ac:dyDescent="0.25">
      <c r="A204" s="12" t="s">
        <v>136</v>
      </c>
      <c r="B204" s="12" t="s">
        <v>141</v>
      </c>
      <c r="C204" s="12" t="s">
        <v>625</v>
      </c>
      <c r="D204" s="12" t="s">
        <v>309</v>
      </c>
      <c r="E204" s="41" t="s">
        <v>310</v>
      </c>
      <c r="F204" s="22">
        <f>1170.7+234.1</f>
        <v>1404.8</v>
      </c>
      <c r="G204" s="13">
        <v>1168.7</v>
      </c>
      <c r="H204" s="13">
        <f t="shared" si="17"/>
        <v>83.2</v>
      </c>
    </row>
    <row r="205" spans="1:8" ht="63" x14ac:dyDescent="0.25">
      <c r="A205" s="12" t="s">
        <v>136</v>
      </c>
      <c r="B205" s="12" t="s">
        <v>141</v>
      </c>
      <c r="C205" s="12" t="s">
        <v>627</v>
      </c>
      <c r="D205" s="12"/>
      <c r="E205" s="31" t="s">
        <v>628</v>
      </c>
      <c r="F205" s="22">
        <f>F206</f>
        <v>786.3</v>
      </c>
      <c r="G205" s="13">
        <f>G207+G209</f>
        <v>0</v>
      </c>
      <c r="H205" s="13">
        <f t="shared" si="17"/>
        <v>0</v>
      </c>
    </row>
    <row r="206" spans="1:8" ht="47.25" x14ac:dyDescent="0.25">
      <c r="A206" s="12" t="s">
        <v>136</v>
      </c>
      <c r="B206" s="12" t="s">
        <v>141</v>
      </c>
      <c r="C206" s="12" t="s">
        <v>627</v>
      </c>
      <c r="D206" s="12" t="s">
        <v>309</v>
      </c>
      <c r="E206" s="41" t="s">
        <v>310</v>
      </c>
      <c r="F206" s="22">
        <f>703.8+82.5</f>
        <v>786.3</v>
      </c>
      <c r="G206" s="22">
        <v>0</v>
      </c>
      <c r="H206" s="13">
        <f t="shared" si="17"/>
        <v>0</v>
      </c>
    </row>
    <row r="207" spans="1:8" ht="54" customHeight="1" x14ac:dyDescent="0.25">
      <c r="A207" s="12" t="s">
        <v>136</v>
      </c>
      <c r="B207" s="12" t="s">
        <v>141</v>
      </c>
      <c r="C207" s="12" t="s">
        <v>629</v>
      </c>
      <c r="D207" s="12"/>
      <c r="E207" s="35" t="s">
        <v>630</v>
      </c>
      <c r="F207" s="13">
        <f>F208</f>
        <v>1865</v>
      </c>
      <c r="G207" s="22">
        <v>0</v>
      </c>
      <c r="H207" s="13">
        <f t="shared" si="17"/>
        <v>0</v>
      </c>
    </row>
    <row r="208" spans="1:8" ht="47.25" x14ac:dyDescent="0.25">
      <c r="A208" s="12" t="s">
        <v>136</v>
      </c>
      <c r="B208" s="12" t="s">
        <v>141</v>
      </c>
      <c r="C208" s="12" t="s">
        <v>629</v>
      </c>
      <c r="D208" s="12" t="s">
        <v>309</v>
      </c>
      <c r="E208" s="36" t="s">
        <v>310</v>
      </c>
      <c r="F208" s="13">
        <f>F210+F212</f>
        <v>1865</v>
      </c>
      <c r="G208" s="13">
        <f>G210+G212</f>
        <v>0</v>
      </c>
      <c r="H208" s="13">
        <f t="shared" si="17"/>
        <v>0</v>
      </c>
    </row>
    <row r="209" spans="1:8" ht="63" x14ac:dyDescent="0.25">
      <c r="A209" s="12" t="s">
        <v>136</v>
      </c>
      <c r="B209" s="12" t="s">
        <v>141</v>
      </c>
      <c r="C209" s="12" t="s">
        <v>631</v>
      </c>
      <c r="D209" s="12"/>
      <c r="E209" s="31" t="s">
        <v>626</v>
      </c>
      <c r="F209" s="22">
        <f>F210</f>
        <v>1170</v>
      </c>
      <c r="G209" s="13">
        <v>0</v>
      </c>
      <c r="H209" s="22">
        <f t="shared" si="17"/>
        <v>0</v>
      </c>
    </row>
    <row r="210" spans="1:8" ht="47.25" x14ac:dyDescent="0.25">
      <c r="A210" s="12" t="s">
        <v>136</v>
      </c>
      <c r="B210" s="12" t="s">
        <v>141</v>
      </c>
      <c r="C210" s="12" t="s">
        <v>631</v>
      </c>
      <c r="D210" s="12" t="s">
        <v>309</v>
      </c>
      <c r="E210" s="36" t="s">
        <v>310</v>
      </c>
      <c r="F210" s="22">
        <v>1170</v>
      </c>
      <c r="G210" s="22">
        <v>0</v>
      </c>
      <c r="H210" s="22">
        <f t="shared" si="17"/>
        <v>0</v>
      </c>
    </row>
    <row r="211" spans="1:8" ht="63" x14ac:dyDescent="0.25">
      <c r="A211" s="12" t="s">
        <v>136</v>
      </c>
      <c r="B211" s="12" t="s">
        <v>141</v>
      </c>
      <c r="C211" s="12" t="s">
        <v>632</v>
      </c>
      <c r="D211" s="12"/>
      <c r="E211" s="31" t="s">
        <v>628</v>
      </c>
      <c r="F211" s="22">
        <f>F212</f>
        <v>695</v>
      </c>
      <c r="G211" s="22">
        <f>G213+G215+G217</f>
        <v>0</v>
      </c>
      <c r="H211" s="22">
        <f t="shared" si="17"/>
        <v>0</v>
      </c>
    </row>
    <row r="212" spans="1:8" ht="47.25" x14ac:dyDescent="0.25">
      <c r="A212" s="12" t="s">
        <v>136</v>
      </c>
      <c r="B212" s="12" t="s">
        <v>141</v>
      </c>
      <c r="C212" s="12" t="s">
        <v>632</v>
      </c>
      <c r="D212" s="12" t="s">
        <v>309</v>
      </c>
      <c r="E212" s="36" t="s">
        <v>310</v>
      </c>
      <c r="F212" s="22">
        <v>695</v>
      </c>
      <c r="G212" s="22">
        <v>0</v>
      </c>
      <c r="H212" s="22">
        <f t="shared" si="17"/>
        <v>0</v>
      </c>
    </row>
    <row r="213" spans="1:8" ht="78.75" x14ac:dyDescent="0.25">
      <c r="A213" s="12" t="s">
        <v>136</v>
      </c>
      <c r="B213" s="12" t="s">
        <v>141</v>
      </c>
      <c r="C213" s="12" t="s">
        <v>633</v>
      </c>
      <c r="D213" s="12"/>
      <c r="E213" s="41" t="s">
        <v>350</v>
      </c>
      <c r="F213" s="22">
        <f>F214</f>
        <v>2624</v>
      </c>
      <c r="G213" s="13">
        <v>0</v>
      </c>
      <c r="H213" s="22">
        <f t="shared" si="17"/>
        <v>0</v>
      </c>
    </row>
    <row r="214" spans="1:8" ht="47.25" x14ac:dyDescent="0.25">
      <c r="A214" s="12" t="s">
        <v>136</v>
      </c>
      <c r="B214" s="12" t="s">
        <v>141</v>
      </c>
      <c r="C214" s="12" t="s">
        <v>633</v>
      </c>
      <c r="D214" s="12" t="s">
        <v>309</v>
      </c>
      <c r="E214" s="41" t="s">
        <v>310</v>
      </c>
      <c r="F214" s="22">
        <f>F216+F218+F220</f>
        <v>2624</v>
      </c>
      <c r="G214" s="22">
        <f>G216+G218+G220</f>
        <v>0</v>
      </c>
      <c r="H214" s="22">
        <f t="shared" si="17"/>
        <v>0</v>
      </c>
    </row>
    <row r="215" spans="1:8" ht="63" x14ac:dyDescent="0.25">
      <c r="A215" s="12" t="s">
        <v>136</v>
      </c>
      <c r="B215" s="12" t="s">
        <v>141</v>
      </c>
      <c r="C215" s="12" t="s">
        <v>634</v>
      </c>
      <c r="D215" s="12"/>
      <c r="E215" s="31" t="s">
        <v>635</v>
      </c>
      <c r="F215" s="22">
        <f>F216</f>
        <v>1167</v>
      </c>
      <c r="G215" s="22">
        <v>0</v>
      </c>
      <c r="H215" s="13">
        <f t="shared" si="17"/>
        <v>0</v>
      </c>
    </row>
    <row r="216" spans="1:8" ht="47.25" x14ac:dyDescent="0.25">
      <c r="A216" s="12" t="s">
        <v>136</v>
      </c>
      <c r="B216" s="12" t="s">
        <v>141</v>
      </c>
      <c r="C216" s="12" t="s">
        <v>634</v>
      </c>
      <c r="D216" s="12" t="s">
        <v>309</v>
      </c>
      <c r="E216" s="41" t="s">
        <v>310</v>
      </c>
      <c r="F216" s="22">
        <f>973.2+193.8</f>
        <v>1167</v>
      </c>
      <c r="G216" s="22">
        <v>0</v>
      </c>
      <c r="H216" s="13">
        <f t="shared" si="17"/>
        <v>0</v>
      </c>
    </row>
    <row r="217" spans="1:8" ht="78.75" x14ac:dyDescent="0.25">
      <c r="A217" s="12" t="s">
        <v>136</v>
      </c>
      <c r="B217" s="12" t="s">
        <v>141</v>
      </c>
      <c r="C217" s="12" t="s">
        <v>636</v>
      </c>
      <c r="D217" s="12"/>
      <c r="E217" s="31" t="s">
        <v>637</v>
      </c>
      <c r="F217" s="22">
        <f>F218</f>
        <v>813</v>
      </c>
      <c r="G217" s="22">
        <v>0</v>
      </c>
      <c r="H217" s="13">
        <f t="shared" si="17"/>
        <v>0</v>
      </c>
    </row>
    <row r="218" spans="1:8" ht="47.25" x14ac:dyDescent="0.25">
      <c r="A218" s="12" t="s">
        <v>136</v>
      </c>
      <c r="B218" s="12" t="s">
        <v>141</v>
      </c>
      <c r="C218" s="12" t="s">
        <v>636</v>
      </c>
      <c r="D218" s="12" t="s">
        <v>309</v>
      </c>
      <c r="E218" s="41" t="s">
        <v>310</v>
      </c>
      <c r="F218" s="22">
        <f>677.5+135.5</f>
        <v>813</v>
      </c>
      <c r="G218" s="13">
        <v>0</v>
      </c>
      <c r="H218" s="13">
        <f t="shared" si="17"/>
        <v>0</v>
      </c>
    </row>
    <row r="219" spans="1:8" ht="63" x14ac:dyDescent="0.25">
      <c r="A219" s="12" t="s">
        <v>136</v>
      </c>
      <c r="B219" s="12" t="s">
        <v>141</v>
      </c>
      <c r="C219" s="12" t="s">
        <v>638</v>
      </c>
      <c r="D219" s="12"/>
      <c r="E219" s="31" t="s">
        <v>639</v>
      </c>
      <c r="F219" s="22">
        <f>F220</f>
        <v>644</v>
      </c>
      <c r="G219" s="13">
        <f>G221+G223+G225</f>
        <v>0</v>
      </c>
      <c r="H219" s="13">
        <f t="shared" si="17"/>
        <v>0</v>
      </c>
    </row>
    <row r="220" spans="1:8" ht="47.25" x14ac:dyDescent="0.25">
      <c r="A220" s="12" t="s">
        <v>136</v>
      </c>
      <c r="B220" s="12" t="s">
        <v>141</v>
      </c>
      <c r="C220" s="12" t="s">
        <v>638</v>
      </c>
      <c r="D220" s="12" t="s">
        <v>309</v>
      </c>
      <c r="E220" s="41" t="s">
        <v>310</v>
      </c>
      <c r="F220" s="22">
        <f>535.4+108.6</f>
        <v>644</v>
      </c>
      <c r="G220" s="13">
        <v>0</v>
      </c>
      <c r="H220" s="13">
        <f t="shared" si="17"/>
        <v>0</v>
      </c>
    </row>
    <row r="221" spans="1:8" ht="63" x14ac:dyDescent="0.25">
      <c r="A221" s="12" t="s">
        <v>136</v>
      </c>
      <c r="B221" s="12" t="s">
        <v>141</v>
      </c>
      <c r="C221" s="12" t="s">
        <v>640</v>
      </c>
      <c r="D221" s="12"/>
      <c r="E221" s="35" t="s">
        <v>630</v>
      </c>
      <c r="F221" s="13">
        <f>F222</f>
        <v>2192</v>
      </c>
      <c r="G221" s="13">
        <v>0</v>
      </c>
      <c r="H221" s="13">
        <f t="shared" si="17"/>
        <v>0</v>
      </c>
    </row>
    <row r="222" spans="1:8" ht="47.25" x14ac:dyDescent="0.25">
      <c r="A222" s="12" t="s">
        <v>136</v>
      </c>
      <c r="B222" s="12" t="s">
        <v>141</v>
      </c>
      <c r="C222" s="12" t="s">
        <v>640</v>
      </c>
      <c r="D222" s="12" t="s">
        <v>309</v>
      </c>
      <c r="E222" s="36" t="s">
        <v>310</v>
      </c>
      <c r="F222" s="13">
        <f>F224+F226+F228</f>
        <v>2192</v>
      </c>
      <c r="G222" s="13">
        <f>G224+G226+G228</f>
        <v>0</v>
      </c>
      <c r="H222" s="13">
        <f t="shared" si="17"/>
        <v>0</v>
      </c>
    </row>
    <row r="223" spans="1:8" ht="63" x14ac:dyDescent="0.25">
      <c r="A223" s="12" t="s">
        <v>136</v>
      </c>
      <c r="B223" s="12" t="s">
        <v>141</v>
      </c>
      <c r="C223" s="12" t="s">
        <v>641</v>
      </c>
      <c r="D223" s="12"/>
      <c r="E223" s="31" t="s">
        <v>635</v>
      </c>
      <c r="F223" s="13">
        <f>F224</f>
        <v>965</v>
      </c>
      <c r="G223" s="22">
        <v>0</v>
      </c>
      <c r="H223" s="13">
        <f t="shared" si="17"/>
        <v>0</v>
      </c>
    </row>
    <row r="224" spans="1:8" ht="47.25" x14ac:dyDescent="0.25">
      <c r="A224" s="12" t="s">
        <v>136</v>
      </c>
      <c r="B224" s="12" t="s">
        <v>141</v>
      </c>
      <c r="C224" s="12" t="s">
        <v>641</v>
      </c>
      <c r="D224" s="12" t="s">
        <v>309</v>
      </c>
      <c r="E224" s="36" t="s">
        <v>310</v>
      </c>
      <c r="F224" s="13">
        <v>965</v>
      </c>
      <c r="G224" s="22">
        <v>0</v>
      </c>
      <c r="H224" s="13">
        <f t="shared" si="17"/>
        <v>0</v>
      </c>
    </row>
    <row r="225" spans="1:8" ht="78.75" x14ac:dyDescent="0.25">
      <c r="A225" s="12" t="s">
        <v>136</v>
      </c>
      <c r="B225" s="12" t="s">
        <v>141</v>
      </c>
      <c r="C225" s="12" t="s">
        <v>642</v>
      </c>
      <c r="D225" s="12"/>
      <c r="E225" s="31" t="s">
        <v>637</v>
      </c>
      <c r="F225" s="22">
        <f>F226</f>
        <v>677</v>
      </c>
      <c r="G225" s="22">
        <v>0</v>
      </c>
      <c r="H225" s="13">
        <f t="shared" si="17"/>
        <v>0</v>
      </c>
    </row>
    <row r="226" spans="1:8" ht="47.25" x14ac:dyDescent="0.25">
      <c r="A226" s="12" t="s">
        <v>136</v>
      </c>
      <c r="B226" s="12" t="s">
        <v>141</v>
      </c>
      <c r="C226" s="12" t="s">
        <v>642</v>
      </c>
      <c r="D226" s="12" t="s">
        <v>309</v>
      </c>
      <c r="E226" s="36" t="s">
        <v>310</v>
      </c>
      <c r="F226" s="22">
        <v>677</v>
      </c>
      <c r="G226" s="13">
        <v>0</v>
      </c>
      <c r="H226" s="13">
        <f t="shared" si="17"/>
        <v>0</v>
      </c>
    </row>
    <row r="227" spans="1:8" ht="63" x14ac:dyDescent="0.25">
      <c r="A227" s="12" t="s">
        <v>136</v>
      </c>
      <c r="B227" s="12" t="s">
        <v>141</v>
      </c>
      <c r="C227" s="12" t="s">
        <v>643</v>
      </c>
      <c r="D227" s="12"/>
      <c r="E227" s="31" t="s">
        <v>639</v>
      </c>
      <c r="F227" s="22">
        <f>F228</f>
        <v>550</v>
      </c>
      <c r="G227" s="13">
        <f>G228</f>
        <v>0</v>
      </c>
      <c r="H227" s="13">
        <f t="shared" si="17"/>
        <v>0</v>
      </c>
    </row>
    <row r="228" spans="1:8" ht="47.25" x14ac:dyDescent="0.25">
      <c r="A228" s="12" t="s">
        <v>136</v>
      </c>
      <c r="B228" s="12" t="s">
        <v>141</v>
      </c>
      <c r="C228" s="12" t="s">
        <v>643</v>
      </c>
      <c r="D228" s="12" t="s">
        <v>309</v>
      </c>
      <c r="E228" s="36" t="s">
        <v>310</v>
      </c>
      <c r="F228" s="22">
        <v>550</v>
      </c>
      <c r="G228" s="13">
        <v>0</v>
      </c>
      <c r="H228" s="13">
        <f t="shared" si="17"/>
        <v>0</v>
      </c>
    </row>
    <row r="229" spans="1:8" ht="78.75" x14ac:dyDescent="0.25">
      <c r="A229" s="12" t="s">
        <v>136</v>
      </c>
      <c r="B229" s="12" t="s">
        <v>141</v>
      </c>
      <c r="C229" s="12" t="s">
        <v>549</v>
      </c>
      <c r="D229" s="12"/>
      <c r="E229" s="36" t="s">
        <v>550</v>
      </c>
      <c r="F229" s="13">
        <f>F230</f>
        <v>13372.4</v>
      </c>
      <c r="G229" s="13">
        <f>G230</f>
        <v>6824.1</v>
      </c>
      <c r="H229" s="13">
        <f t="shared" si="17"/>
        <v>51</v>
      </c>
    </row>
    <row r="230" spans="1:8" ht="71.25" customHeight="1" x14ac:dyDescent="0.25">
      <c r="A230" s="12" t="s">
        <v>136</v>
      </c>
      <c r="B230" s="12" t="s">
        <v>141</v>
      </c>
      <c r="C230" s="12" t="s">
        <v>644</v>
      </c>
      <c r="D230" s="12"/>
      <c r="E230" s="36" t="s">
        <v>551</v>
      </c>
      <c r="F230" s="13">
        <f>F231</f>
        <v>13372.4</v>
      </c>
      <c r="G230" s="13">
        <f>G231</f>
        <v>6824.1</v>
      </c>
      <c r="H230" s="13">
        <f t="shared" si="17"/>
        <v>51</v>
      </c>
    </row>
    <row r="231" spans="1:8" ht="47.25" x14ac:dyDescent="0.25">
      <c r="A231" s="12" t="s">
        <v>136</v>
      </c>
      <c r="B231" s="12" t="s">
        <v>141</v>
      </c>
      <c r="C231" s="12" t="s">
        <v>644</v>
      </c>
      <c r="D231" s="12" t="s">
        <v>309</v>
      </c>
      <c r="E231" s="36" t="s">
        <v>310</v>
      </c>
      <c r="F231" s="13">
        <f>F233+F235+F237+F239+F241+F243</f>
        <v>13372.4</v>
      </c>
      <c r="G231" s="13">
        <f>G233+G235+G237+G239+G241+G243</f>
        <v>6824.1</v>
      </c>
      <c r="H231" s="13">
        <f t="shared" si="17"/>
        <v>51</v>
      </c>
    </row>
    <row r="232" spans="1:8" ht="63" x14ac:dyDescent="0.25">
      <c r="A232" s="12" t="s">
        <v>136</v>
      </c>
      <c r="B232" s="12" t="s">
        <v>141</v>
      </c>
      <c r="C232" s="12" t="s">
        <v>645</v>
      </c>
      <c r="D232" s="12"/>
      <c r="E232" s="36" t="s">
        <v>646</v>
      </c>
      <c r="F232" s="13">
        <f>F233</f>
        <v>1338.2</v>
      </c>
      <c r="G232" s="13">
        <v>0</v>
      </c>
      <c r="H232" s="13">
        <f t="shared" si="17"/>
        <v>0</v>
      </c>
    </row>
    <row r="233" spans="1:8" ht="47.25" x14ac:dyDescent="0.25">
      <c r="A233" s="12" t="s">
        <v>136</v>
      </c>
      <c r="B233" s="12" t="s">
        <v>141</v>
      </c>
      <c r="C233" s="12" t="s">
        <v>645</v>
      </c>
      <c r="D233" s="12" t="s">
        <v>309</v>
      </c>
      <c r="E233" s="36" t="s">
        <v>310</v>
      </c>
      <c r="F233" s="13">
        <f>1310.7+27.5</f>
        <v>1338.2</v>
      </c>
      <c r="G233" s="13">
        <v>1182.0999999999999</v>
      </c>
      <c r="H233" s="13">
        <f t="shared" si="17"/>
        <v>88.3</v>
      </c>
    </row>
    <row r="234" spans="1:8" ht="50.25" customHeight="1" x14ac:dyDescent="0.25">
      <c r="A234" s="12" t="s">
        <v>136</v>
      </c>
      <c r="B234" s="12" t="s">
        <v>141</v>
      </c>
      <c r="C234" s="12" t="s">
        <v>647</v>
      </c>
      <c r="D234" s="12"/>
      <c r="E234" s="36" t="s">
        <v>648</v>
      </c>
      <c r="F234" s="13">
        <f>F235</f>
        <v>1086.8</v>
      </c>
      <c r="G234" s="13">
        <v>0</v>
      </c>
      <c r="H234" s="13">
        <f t="shared" si="17"/>
        <v>0</v>
      </c>
    </row>
    <row r="235" spans="1:8" ht="47.25" x14ac:dyDescent="0.25">
      <c r="A235" s="12" t="s">
        <v>136</v>
      </c>
      <c r="B235" s="12" t="s">
        <v>141</v>
      </c>
      <c r="C235" s="12" t="s">
        <v>647</v>
      </c>
      <c r="D235" s="12" t="s">
        <v>309</v>
      </c>
      <c r="E235" s="36" t="s">
        <v>310</v>
      </c>
      <c r="F235" s="13">
        <f>1022.6+21.4+42.8</f>
        <v>1086.8</v>
      </c>
      <c r="G235" s="13">
        <v>64.2</v>
      </c>
      <c r="H235" s="13">
        <f t="shared" si="17"/>
        <v>5.9</v>
      </c>
    </row>
    <row r="236" spans="1:8" ht="31.5" x14ac:dyDescent="0.25">
      <c r="A236" s="12" t="s">
        <v>136</v>
      </c>
      <c r="B236" s="12" t="s">
        <v>141</v>
      </c>
      <c r="C236" s="12" t="s">
        <v>649</v>
      </c>
      <c r="D236" s="12"/>
      <c r="E236" s="36" t="s">
        <v>650</v>
      </c>
      <c r="F236" s="13">
        <f>F237</f>
        <v>4042.7</v>
      </c>
      <c r="G236" s="13">
        <v>0</v>
      </c>
      <c r="H236" s="13">
        <f t="shared" si="17"/>
        <v>0</v>
      </c>
    </row>
    <row r="237" spans="1:8" ht="47.25" x14ac:dyDescent="0.25">
      <c r="A237" s="12" t="s">
        <v>136</v>
      </c>
      <c r="B237" s="12" t="s">
        <v>141</v>
      </c>
      <c r="C237" s="12" t="s">
        <v>649</v>
      </c>
      <c r="D237" s="12" t="s">
        <v>309</v>
      </c>
      <c r="E237" s="36" t="s">
        <v>310</v>
      </c>
      <c r="F237" s="13">
        <f>4012.6+30+0.1</f>
        <v>4042.7</v>
      </c>
      <c r="G237" s="13">
        <v>0</v>
      </c>
      <c r="H237" s="13">
        <f t="shared" si="17"/>
        <v>0</v>
      </c>
    </row>
    <row r="238" spans="1:8" ht="31.5" x14ac:dyDescent="0.25">
      <c r="A238" s="12" t="s">
        <v>136</v>
      </c>
      <c r="B238" s="12" t="s">
        <v>141</v>
      </c>
      <c r="C238" s="12" t="s">
        <v>651</v>
      </c>
      <c r="D238" s="12"/>
      <c r="E238" s="31" t="s">
        <v>652</v>
      </c>
      <c r="F238" s="13">
        <f>F239</f>
        <v>5398.2</v>
      </c>
      <c r="G238" s="13">
        <f>G239</f>
        <v>5368.2</v>
      </c>
      <c r="H238" s="13">
        <f t="shared" si="17"/>
        <v>99.4</v>
      </c>
    </row>
    <row r="239" spans="1:8" ht="47.25" x14ac:dyDescent="0.25">
      <c r="A239" s="12" t="s">
        <v>136</v>
      </c>
      <c r="B239" s="12" t="s">
        <v>141</v>
      </c>
      <c r="C239" s="12" t="s">
        <v>651</v>
      </c>
      <c r="D239" s="12" t="s">
        <v>309</v>
      </c>
      <c r="E239" s="36" t="s">
        <v>310</v>
      </c>
      <c r="F239" s="13">
        <f>5368.2+30</f>
        <v>5398.2</v>
      </c>
      <c r="G239" s="13">
        <v>5368.2</v>
      </c>
      <c r="H239" s="13">
        <f t="shared" si="17"/>
        <v>99.4</v>
      </c>
    </row>
    <row r="240" spans="1:8" ht="47.25" x14ac:dyDescent="0.25">
      <c r="A240" s="12" t="s">
        <v>136</v>
      </c>
      <c r="B240" s="12" t="s">
        <v>141</v>
      </c>
      <c r="C240" s="12" t="s">
        <v>653</v>
      </c>
      <c r="D240" s="12"/>
      <c r="E240" s="36" t="s">
        <v>654</v>
      </c>
      <c r="F240" s="13">
        <f>F241</f>
        <v>1278.5999999999999</v>
      </c>
      <c r="G240" s="13">
        <f>G241</f>
        <v>9</v>
      </c>
      <c r="H240" s="13">
        <f t="shared" si="17"/>
        <v>0.7</v>
      </c>
    </row>
    <row r="241" spans="1:8" ht="47.25" x14ac:dyDescent="0.25">
      <c r="A241" s="12" t="s">
        <v>136</v>
      </c>
      <c r="B241" s="12" t="s">
        <v>141</v>
      </c>
      <c r="C241" s="12" t="s">
        <v>653</v>
      </c>
      <c r="D241" s="12" t="s">
        <v>309</v>
      </c>
      <c r="E241" s="36" t="s">
        <v>310</v>
      </c>
      <c r="F241" s="17">
        <v>1278.5999999999999</v>
      </c>
      <c r="G241" s="13">
        <v>9</v>
      </c>
      <c r="H241" s="13">
        <f t="shared" si="17"/>
        <v>0.7</v>
      </c>
    </row>
    <row r="242" spans="1:8" ht="31.5" x14ac:dyDescent="0.25">
      <c r="A242" s="12" t="s">
        <v>136</v>
      </c>
      <c r="B242" s="12" t="s">
        <v>141</v>
      </c>
      <c r="C242" s="12" t="s">
        <v>718</v>
      </c>
      <c r="D242" s="12"/>
      <c r="E242" s="41" t="s">
        <v>719</v>
      </c>
      <c r="F242" s="11">
        <f>F243</f>
        <v>227.9</v>
      </c>
      <c r="G242" s="13">
        <f>G243</f>
        <v>200.6</v>
      </c>
      <c r="H242" s="13">
        <f t="shared" si="17"/>
        <v>88</v>
      </c>
    </row>
    <row r="243" spans="1:8" ht="47.25" x14ac:dyDescent="0.25">
      <c r="A243" s="12" t="s">
        <v>136</v>
      </c>
      <c r="B243" s="12" t="s">
        <v>141</v>
      </c>
      <c r="C243" s="12" t="s">
        <v>718</v>
      </c>
      <c r="D243" s="12" t="s">
        <v>309</v>
      </c>
      <c r="E243" s="36" t="s">
        <v>310</v>
      </c>
      <c r="F243" s="17">
        <v>227.9</v>
      </c>
      <c r="G243" s="13">
        <v>200.6</v>
      </c>
      <c r="H243" s="13">
        <f t="shared" si="17"/>
        <v>88</v>
      </c>
    </row>
    <row r="244" spans="1:8" ht="78.75" x14ac:dyDescent="0.25">
      <c r="A244" s="12" t="s">
        <v>136</v>
      </c>
      <c r="B244" s="12" t="s">
        <v>141</v>
      </c>
      <c r="C244" s="12" t="s">
        <v>334</v>
      </c>
      <c r="D244" s="12"/>
      <c r="E244" s="31" t="s">
        <v>405</v>
      </c>
      <c r="F244" s="13">
        <f>F245</f>
        <v>7264.2999999999993</v>
      </c>
      <c r="G244" s="13">
        <f>G245</f>
        <v>2624.6000000000004</v>
      </c>
      <c r="H244" s="13">
        <f t="shared" si="17"/>
        <v>36.1</v>
      </c>
    </row>
    <row r="245" spans="1:8" ht="63" x14ac:dyDescent="0.25">
      <c r="A245" s="12" t="s">
        <v>136</v>
      </c>
      <c r="B245" s="12" t="s">
        <v>141</v>
      </c>
      <c r="C245" s="12" t="s">
        <v>335</v>
      </c>
      <c r="D245" s="12"/>
      <c r="E245" s="31" t="s">
        <v>336</v>
      </c>
      <c r="F245" s="13">
        <f>F246+F248+F250+F252+F254+F256</f>
        <v>7264.2999999999993</v>
      </c>
      <c r="G245" s="13">
        <f>G246+G248+G250+G252+G254+G256</f>
        <v>2624.6000000000004</v>
      </c>
      <c r="H245" s="13">
        <f t="shared" ref="H245:H263" si="18">ROUND((G245/F245*100),1)</f>
        <v>36.1</v>
      </c>
    </row>
    <row r="246" spans="1:8" ht="47.25" x14ac:dyDescent="0.25">
      <c r="A246" s="12" t="s">
        <v>136</v>
      </c>
      <c r="B246" s="12" t="s">
        <v>141</v>
      </c>
      <c r="C246" s="12" t="s">
        <v>337</v>
      </c>
      <c r="D246" s="12"/>
      <c r="E246" s="36" t="s">
        <v>406</v>
      </c>
      <c r="F246" s="13">
        <f>F247</f>
        <v>1893.1</v>
      </c>
      <c r="G246" s="13">
        <f>G247</f>
        <v>1893</v>
      </c>
      <c r="H246" s="13">
        <f t="shared" si="18"/>
        <v>100</v>
      </c>
    </row>
    <row r="247" spans="1:8" ht="47.25" x14ac:dyDescent="0.25">
      <c r="A247" s="12" t="s">
        <v>136</v>
      </c>
      <c r="B247" s="12" t="s">
        <v>141</v>
      </c>
      <c r="C247" s="12" t="s">
        <v>337</v>
      </c>
      <c r="D247" s="12" t="s">
        <v>309</v>
      </c>
      <c r="E247" s="36" t="s">
        <v>310</v>
      </c>
      <c r="F247" s="13">
        <f>2381.2-488.1</f>
        <v>1893.1</v>
      </c>
      <c r="G247" s="13">
        <v>1893</v>
      </c>
      <c r="H247" s="13">
        <f t="shared" si="18"/>
        <v>100</v>
      </c>
    </row>
    <row r="248" spans="1:8" ht="31.5" x14ac:dyDescent="0.25">
      <c r="A248" s="12" t="s">
        <v>136</v>
      </c>
      <c r="B248" s="12" t="s">
        <v>141</v>
      </c>
      <c r="C248" s="12" t="s">
        <v>437</v>
      </c>
      <c r="D248" s="12"/>
      <c r="E248" s="36" t="s">
        <v>438</v>
      </c>
      <c r="F248" s="13">
        <f t="shared" ref="F248:G248" si="19">F249</f>
        <v>362.6</v>
      </c>
      <c r="G248" s="13">
        <f t="shared" si="19"/>
        <v>239.3</v>
      </c>
      <c r="H248" s="13">
        <f t="shared" si="18"/>
        <v>66</v>
      </c>
    </row>
    <row r="249" spans="1:8" ht="47.25" x14ac:dyDescent="0.25">
      <c r="A249" s="12" t="s">
        <v>136</v>
      </c>
      <c r="B249" s="12" t="s">
        <v>141</v>
      </c>
      <c r="C249" s="12" t="s">
        <v>437</v>
      </c>
      <c r="D249" s="12" t="s">
        <v>309</v>
      </c>
      <c r="E249" s="36" t="s">
        <v>310</v>
      </c>
      <c r="F249" s="13">
        <f>22.6+350-10</f>
        <v>362.6</v>
      </c>
      <c r="G249" s="13">
        <v>239.3</v>
      </c>
      <c r="H249" s="13">
        <f t="shared" si="18"/>
        <v>66</v>
      </c>
    </row>
    <row r="250" spans="1:8" ht="53.25" customHeight="1" x14ac:dyDescent="0.25">
      <c r="A250" s="12" t="s">
        <v>136</v>
      </c>
      <c r="B250" s="12" t="s">
        <v>141</v>
      </c>
      <c r="C250" s="12" t="s">
        <v>552</v>
      </c>
      <c r="D250" s="12"/>
      <c r="E250" s="35" t="s">
        <v>553</v>
      </c>
      <c r="F250" s="13">
        <f>F251</f>
        <v>184.4</v>
      </c>
      <c r="G250" s="13">
        <f>G251</f>
        <v>184.4</v>
      </c>
      <c r="H250" s="13">
        <f t="shared" si="18"/>
        <v>100</v>
      </c>
    </row>
    <row r="251" spans="1:8" ht="47.25" x14ac:dyDescent="0.25">
      <c r="A251" s="12" t="s">
        <v>136</v>
      </c>
      <c r="B251" s="12" t="s">
        <v>141</v>
      </c>
      <c r="C251" s="12" t="s">
        <v>552</v>
      </c>
      <c r="D251" s="12" t="s">
        <v>309</v>
      </c>
      <c r="E251" s="36" t="s">
        <v>310</v>
      </c>
      <c r="F251" s="13">
        <v>184.4</v>
      </c>
      <c r="G251" s="13">
        <v>184.4</v>
      </c>
      <c r="H251" s="13">
        <f t="shared" si="18"/>
        <v>100</v>
      </c>
    </row>
    <row r="252" spans="1:8" x14ac:dyDescent="0.25">
      <c r="A252" s="12" t="s">
        <v>136</v>
      </c>
      <c r="B252" s="12" t="s">
        <v>141</v>
      </c>
      <c r="C252" s="12" t="s">
        <v>554</v>
      </c>
      <c r="D252" s="12"/>
      <c r="E252" s="35" t="s">
        <v>555</v>
      </c>
      <c r="F252" s="13">
        <f>F253</f>
        <v>600</v>
      </c>
      <c r="G252" s="13">
        <f>G253</f>
        <v>307.89999999999998</v>
      </c>
      <c r="H252" s="13">
        <f t="shared" si="18"/>
        <v>51.3</v>
      </c>
    </row>
    <row r="253" spans="1:8" ht="47.25" x14ac:dyDescent="0.25">
      <c r="A253" s="12" t="s">
        <v>136</v>
      </c>
      <c r="B253" s="12" t="s">
        <v>141</v>
      </c>
      <c r="C253" s="12" t="s">
        <v>554</v>
      </c>
      <c r="D253" s="12" t="s">
        <v>309</v>
      </c>
      <c r="E253" s="36" t="s">
        <v>310</v>
      </c>
      <c r="F253" s="13">
        <v>600</v>
      </c>
      <c r="G253" s="13">
        <v>307.89999999999998</v>
      </c>
      <c r="H253" s="13">
        <f t="shared" si="18"/>
        <v>51.3</v>
      </c>
    </row>
    <row r="254" spans="1:8" ht="63" x14ac:dyDescent="0.25">
      <c r="A254" s="12" t="s">
        <v>136</v>
      </c>
      <c r="B254" s="12" t="s">
        <v>141</v>
      </c>
      <c r="C254" s="11" t="s">
        <v>491</v>
      </c>
      <c r="D254" s="12"/>
      <c r="E254" s="36" t="s">
        <v>407</v>
      </c>
      <c r="F254" s="13">
        <f t="shared" ref="F254:G254" si="20">F255</f>
        <v>844.8</v>
      </c>
      <c r="G254" s="13">
        <f t="shared" si="20"/>
        <v>0</v>
      </c>
      <c r="H254" s="13">
        <f t="shared" si="18"/>
        <v>0</v>
      </c>
    </row>
    <row r="255" spans="1:8" ht="47.25" x14ac:dyDescent="0.25">
      <c r="A255" s="12" t="s">
        <v>136</v>
      </c>
      <c r="B255" s="12" t="s">
        <v>141</v>
      </c>
      <c r="C255" s="11" t="s">
        <v>491</v>
      </c>
      <c r="D255" s="12" t="s">
        <v>309</v>
      </c>
      <c r="E255" s="36" t="s">
        <v>310</v>
      </c>
      <c r="F255" s="13">
        <v>844.8</v>
      </c>
      <c r="G255" s="13">
        <v>0</v>
      </c>
      <c r="H255" s="13">
        <f t="shared" si="18"/>
        <v>0</v>
      </c>
    </row>
    <row r="256" spans="1:8" ht="78.75" x14ac:dyDescent="0.25">
      <c r="A256" s="12" t="s">
        <v>136</v>
      </c>
      <c r="B256" s="12" t="s">
        <v>141</v>
      </c>
      <c r="C256" s="11" t="s">
        <v>492</v>
      </c>
      <c r="D256" s="12"/>
      <c r="E256" s="36" t="s">
        <v>408</v>
      </c>
      <c r="F256" s="13">
        <f t="shared" ref="F256:G256" si="21">F257</f>
        <v>3379.4</v>
      </c>
      <c r="G256" s="13">
        <f t="shared" si="21"/>
        <v>0</v>
      </c>
      <c r="H256" s="13">
        <f t="shared" si="18"/>
        <v>0</v>
      </c>
    </row>
    <row r="257" spans="1:8" ht="47.25" x14ac:dyDescent="0.25">
      <c r="A257" s="12" t="s">
        <v>136</v>
      </c>
      <c r="B257" s="12" t="s">
        <v>141</v>
      </c>
      <c r="C257" s="11" t="s">
        <v>492</v>
      </c>
      <c r="D257" s="12" t="s">
        <v>309</v>
      </c>
      <c r="E257" s="36" t="s">
        <v>310</v>
      </c>
      <c r="F257" s="13">
        <v>3379.4</v>
      </c>
      <c r="G257" s="13">
        <v>0</v>
      </c>
      <c r="H257" s="13">
        <f t="shared" si="18"/>
        <v>0</v>
      </c>
    </row>
    <row r="258" spans="1:8" ht="47.25" x14ac:dyDescent="0.25">
      <c r="A258" s="12" t="s">
        <v>136</v>
      </c>
      <c r="B258" s="12" t="s">
        <v>141</v>
      </c>
      <c r="C258" s="12" t="s">
        <v>34</v>
      </c>
      <c r="D258" s="12"/>
      <c r="E258" s="31" t="s">
        <v>55</v>
      </c>
      <c r="F258" s="13">
        <f>F259</f>
        <v>50</v>
      </c>
      <c r="G258" s="13">
        <f>G259</f>
        <v>0</v>
      </c>
      <c r="H258" s="13">
        <f t="shared" si="18"/>
        <v>0</v>
      </c>
    </row>
    <row r="259" spans="1:8" ht="63" x14ac:dyDescent="0.25">
      <c r="A259" s="12" t="s">
        <v>136</v>
      </c>
      <c r="B259" s="12" t="s">
        <v>141</v>
      </c>
      <c r="C259" s="12" t="s">
        <v>425</v>
      </c>
      <c r="D259" s="12"/>
      <c r="E259" s="35" t="s">
        <v>426</v>
      </c>
      <c r="F259" s="13">
        <f>SUM(F260:F260)</f>
        <v>50</v>
      </c>
      <c r="G259" s="13">
        <f>SUM(G260:G260)</f>
        <v>0</v>
      </c>
      <c r="H259" s="13">
        <f t="shared" si="18"/>
        <v>0</v>
      </c>
    </row>
    <row r="260" spans="1:8" ht="47.25" x14ac:dyDescent="0.25">
      <c r="A260" s="12" t="s">
        <v>136</v>
      </c>
      <c r="B260" s="12" t="s">
        <v>141</v>
      </c>
      <c r="C260" s="12" t="s">
        <v>425</v>
      </c>
      <c r="D260" s="12" t="s">
        <v>309</v>
      </c>
      <c r="E260" s="36" t="s">
        <v>310</v>
      </c>
      <c r="F260" s="13">
        <v>50</v>
      </c>
      <c r="G260" s="13">
        <v>0</v>
      </c>
      <c r="H260" s="13">
        <f t="shared" si="18"/>
        <v>0</v>
      </c>
    </row>
    <row r="261" spans="1:8" ht="31.5" x14ac:dyDescent="0.25">
      <c r="A261" s="12" t="s">
        <v>136</v>
      </c>
      <c r="B261" s="12" t="s">
        <v>161</v>
      </c>
      <c r="C261" s="12"/>
      <c r="D261" s="12"/>
      <c r="E261" s="31" t="s">
        <v>12</v>
      </c>
      <c r="F261" s="13">
        <f>F262+F270+F284</f>
        <v>8663.7000000000007</v>
      </c>
      <c r="G261" s="13">
        <f>G262+G270+G284</f>
        <v>1707</v>
      </c>
      <c r="H261" s="13">
        <f t="shared" si="18"/>
        <v>19.7</v>
      </c>
    </row>
    <row r="262" spans="1:8" ht="63" x14ac:dyDescent="0.25">
      <c r="A262" s="12" t="s">
        <v>136</v>
      </c>
      <c r="B262" s="12" t="s">
        <v>161</v>
      </c>
      <c r="C262" s="12" t="s">
        <v>110</v>
      </c>
      <c r="D262" s="12"/>
      <c r="E262" s="31" t="s">
        <v>382</v>
      </c>
      <c r="F262" s="13">
        <f>F263</f>
        <v>6703.7</v>
      </c>
      <c r="G262" s="13">
        <f>G263</f>
        <v>59</v>
      </c>
      <c r="H262" s="13">
        <f t="shared" si="18"/>
        <v>0.9</v>
      </c>
    </row>
    <row r="263" spans="1:8" ht="47.25" x14ac:dyDescent="0.25">
      <c r="A263" s="12" t="s">
        <v>136</v>
      </c>
      <c r="B263" s="12" t="s">
        <v>161</v>
      </c>
      <c r="C263" s="12" t="s">
        <v>206</v>
      </c>
      <c r="D263" s="12"/>
      <c r="E263" s="31" t="s">
        <v>205</v>
      </c>
      <c r="F263" s="13">
        <f>F264+F266+F268</f>
        <v>6703.7</v>
      </c>
      <c r="G263" s="13">
        <f>G264+G266+G268</f>
        <v>59</v>
      </c>
      <c r="H263" s="13">
        <f t="shared" si="18"/>
        <v>0.9</v>
      </c>
    </row>
    <row r="264" spans="1:8" ht="63" x14ac:dyDescent="0.25">
      <c r="A264" s="12" t="s">
        <v>136</v>
      </c>
      <c r="B264" s="12" t="s">
        <v>161</v>
      </c>
      <c r="C264" s="12" t="s">
        <v>208</v>
      </c>
      <c r="D264" s="12"/>
      <c r="E264" s="31" t="s">
        <v>207</v>
      </c>
      <c r="F264" s="13">
        <f>F265</f>
        <v>157</v>
      </c>
      <c r="G264" s="13">
        <f>G265</f>
        <v>35</v>
      </c>
      <c r="H264" s="13">
        <f t="shared" ref="H264:H286" si="22">ROUND((G264/F264*100),1)</f>
        <v>22.3</v>
      </c>
    </row>
    <row r="265" spans="1:8" ht="47.25" x14ac:dyDescent="0.25">
      <c r="A265" s="12" t="s">
        <v>136</v>
      </c>
      <c r="B265" s="12" t="s">
        <v>161</v>
      </c>
      <c r="C265" s="12" t="s">
        <v>208</v>
      </c>
      <c r="D265" s="12" t="s">
        <v>309</v>
      </c>
      <c r="E265" s="36" t="s">
        <v>310</v>
      </c>
      <c r="F265" s="13">
        <f>164-7</f>
        <v>157</v>
      </c>
      <c r="G265" s="13">
        <v>35</v>
      </c>
      <c r="H265" s="13">
        <f t="shared" si="22"/>
        <v>22.3</v>
      </c>
    </row>
    <row r="266" spans="1:8" ht="47.25" x14ac:dyDescent="0.25">
      <c r="A266" s="12" t="s">
        <v>136</v>
      </c>
      <c r="B266" s="12" t="s">
        <v>161</v>
      </c>
      <c r="C266" s="12" t="s">
        <v>409</v>
      </c>
      <c r="D266" s="12"/>
      <c r="E266" s="31" t="s">
        <v>215</v>
      </c>
      <c r="F266" s="13">
        <f>F267</f>
        <v>24</v>
      </c>
      <c r="G266" s="13">
        <f>G267</f>
        <v>24</v>
      </c>
      <c r="H266" s="13">
        <f t="shared" si="22"/>
        <v>100</v>
      </c>
    </row>
    <row r="267" spans="1:8" ht="47.25" x14ac:dyDescent="0.25">
      <c r="A267" s="12" t="s">
        <v>136</v>
      </c>
      <c r="B267" s="12" t="s">
        <v>161</v>
      </c>
      <c r="C267" s="12" t="s">
        <v>409</v>
      </c>
      <c r="D267" s="12" t="s">
        <v>309</v>
      </c>
      <c r="E267" s="36" t="s">
        <v>310</v>
      </c>
      <c r="F267" s="13">
        <f>36-12</f>
        <v>24</v>
      </c>
      <c r="G267" s="13">
        <v>24</v>
      </c>
      <c r="H267" s="13">
        <f t="shared" si="22"/>
        <v>100</v>
      </c>
    </row>
    <row r="268" spans="1:8" ht="49.5" customHeight="1" x14ac:dyDescent="0.25">
      <c r="A268" s="12" t="s">
        <v>136</v>
      </c>
      <c r="B268" s="12" t="s">
        <v>161</v>
      </c>
      <c r="C268" s="12" t="s">
        <v>556</v>
      </c>
      <c r="D268" s="12"/>
      <c r="E268" s="36" t="s">
        <v>557</v>
      </c>
      <c r="F268" s="13">
        <f>F269</f>
        <v>6522.7</v>
      </c>
      <c r="G268" s="13">
        <v>0</v>
      </c>
      <c r="H268" s="13">
        <f t="shared" si="22"/>
        <v>0</v>
      </c>
    </row>
    <row r="269" spans="1:8" ht="47.25" x14ac:dyDescent="0.25">
      <c r="A269" s="12" t="s">
        <v>136</v>
      </c>
      <c r="B269" s="12" t="s">
        <v>161</v>
      </c>
      <c r="C269" s="12" t="s">
        <v>556</v>
      </c>
      <c r="D269" s="12" t="s">
        <v>309</v>
      </c>
      <c r="E269" s="36" t="s">
        <v>310</v>
      </c>
      <c r="F269" s="13">
        <f>430.7+6093.8-1.8</f>
        <v>6522.7</v>
      </c>
      <c r="G269" s="13">
        <v>0</v>
      </c>
      <c r="H269" s="13">
        <f t="shared" si="22"/>
        <v>0</v>
      </c>
    </row>
    <row r="270" spans="1:8" ht="61.5" customHeight="1" x14ac:dyDescent="0.25">
      <c r="A270" s="12" t="s">
        <v>136</v>
      </c>
      <c r="B270" s="12" t="s">
        <v>161</v>
      </c>
      <c r="C270" s="39">
        <v>400000000</v>
      </c>
      <c r="D270" s="12"/>
      <c r="E270" s="31" t="s">
        <v>395</v>
      </c>
      <c r="F270" s="13">
        <f>F271</f>
        <v>1520</v>
      </c>
      <c r="G270" s="13">
        <f>G271</f>
        <v>1348</v>
      </c>
      <c r="H270" s="13">
        <f t="shared" si="22"/>
        <v>88.7</v>
      </c>
    </row>
    <row r="271" spans="1:8" ht="47.25" x14ac:dyDescent="0.25">
      <c r="A271" s="12" t="s">
        <v>136</v>
      </c>
      <c r="B271" s="12" t="s">
        <v>161</v>
      </c>
      <c r="C271" s="39">
        <v>440000000</v>
      </c>
      <c r="D271" s="12"/>
      <c r="E271" s="31" t="s">
        <v>410</v>
      </c>
      <c r="F271" s="13">
        <f>F272+F274+F276+F278+F280+F282</f>
        <v>1520</v>
      </c>
      <c r="G271" s="13">
        <f>G272+G274+G276+G278+G280+G282</f>
        <v>1348</v>
      </c>
      <c r="H271" s="13">
        <f t="shared" si="22"/>
        <v>88.7</v>
      </c>
    </row>
    <row r="272" spans="1:8" ht="94.5" x14ac:dyDescent="0.25">
      <c r="A272" s="12" t="s">
        <v>136</v>
      </c>
      <c r="B272" s="12" t="s">
        <v>161</v>
      </c>
      <c r="C272" s="39" t="s">
        <v>558</v>
      </c>
      <c r="D272" s="12"/>
      <c r="E272" s="31" t="s">
        <v>655</v>
      </c>
      <c r="F272" s="13">
        <f t="shared" ref="F272:G272" si="23">F273</f>
        <v>50</v>
      </c>
      <c r="G272" s="13">
        <f t="shared" si="23"/>
        <v>0</v>
      </c>
      <c r="H272" s="13">
        <f t="shared" si="22"/>
        <v>0</v>
      </c>
    </row>
    <row r="273" spans="1:8" ht="47.25" x14ac:dyDescent="0.25">
      <c r="A273" s="12" t="s">
        <v>136</v>
      </c>
      <c r="B273" s="12" t="s">
        <v>161</v>
      </c>
      <c r="C273" s="39" t="s">
        <v>558</v>
      </c>
      <c r="D273" s="12" t="s">
        <v>309</v>
      </c>
      <c r="E273" s="36" t="s">
        <v>310</v>
      </c>
      <c r="F273" s="13">
        <v>50</v>
      </c>
      <c r="G273" s="13">
        <v>0</v>
      </c>
      <c r="H273" s="13">
        <f t="shared" si="22"/>
        <v>0</v>
      </c>
    </row>
    <row r="274" spans="1:8" ht="31.5" x14ac:dyDescent="0.25">
      <c r="A274" s="12" t="s">
        <v>136</v>
      </c>
      <c r="B274" s="12" t="s">
        <v>161</v>
      </c>
      <c r="C274" s="39" t="s">
        <v>493</v>
      </c>
      <c r="D274" s="12"/>
      <c r="E274" s="36" t="s">
        <v>338</v>
      </c>
      <c r="F274" s="13">
        <f>F275</f>
        <v>20</v>
      </c>
      <c r="G274" s="13">
        <f>G275</f>
        <v>0</v>
      </c>
      <c r="H274" s="13">
        <f t="shared" si="22"/>
        <v>0</v>
      </c>
    </row>
    <row r="275" spans="1:8" ht="47.25" x14ac:dyDescent="0.25">
      <c r="A275" s="12" t="s">
        <v>136</v>
      </c>
      <c r="B275" s="12" t="s">
        <v>161</v>
      </c>
      <c r="C275" s="39" t="s">
        <v>493</v>
      </c>
      <c r="D275" s="12" t="s">
        <v>309</v>
      </c>
      <c r="E275" s="36" t="s">
        <v>310</v>
      </c>
      <c r="F275" s="13">
        <v>20</v>
      </c>
      <c r="G275" s="13"/>
      <c r="H275" s="13">
        <f t="shared" si="22"/>
        <v>0</v>
      </c>
    </row>
    <row r="276" spans="1:8" ht="78.75" x14ac:dyDescent="0.25">
      <c r="A276" s="12" t="s">
        <v>136</v>
      </c>
      <c r="B276" s="12" t="s">
        <v>161</v>
      </c>
      <c r="C276" s="39" t="s">
        <v>494</v>
      </c>
      <c r="D276" s="12"/>
      <c r="E276" s="36" t="s">
        <v>559</v>
      </c>
      <c r="F276" s="13">
        <f>F277</f>
        <v>500</v>
      </c>
      <c r="G276" s="13">
        <f>G277</f>
        <v>448.1</v>
      </c>
      <c r="H276" s="13">
        <f t="shared" si="22"/>
        <v>89.6</v>
      </c>
    </row>
    <row r="277" spans="1:8" ht="78.75" x14ac:dyDescent="0.25">
      <c r="A277" s="12" t="s">
        <v>136</v>
      </c>
      <c r="B277" s="12" t="s">
        <v>161</v>
      </c>
      <c r="C277" s="39" t="s">
        <v>494</v>
      </c>
      <c r="D277" s="12" t="s">
        <v>327</v>
      </c>
      <c r="E277" s="36" t="s">
        <v>488</v>
      </c>
      <c r="F277" s="13">
        <v>500</v>
      </c>
      <c r="G277" s="13">
        <v>448.1</v>
      </c>
      <c r="H277" s="13">
        <f t="shared" si="22"/>
        <v>89.6</v>
      </c>
    </row>
    <row r="278" spans="1:8" ht="63" x14ac:dyDescent="0.25">
      <c r="A278" s="12" t="s">
        <v>136</v>
      </c>
      <c r="B278" s="12" t="s">
        <v>161</v>
      </c>
      <c r="C278" s="39" t="s">
        <v>495</v>
      </c>
      <c r="D278" s="12"/>
      <c r="E278" s="36" t="s">
        <v>496</v>
      </c>
      <c r="F278" s="13">
        <f t="shared" ref="F278:G278" si="24">F279</f>
        <v>150</v>
      </c>
      <c r="G278" s="13">
        <f t="shared" si="24"/>
        <v>100</v>
      </c>
      <c r="H278" s="13">
        <f t="shared" si="22"/>
        <v>66.7</v>
      </c>
    </row>
    <row r="279" spans="1:8" ht="78.75" x14ac:dyDescent="0.25">
      <c r="A279" s="12" t="s">
        <v>136</v>
      </c>
      <c r="B279" s="12" t="s">
        <v>161</v>
      </c>
      <c r="C279" s="39" t="s">
        <v>495</v>
      </c>
      <c r="D279" s="12" t="s">
        <v>327</v>
      </c>
      <c r="E279" s="36" t="s">
        <v>488</v>
      </c>
      <c r="F279" s="13">
        <v>150</v>
      </c>
      <c r="G279" s="13">
        <v>100</v>
      </c>
      <c r="H279" s="13">
        <f t="shared" si="22"/>
        <v>66.7</v>
      </c>
    </row>
    <row r="280" spans="1:8" ht="141.75" x14ac:dyDescent="0.25">
      <c r="A280" s="12" t="s">
        <v>136</v>
      </c>
      <c r="B280" s="12" t="s">
        <v>161</v>
      </c>
      <c r="C280" s="39" t="s">
        <v>560</v>
      </c>
      <c r="D280" s="12"/>
      <c r="E280" s="36" t="s">
        <v>656</v>
      </c>
      <c r="F280" s="13">
        <f t="shared" ref="F280:G282" si="25">F281</f>
        <v>100</v>
      </c>
      <c r="G280" s="13">
        <f t="shared" si="25"/>
        <v>100</v>
      </c>
      <c r="H280" s="13">
        <f t="shared" si="22"/>
        <v>100</v>
      </c>
    </row>
    <row r="281" spans="1:8" ht="78.75" x14ac:dyDescent="0.25">
      <c r="A281" s="12" t="s">
        <v>136</v>
      </c>
      <c r="B281" s="12" t="s">
        <v>161</v>
      </c>
      <c r="C281" s="39" t="s">
        <v>560</v>
      </c>
      <c r="D281" s="12" t="s">
        <v>327</v>
      </c>
      <c r="E281" s="36" t="s">
        <v>561</v>
      </c>
      <c r="F281" s="13">
        <v>100</v>
      </c>
      <c r="G281" s="13">
        <v>100</v>
      </c>
      <c r="H281" s="13">
        <f t="shared" si="22"/>
        <v>100</v>
      </c>
    </row>
    <row r="282" spans="1:8" ht="126" x14ac:dyDescent="0.25">
      <c r="A282" s="12" t="s">
        <v>136</v>
      </c>
      <c r="B282" s="12" t="s">
        <v>161</v>
      </c>
      <c r="C282" s="39" t="s">
        <v>562</v>
      </c>
      <c r="D282" s="12"/>
      <c r="E282" s="36" t="s">
        <v>563</v>
      </c>
      <c r="F282" s="13">
        <f t="shared" si="25"/>
        <v>700</v>
      </c>
      <c r="G282" s="13">
        <f t="shared" si="25"/>
        <v>699.9</v>
      </c>
      <c r="H282" s="13">
        <f t="shared" si="22"/>
        <v>100</v>
      </c>
    </row>
    <row r="283" spans="1:8" ht="78.75" x14ac:dyDescent="0.25">
      <c r="A283" s="12" t="s">
        <v>136</v>
      </c>
      <c r="B283" s="12" t="s">
        <v>161</v>
      </c>
      <c r="C283" s="39" t="s">
        <v>562</v>
      </c>
      <c r="D283" s="12" t="s">
        <v>327</v>
      </c>
      <c r="E283" s="36" t="s">
        <v>561</v>
      </c>
      <c r="F283" s="13">
        <v>700</v>
      </c>
      <c r="G283" s="13">
        <v>699.9</v>
      </c>
      <c r="H283" s="13">
        <f t="shared" si="22"/>
        <v>100</v>
      </c>
    </row>
    <row r="284" spans="1:8" ht="78.75" x14ac:dyDescent="0.25">
      <c r="A284" s="12" t="s">
        <v>136</v>
      </c>
      <c r="B284" s="12" t="s">
        <v>161</v>
      </c>
      <c r="C284" s="12" t="s">
        <v>180</v>
      </c>
      <c r="D284" s="12"/>
      <c r="E284" s="36" t="s">
        <v>385</v>
      </c>
      <c r="F284" s="13">
        <f>F285</f>
        <v>440</v>
      </c>
      <c r="G284" s="13">
        <f>G285</f>
        <v>300</v>
      </c>
      <c r="H284" s="13">
        <f t="shared" si="22"/>
        <v>68.2</v>
      </c>
    </row>
    <row r="285" spans="1:8" ht="63" x14ac:dyDescent="0.25">
      <c r="A285" s="12" t="s">
        <v>136</v>
      </c>
      <c r="B285" s="12" t="s">
        <v>161</v>
      </c>
      <c r="C285" s="12" t="s">
        <v>181</v>
      </c>
      <c r="D285" s="12"/>
      <c r="E285" s="31" t="s">
        <v>182</v>
      </c>
      <c r="F285" s="13">
        <f>F286+F288</f>
        <v>440</v>
      </c>
      <c r="G285" s="13">
        <f>G286+G288</f>
        <v>300</v>
      </c>
      <c r="H285" s="13">
        <f t="shared" si="22"/>
        <v>68.2</v>
      </c>
    </row>
    <row r="286" spans="1:8" ht="63" x14ac:dyDescent="0.25">
      <c r="A286" s="12" t="s">
        <v>136</v>
      </c>
      <c r="B286" s="12" t="s">
        <v>161</v>
      </c>
      <c r="C286" s="39" t="s">
        <v>386</v>
      </c>
      <c r="D286" s="12"/>
      <c r="E286" s="31" t="s">
        <v>387</v>
      </c>
      <c r="F286" s="13">
        <f>F287</f>
        <v>300</v>
      </c>
      <c r="G286" s="13">
        <f>G287</f>
        <v>300</v>
      </c>
      <c r="H286" s="13">
        <f t="shared" si="22"/>
        <v>100</v>
      </c>
    </row>
    <row r="287" spans="1:8" ht="47.25" x14ac:dyDescent="0.25">
      <c r="A287" s="12" t="s">
        <v>136</v>
      </c>
      <c r="B287" s="12" t="s">
        <v>161</v>
      </c>
      <c r="C287" s="39" t="s">
        <v>386</v>
      </c>
      <c r="D287" s="12" t="s">
        <v>309</v>
      </c>
      <c r="E287" s="36" t="s">
        <v>310</v>
      </c>
      <c r="F287" s="13">
        <v>300</v>
      </c>
      <c r="G287" s="13">
        <v>300</v>
      </c>
      <c r="H287" s="13">
        <f t="shared" ref="H287:H328" si="26">ROUND((G287/F287*100),1)</f>
        <v>100</v>
      </c>
    </row>
    <row r="288" spans="1:8" ht="94.5" x14ac:dyDescent="0.25">
      <c r="A288" s="12" t="s">
        <v>136</v>
      </c>
      <c r="B288" s="12" t="s">
        <v>161</v>
      </c>
      <c r="C288" s="39" t="s">
        <v>478</v>
      </c>
      <c r="D288" s="12"/>
      <c r="E288" s="31" t="s">
        <v>479</v>
      </c>
      <c r="F288" s="13">
        <f>F289</f>
        <v>140</v>
      </c>
      <c r="G288" s="13">
        <f>G289</f>
        <v>0</v>
      </c>
      <c r="H288" s="13">
        <f t="shared" si="26"/>
        <v>0</v>
      </c>
    </row>
    <row r="289" spans="1:8" ht="47.25" x14ac:dyDescent="0.25">
      <c r="A289" s="12" t="s">
        <v>136</v>
      </c>
      <c r="B289" s="12" t="s">
        <v>161</v>
      </c>
      <c r="C289" s="39" t="s">
        <v>478</v>
      </c>
      <c r="D289" s="12" t="s">
        <v>309</v>
      </c>
      <c r="E289" s="36" t="s">
        <v>310</v>
      </c>
      <c r="F289" s="13">
        <f>1621.4-1481.4</f>
        <v>140</v>
      </c>
      <c r="G289" s="13">
        <v>0</v>
      </c>
      <c r="H289" s="13">
        <f t="shared" si="26"/>
        <v>0</v>
      </c>
    </row>
    <row r="290" spans="1:8" x14ac:dyDescent="0.25">
      <c r="A290" s="12" t="s">
        <v>137</v>
      </c>
      <c r="B290" s="11"/>
      <c r="C290" s="11"/>
      <c r="D290" s="11"/>
      <c r="E290" s="31" t="s">
        <v>71</v>
      </c>
      <c r="F290" s="13">
        <f>F291+F314+F347</f>
        <v>147345.20000000001</v>
      </c>
      <c r="G290" s="13">
        <f>G291+G314+G347</f>
        <v>72515.200000000012</v>
      </c>
      <c r="H290" s="13">
        <f t="shared" si="26"/>
        <v>49.2</v>
      </c>
    </row>
    <row r="291" spans="1:8" x14ac:dyDescent="0.25">
      <c r="A291" s="12" t="s">
        <v>137</v>
      </c>
      <c r="B291" s="12" t="s">
        <v>132</v>
      </c>
      <c r="C291" s="12"/>
      <c r="D291" s="12"/>
      <c r="E291" s="11" t="s">
        <v>59</v>
      </c>
      <c r="F291" s="13">
        <f>F292+F310</f>
        <v>10030.6</v>
      </c>
      <c r="G291" s="13">
        <f>G292+G310</f>
        <v>3960</v>
      </c>
      <c r="H291" s="13">
        <f t="shared" si="26"/>
        <v>39.5</v>
      </c>
    </row>
    <row r="292" spans="1:8" ht="63" x14ac:dyDescent="0.25">
      <c r="A292" s="12" t="s">
        <v>137</v>
      </c>
      <c r="B292" s="12" t="s">
        <v>132</v>
      </c>
      <c r="C292" s="12" t="s">
        <v>194</v>
      </c>
      <c r="D292" s="12"/>
      <c r="E292" s="31" t="s">
        <v>411</v>
      </c>
      <c r="F292" s="13">
        <f>F293+F298+F305</f>
        <v>7003.1</v>
      </c>
      <c r="G292" s="13">
        <f>G293+G298+G305</f>
        <v>3960</v>
      </c>
      <c r="H292" s="13">
        <f t="shared" si="26"/>
        <v>56.5</v>
      </c>
    </row>
    <row r="293" spans="1:8" ht="47.25" x14ac:dyDescent="0.25">
      <c r="A293" s="12" t="s">
        <v>137</v>
      </c>
      <c r="B293" s="12" t="s">
        <v>132</v>
      </c>
      <c r="C293" s="12" t="s">
        <v>189</v>
      </c>
      <c r="D293" s="12"/>
      <c r="E293" s="31" t="s">
        <v>339</v>
      </c>
      <c r="F293" s="13">
        <f>F294+F296</f>
        <v>760.1</v>
      </c>
      <c r="G293" s="13">
        <f>G294+G296</f>
        <v>114.1</v>
      </c>
      <c r="H293" s="13">
        <f t="shared" si="26"/>
        <v>15</v>
      </c>
    </row>
    <row r="294" spans="1:8" ht="63" x14ac:dyDescent="0.25">
      <c r="A294" s="12" t="s">
        <v>137</v>
      </c>
      <c r="B294" s="12" t="s">
        <v>132</v>
      </c>
      <c r="C294" s="33" t="s">
        <v>185</v>
      </c>
      <c r="D294" s="11"/>
      <c r="E294" s="36" t="s">
        <v>340</v>
      </c>
      <c r="F294" s="13">
        <f>SUM(F295:F295)</f>
        <v>186.9</v>
      </c>
      <c r="G294" s="13">
        <f>SUM(G295:G295)</f>
        <v>57</v>
      </c>
      <c r="H294" s="13">
        <f t="shared" si="26"/>
        <v>30.5</v>
      </c>
    </row>
    <row r="295" spans="1:8" ht="47.25" x14ac:dyDescent="0.25">
      <c r="A295" s="12" t="s">
        <v>137</v>
      </c>
      <c r="B295" s="12" t="s">
        <v>132</v>
      </c>
      <c r="C295" s="33" t="s">
        <v>185</v>
      </c>
      <c r="D295" s="12" t="s">
        <v>309</v>
      </c>
      <c r="E295" s="36" t="s">
        <v>310</v>
      </c>
      <c r="F295" s="13">
        <f>100+23.9+63</f>
        <v>186.9</v>
      </c>
      <c r="G295" s="13">
        <v>57</v>
      </c>
      <c r="H295" s="13">
        <f t="shared" si="26"/>
        <v>30.5</v>
      </c>
    </row>
    <row r="296" spans="1:8" ht="31.5" x14ac:dyDescent="0.25">
      <c r="A296" s="12" t="s">
        <v>137</v>
      </c>
      <c r="B296" s="12" t="s">
        <v>132</v>
      </c>
      <c r="C296" s="33" t="s">
        <v>412</v>
      </c>
      <c r="D296" s="11"/>
      <c r="E296" s="36" t="s">
        <v>413</v>
      </c>
      <c r="F296" s="13">
        <f>F297</f>
        <v>573.20000000000005</v>
      </c>
      <c r="G296" s="13">
        <f>G297</f>
        <v>57.1</v>
      </c>
      <c r="H296" s="13">
        <f t="shared" si="26"/>
        <v>10</v>
      </c>
    </row>
    <row r="297" spans="1:8" ht="47.25" x14ac:dyDescent="0.25">
      <c r="A297" s="12" t="s">
        <v>137</v>
      </c>
      <c r="B297" s="12" t="s">
        <v>132</v>
      </c>
      <c r="C297" s="33" t="s">
        <v>412</v>
      </c>
      <c r="D297" s="12" t="s">
        <v>309</v>
      </c>
      <c r="E297" s="36" t="s">
        <v>310</v>
      </c>
      <c r="F297" s="13">
        <f>783.3-23.9-186.2</f>
        <v>573.20000000000005</v>
      </c>
      <c r="G297" s="13">
        <v>57.1</v>
      </c>
      <c r="H297" s="13">
        <f t="shared" si="26"/>
        <v>10</v>
      </c>
    </row>
    <row r="298" spans="1:8" ht="47.25" x14ac:dyDescent="0.25">
      <c r="A298" s="12" t="s">
        <v>137</v>
      </c>
      <c r="B298" s="12" t="s">
        <v>132</v>
      </c>
      <c r="C298" s="12" t="s">
        <v>190</v>
      </c>
      <c r="D298" s="12"/>
      <c r="E298" s="31" t="s">
        <v>186</v>
      </c>
      <c r="F298" s="13">
        <f>F299+F301+F303</f>
        <v>3343.7</v>
      </c>
      <c r="G298" s="13">
        <f>G299+G301+G303</f>
        <v>3210</v>
      </c>
      <c r="H298" s="13">
        <f t="shared" si="26"/>
        <v>96</v>
      </c>
    </row>
    <row r="299" spans="1:8" ht="171" customHeight="1" x14ac:dyDescent="0.25">
      <c r="A299" s="12" t="s">
        <v>137</v>
      </c>
      <c r="B299" s="12" t="s">
        <v>132</v>
      </c>
      <c r="C299" s="33" t="s">
        <v>414</v>
      </c>
      <c r="D299" s="11"/>
      <c r="E299" s="36" t="s">
        <v>341</v>
      </c>
      <c r="F299" s="13">
        <f>F300</f>
        <v>100</v>
      </c>
      <c r="G299" s="13">
        <f>G300</f>
        <v>0</v>
      </c>
      <c r="H299" s="13">
        <f t="shared" si="26"/>
        <v>0</v>
      </c>
    </row>
    <row r="300" spans="1:8" ht="47.25" x14ac:dyDescent="0.25">
      <c r="A300" s="12" t="s">
        <v>137</v>
      </c>
      <c r="B300" s="12" t="s">
        <v>132</v>
      </c>
      <c r="C300" s="33" t="s">
        <v>414</v>
      </c>
      <c r="D300" s="12" t="s">
        <v>309</v>
      </c>
      <c r="E300" s="36" t="s">
        <v>310</v>
      </c>
      <c r="F300" s="13">
        <v>100</v>
      </c>
      <c r="G300" s="13"/>
      <c r="H300" s="13">
        <f t="shared" si="26"/>
        <v>0</v>
      </c>
    </row>
    <row r="301" spans="1:8" ht="63" x14ac:dyDescent="0.25">
      <c r="A301" s="12" t="s">
        <v>137</v>
      </c>
      <c r="B301" s="12" t="s">
        <v>132</v>
      </c>
      <c r="C301" s="33" t="s">
        <v>187</v>
      </c>
      <c r="D301" s="12"/>
      <c r="E301" s="36" t="s">
        <v>415</v>
      </c>
      <c r="F301" s="13">
        <f>F302</f>
        <v>20</v>
      </c>
      <c r="G301" s="13">
        <f>G302</f>
        <v>0</v>
      </c>
      <c r="H301" s="13">
        <f t="shared" si="26"/>
        <v>0</v>
      </c>
    </row>
    <row r="302" spans="1:8" ht="47.25" x14ac:dyDescent="0.25">
      <c r="A302" s="12" t="s">
        <v>137</v>
      </c>
      <c r="B302" s="12" t="s">
        <v>132</v>
      </c>
      <c r="C302" s="33" t="s">
        <v>187</v>
      </c>
      <c r="D302" s="12" t="s">
        <v>309</v>
      </c>
      <c r="E302" s="36" t="s">
        <v>310</v>
      </c>
      <c r="F302" s="13">
        <v>20</v>
      </c>
      <c r="G302" s="13"/>
      <c r="H302" s="13">
        <f t="shared" si="26"/>
        <v>0</v>
      </c>
    </row>
    <row r="303" spans="1:8" ht="78.75" x14ac:dyDescent="0.25">
      <c r="A303" s="12" t="s">
        <v>137</v>
      </c>
      <c r="B303" s="12" t="s">
        <v>132</v>
      </c>
      <c r="C303" s="12" t="s">
        <v>497</v>
      </c>
      <c r="D303" s="12"/>
      <c r="E303" s="31" t="s">
        <v>498</v>
      </c>
      <c r="F303" s="13">
        <f>F304</f>
        <v>3223.7</v>
      </c>
      <c r="G303" s="13">
        <f>G304</f>
        <v>3210</v>
      </c>
      <c r="H303" s="13">
        <f t="shared" si="26"/>
        <v>99.6</v>
      </c>
    </row>
    <row r="304" spans="1:8" x14ac:dyDescent="0.25">
      <c r="A304" s="12" t="s">
        <v>137</v>
      </c>
      <c r="B304" s="12" t="s">
        <v>132</v>
      </c>
      <c r="C304" s="12" t="s">
        <v>497</v>
      </c>
      <c r="D304" s="44" t="s">
        <v>344</v>
      </c>
      <c r="E304" s="45" t="s">
        <v>345</v>
      </c>
      <c r="F304" s="22">
        <f>2098+1125.7</f>
        <v>3223.7</v>
      </c>
      <c r="G304" s="13">
        <v>3210</v>
      </c>
      <c r="H304" s="13">
        <f t="shared" si="26"/>
        <v>99.6</v>
      </c>
    </row>
    <row r="305" spans="1:8" ht="61.5" customHeight="1" x14ac:dyDescent="0.25">
      <c r="A305" s="12" t="s">
        <v>137</v>
      </c>
      <c r="B305" s="12" t="s">
        <v>132</v>
      </c>
      <c r="C305" s="12" t="s">
        <v>191</v>
      </c>
      <c r="D305" s="12"/>
      <c r="E305" s="31" t="s">
        <v>188</v>
      </c>
      <c r="F305" s="13">
        <f>F306+F308</f>
        <v>2899.3</v>
      </c>
      <c r="G305" s="13">
        <f>G306+G308</f>
        <v>635.9</v>
      </c>
      <c r="H305" s="13">
        <v>0</v>
      </c>
    </row>
    <row r="306" spans="1:8" ht="84.75" customHeight="1" x14ac:dyDescent="0.25">
      <c r="A306" s="12" t="s">
        <v>137</v>
      </c>
      <c r="B306" s="12" t="s">
        <v>132</v>
      </c>
      <c r="C306" s="33" t="s">
        <v>193</v>
      </c>
      <c r="D306" s="12"/>
      <c r="E306" s="36" t="s">
        <v>192</v>
      </c>
      <c r="F306" s="13">
        <f>F307</f>
        <v>1635.7</v>
      </c>
      <c r="G306" s="13">
        <f>G307</f>
        <v>635.9</v>
      </c>
      <c r="H306" s="13">
        <f t="shared" si="26"/>
        <v>38.9</v>
      </c>
    </row>
    <row r="307" spans="1:8" ht="47.25" x14ac:dyDescent="0.25">
      <c r="A307" s="12" t="s">
        <v>137</v>
      </c>
      <c r="B307" s="12" t="s">
        <v>132</v>
      </c>
      <c r="C307" s="33" t="s">
        <v>193</v>
      </c>
      <c r="D307" s="12" t="s">
        <v>309</v>
      </c>
      <c r="E307" s="36" t="s">
        <v>310</v>
      </c>
      <c r="F307" s="11">
        <v>1635.7</v>
      </c>
      <c r="G307" s="13">
        <v>635.9</v>
      </c>
      <c r="H307" s="13">
        <f t="shared" si="26"/>
        <v>38.9</v>
      </c>
    </row>
    <row r="308" spans="1:8" ht="79.5" customHeight="1" x14ac:dyDescent="0.25">
      <c r="A308" s="12" t="s">
        <v>137</v>
      </c>
      <c r="B308" s="12" t="s">
        <v>132</v>
      </c>
      <c r="C308" s="33" t="s">
        <v>499</v>
      </c>
      <c r="D308" s="12"/>
      <c r="E308" s="36" t="s">
        <v>500</v>
      </c>
      <c r="F308" s="13">
        <f>F309</f>
        <v>1263.5999999999999</v>
      </c>
      <c r="G308" s="13">
        <f>G309</f>
        <v>0</v>
      </c>
      <c r="H308" s="13">
        <f t="shared" si="26"/>
        <v>0</v>
      </c>
    </row>
    <row r="309" spans="1:8" ht="47.25" x14ac:dyDescent="0.25">
      <c r="A309" s="12" t="s">
        <v>137</v>
      </c>
      <c r="B309" s="12" t="s">
        <v>132</v>
      </c>
      <c r="C309" s="33" t="s">
        <v>499</v>
      </c>
      <c r="D309" s="12" t="s">
        <v>309</v>
      </c>
      <c r="E309" s="36" t="s">
        <v>310</v>
      </c>
      <c r="F309" s="13">
        <f>1800-130-249-20-137.4</f>
        <v>1263.5999999999999</v>
      </c>
      <c r="G309" s="13">
        <v>0</v>
      </c>
      <c r="H309" s="13">
        <f t="shared" si="26"/>
        <v>0</v>
      </c>
    </row>
    <row r="310" spans="1:8" ht="63" x14ac:dyDescent="0.25">
      <c r="A310" s="12" t="s">
        <v>137</v>
      </c>
      <c r="B310" s="12" t="s">
        <v>132</v>
      </c>
      <c r="C310" s="12" t="s">
        <v>86</v>
      </c>
      <c r="D310" s="12"/>
      <c r="E310" s="31" t="s">
        <v>396</v>
      </c>
      <c r="F310" s="13">
        <f t="shared" ref="F310:G312" si="27">F311</f>
        <v>3027.5</v>
      </c>
      <c r="G310" s="13">
        <f t="shared" si="27"/>
        <v>0</v>
      </c>
      <c r="H310" s="13">
        <f t="shared" si="26"/>
        <v>0</v>
      </c>
    </row>
    <row r="311" spans="1:8" ht="78.75" x14ac:dyDescent="0.25">
      <c r="A311" s="12" t="s">
        <v>137</v>
      </c>
      <c r="B311" s="12" t="s">
        <v>132</v>
      </c>
      <c r="C311" s="12" t="s">
        <v>549</v>
      </c>
      <c r="D311" s="12"/>
      <c r="E311" s="36" t="s">
        <v>550</v>
      </c>
      <c r="F311" s="13">
        <f t="shared" si="27"/>
        <v>3027.5</v>
      </c>
      <c r="G311" s="13">
        <f t="shared" si="27"/>
        <v>0</v>
      </c>
      <c r="H311" s="13">
        <f t="shared" si="26"/>
        <v>0</v>
      </c>
    </row>
    <row r="312" spans="1:8" ht="60.75" customHeight="1" x14ac:dyDescent="0.25">
      <c r="A312" s="12" t="s">
        <v>137</v>
      </c>
      <c r="B312" s="12" t="s">
        <v>132</v>
      </c>
      <c r="C312" s="12" t="s">
        <v>657</v>
      </c>
      <c r="D312" s="12"/>
      <c r="E312" s="36" t="s">
        <v>658</v>
      </c>
      <c r="F312" s="13">
        <f t="shared" si="27"/>
        <v>3027.5</v>
      </c>
      <c r="G312" s="13">
        <f t="shared" si="27"/>
        <v>0</v>
      </c>
      <c r="H312" s="13">
        <f t="shared" si="26"/>
        <v>0</v>
      </c>
    </row>
    <row r="313" spans="1:8" ht="47.25" x14ac:dyDescent="0.25">
      <c r="A313" s="12" t="s">
        <v>137</v>
      </c>
      <c r="B313" s="12" t="s">
        <v>132</v>
      </c>
      <c r="C313" s="12" t="s">
        <v>657</v>
      </c>
      <c r="D313" s="12" t="s">
        <v>309</v>
      </c>
      <c r="E313" s="36" t="s">
        <v>310</v>
      </c>
      <c r="F313" s="13">
        <f>481.4+2500+527.5-481.4</f>
        <v>3027.5</v>
      </c>
      <c r="G313" s="13">
        <v>0</v>
      </c>
      <c r="H313" s="13">
        <f t="shared" si="26"/>
        <v>0</v>
      </c>
    </row>
    <row r="314" spans="1:8" x14ac:dyDescent="0.25">
      <c r="A314" s="12" t="s">
        <v>137</v>
      </c>
      <c r="B314" s="12" t="s">
        <v>133</v>
      </c>
      <c r="C314" s="12"/>
      <c r="D314" s="12"/>
      <c r="E314" s="11" t="s">
        <v>58</v>
      </c>
      <c r="F314" s="13">
        <f>F315+F319+F343</f>
        <v>42805.599999999999</v>
      </c>
      <c r="G314" s="13">
        <f>G315+G319+G343</f>
        <v>34083.300000000003</v>
      </c>
      <c r="H314" s="13">
        <f t="shared" si="26"/>
        <v>79.599999999999994</v>
      </c>
    </row>
    <row r="315" spans="1:8" ht="63" customHeight="1" x14ac:dyDescent="0.25">
      <c r="A315" s="12" t="s">
        <v>137</v>
      </c>
      <c r="B315" s="12" t="s">
        <v>133</v>
      </c>
      <c r="C315" s="39">
        <v>400000000</v>
      </c>
      <c r="D315" s="12"/>
      <c r="E315" s="31" t="s">
        <v>395</v>
      </c>
      <c r="F315" s="13">
        <f t="shared" ref="F315:G317" si="28">F316</f>
        <v>10637.8</v>
      </c>
      <c r="G315" s="13">
        <f t="shared" si="28"/>
        <v>10652.8</v>
      </c>
      <c r="H315" s="13">
        <f t="shared" si="26"/>
        <v>100.1</v>
      </c>
    </row>
    <row r="316" spans="1:8" ht="157.5" x14ac:dyDescent="0.25">
      <c r="A316" s="12" t="s">
        <v>137</v>
      </c>
      <c r="B316" s="12" t="s">
        <v>133</v>
      </c>
      <c r="C316" s="39">
        <v>430000000</v>
      </c>
      <c r="D316" s="12"/>
      <c r="E316" s="31" t="s">
        <v>346</v>
      </c>
      <c r="F316" s="13">
        <f t="shared" si="28"/>
        <v>10637.8</v>
      </c>
      <c r="G316" s="13">
        <f t="shared" si="28"/>
        <v>10652.8</v>
      </c>
      <c r="H316" s="13">
        <f t="shared" si="26"/>
        <v>100.1</v>
      </c>
    </row>
    <row r="317" spans="1:8" ht="94.5" x14ac:dyDescent="0.25">
      <c r="A317" s="12" t="s">
        <v>137</v>
      </c>
      <c r="B317" s="12" t="s">
        <v>133</v>
      </c>
      <c r="C317" s="39" t="s">
        <v>216</v>
      </c>
      <c r="D317" s="12"/>
      <c r="E317" s="36" t="s">
        <v>221</v>
      </c>
      <c r="F317" s="13">
        <f t="shared" si="28"/>
        <v>10637.8</v>
      </c>
      <c r="G317" s="13">
        <f t="shared" si="28"/>
        <v>10652.8</v>
      </c>
      <c r="H317" s="13">
        <f t="shared" si="26"/>
        <v>100.1</v>
      </c>
    </row>
    <row r="318" spans="1:8" ht="78.75" x14ac:dyDescent="0.25">
      <c r="A318" s="12" t="s">
        <v>137</v>
      </c>
      <c r="B318" s="12" t="s">
        <v>133</v>
      </c>
      <c r="C318" s="39" t="s">
        <v>216</v>
      </c>
      <c r="D318" s="12" t="s">
        <v>327</v>
      </c>
      <c r="E318" s="36" t="s">
        <v>488</v>
      </c>
      <c r="F318" s="13">
        <f>3900+2129.4+1000+1000+2608.4</f>
        <v>10637.8</v>
      </c>
      <c r="G318" s="13">
        <v>10652.8</v>
      </c>
      <c r="H318" s="13">
        <f t="shared" si="26"/>
        <v>100.1</v>
      </c>
    </row>
    <row r="319" spans="1:8" ht="78.75" x14ac:dyDescent="0.25">
      <c r="A319" s="12" t="s">
        <v>137</v>
      </c>
      <c r="B319" s="12" t="s">
        <v>133</v>
      </c>
      <c r="C319" s="12" t="s">
        <v>44</v>
      </c>
      <c r="D319" s="12"/>
      <c r="E319" s="31" t="s">
        <v>416</v>
      </c>
      <c r="F319" s="13">
        <f>F320+F325+F338</f>
        <v>30259.600000000002</v>
      </c>
      <c r="G319" s="13">
        <f>G320+G325+G338</f>
        <v>23430.500000000004</v>
      </c>
      <c r="H319" s="13">
        <f t="shared" si="26"/>
        <v>77.400000000000006</v>
      </c>
    </row>
    <row r="320" spans="1:8" ht="47.25" x14ac:dyDescent="0.25">
      <c r="A320" s="12" t="s">
        <v>137</v>
      </c>
      <c r="B320" s="12" t="s">
        <v>133</v>
      </c>
      <c r="C320" s="12" t="s">
        <v>45</v>
      </c>
      <c r="D320" s="12"/>
      <c r="E320" s="31" t="s">
        <v>477</v>
      </c>
      <c r="F320" s="13">
        <f>F321+F323</f>
        <v>440</v>
      </c>
      <c r="G320" s="13">
        <f>G321+G323</f>
        <v>314.2</v>
      </c>
      <c r="H320" s="13">
        <f t="shared" si="26"/>
        <v>71.400000000000006</v>
      </c>
    </row>
    <row r="321" spans="1:8" ht="31.5" x14ac:dyDescent="0.25">
      <c r="A321" s="12" t="s">
        <v>137</v>
      </c>
      <c r="B321" s="12" t="s">
        <v>133</v>
      </c>
      <c r="C321" s="12" t="s">
        <v>274</v>
      </c>
      <c r="D321" s="12"/>
      <c r="E321" s="36" t="s">
        <v>246</v>
      </c>
      <c r="F321" s="13">
        <f>F322</f>
        <v>426</v>
      </c>
      <c r="G321" s="13">
        <f>G322</f>
        <v>314.2</v>
      </c>
      <c r="H321" s="13">
        <f t="shared" si="26"/>
        <v>73.8</v>
      </c>
    </row>
    <row r="322" spans="1:8" ht="47.25" x14ac:dyDescent="0.25">
      <c r="A322" s="12" t="s">
        <v>137</v>
      </c>
      <c r="B322" s="12" t="s">
        <v>133</v>
      </c>
      <c r="C322" s="12" t="s">
        <v>274</v>
      </c>
      <c r="D322" s="12" t="s">
        <v>309</v>
      </c>
      <c r="E322" s="36" t="s">
        <v>310</v>
      </c>
      <c r="F322" s="13">
        <v>426</v>
      </c>
      <c r="G322" s="13">
        <v>314.2</v>
      </c>
      <c r="H322" s="22">
        <f t="shared" si="26"/>
        <v>73.8</v>
      </c>
    </row>
    <row r="323" spans="1:8" ht="31.5" x14ac:dyDescent="0.25">
      <c r="A323" s="12" t="s">
        <v>137</v>
      </c>
      <c r="B323" s="12" t="s">
        <v>133</v>
      </c>
      <c r="C323" s="12" t="s">
        <v>417</v>
      </c>
      <c r="D323" s="12"/>
      <c r="E323" s="36" t="s">
        <v>418</v>
      </c>
      <c r="F323" s="13">
        <f>F324</f>
        <v>14</v>
      </c>
      <c r="G323" s="22">
        <f>G324</f>
        <v>0</v>
      </c>
      <c r="H323" s="22">
        <f t="shared" si="26"/>
        <v>0</v>
      </c>
    </row>
    <row r="324" spans="1:8" ht="47.25" x14ac:dyDescent="0.25">
      <c r="A324" s="12" t="s">
        <v>137</v>
      </c>
      <c r="B324" s="12" t="s">
        <v>133</v>
      </c>
      <c r="C324" s="12" t="s">
        <v>417</v>
      </c>
      <c r="D324" s="12" t="s">
        <v>309</v>
      </c>
      <c r="E324" s="36" t="s">
        <v>310</v>
      </c>
      <c r="F324" s="13">
        <v>14</v>
      </c>
      <c r="G324" s="13">
        <v>0</v>
      </c>
      <c r="H324" s="13">
        <f t="shared" si="26"/>
        <v>0</v>
      </c>
    </row>
    <row r="325" spans="1:8" ht="31.5" x14ac:dyDescent="0.25">
      <c r="A325" s="12" t="s">
        <v>137</v>
      </c>
      <c r="B325" s="12" t="s">
        <v>133</v>
      </c>
      <c r="C325" s="12" t="s">
        <v>46</v>
      </c>
      <c r="D325" s="12"/>
      <c r="E325" s="31" t="s">
        <v>421</v>
      </c>
      <c r="F325" s="13">
        <f>F326+F328+F330+F332+F334+F336</f>
        <v>26330.400000000001</v>
      </c>
      <c r="G325" s="13">
        <f>G326+G328+G330+G332+G334+G336</f>
        <v>19806.100000000002</v>
      </c>
      <c r="H325" s="13">
        <f t="shared" si="26"/>
        <v>75.2</v>
      </c>
    </row>
    <row r="326" spans="1:8" ht="47.25" x14ac:dyDescent="0.25">
      <c r="A326" s="12" t="s">
        <v>137</v>
      </c>
      <c r="B326" s="12" t="s">
        <v>133</v>
      </c>
      <c r="C326" s="12" t="s">
        <v>564</v>
      </c>
      <c r="D326" s="12"/>
      <c r="E326" s="31" t="s">
        <v>565</v>
      </c>
      <c r="F326" s="13">
        <f>F327</f>
        <v>93</v>
      </c>
      <c r="G326" s="13">
        <f>G327</f>
        <v>93</v>
      </c>
      <c r="H326" s="13">
        <f t="shared" si="26"/>
        <v>100</v>
      </c>
    </row>
    <row r="327" spans="1:8" ht="47.25" x14ac:dyDescent="0.25">
      <c r="A327" s="12" t="s">
        <v>137</v>
      </c>
      <c r="B327" s="12" t="s">
        <v>133</v>
      </c>
      <c r="C327" s="12" t="s">
        <v>564</v>
      </c>
      <c r="D327" s="12" t="s">
        <v>309</v>
      </c>
      <c r="E327" s="36" t="s">
        <v>310</v>
      </c>
      <c r="F327" s="13">
        <f>100-7</f>
        <v>93</v>
      </c>
      <c r="G327" s="13">
        <v>93</v>
      </c>
      <c r="H327" s="22">
        <f t="shared" si="26"/>
        <v>100</v>
      </c>
    </row>
    <row r="328" spans="1:8" ht="31.5" x14ac:dyDescent="0.25">
      <c r="A328" s="12" t="s">
        <v>137</v>
      </c>
      <c r="B328" s="12" t="s">
        <v>133</v>
      </c>
      <c r="C328" s="12" t="s">
        <v>347</v>
      </c>
      <c r="D328" s="12"/>
      <c r="E328" s="36" t="s">
        <v>348</v>
      </c>
      <c r="F328" s="13">
        <f>F329</f>
        <v>3246.2</v>
      </c>
      <c r="G328" s="13">
        <f>G329</f>
        <v>2377.3000000000002</v>
      </c>
      <c r="H328" s="22">
        <f t="shared" si="26"/>
        <v>73.2</v>
      </c>
    </row>
    <row r="329" spans="1:8" ht="47.25" x14ac:dyDescent="0.25">
      <c r="A329" s="12" t="s">
        <v>137</v>
      </c>
      <c r="B329" s="12" t="s">
        <v>133</v>
      </c>
      <c r="C329" s="12" t="s">
        <v>347</v>
      </c>
      <c r="D329" s="12" t="s">
        <v>309</v>
      </c>
      <c r="E329" s="36" t="s">
        <v>310</v>
      </c>
      <c r="F329" s="13">
        <f>72.8+1543.4+1630</f>
        <v>3246.2</v>
      </c>
      <c r="G329" s="13">
        <v>2377.3000000000002</v>
      </c>
      <c r="H329" s="13">
        <f t="shared" ref="H329:H369" si="29">ROUND((G329/F329*100),1)</f>
        <v>73.2</v>
      </c>
    </row>
    <row r="330" spans="1:8" ht="78.75" x14ac:dyDescent="0.25">
      <c r="A330" s="12" t="s">
        <v>137</v>
      </c>
      <c r="B330" s="12" t="s">
        <v>133</v>
      </c>
      <c r="C330" s="12" t="s">
        <v>659</v>
      </c>
      <c r="D330" s="12"/>
      <c r="E330" s="36" t="s">
        <v>660</v>
      </c>
      <c r="F330" s="13">
        <f>F331</f>
        <v>537.5</v>
      </c>
      <c r="G330" s="13">
        <f>G331</f>
        <v>149.5</v>
      </c>
      <c r="H330" s="13">
        <f t="shared" si="29"/>
        <v>27.8</v>
      </c>
    </row>
    <row r="331" spans="1:8" ht="47.25" x14ac:dyDescent="0.25">
      <c r="A331" s="12" t="s">
        <v>137</v>
      </c>
      <c r="B331" s="12" t="s">
        <v>133</v>
      </c>
      <c r="C331" s="12" t="s">
        <v>659</v>
      </c>
      <c r="D331" s="12" t="s">
        <v>309</v>
      </c>
      <c r="E331" s="36" t="s">
        <v>310</v>
      </c>
      <c r="F331" s="13">
        <f>149.5+350+38</f>
        <v>537.5</v>
      </c>
      <c r="G331" s="13">
        <v>149.5</v>
      </c>
      <c r="H331" s="13">
        <f t="shared" si="29"/>
        <v>27.8</v>
      </c>
    </row>
    <row r="332" spans="1:8" ht="47.25" x14ac:dyDescent="0.25">
      <c r="A332" s="12" t="s">
        <v>137</v>
      </c>
      <c r="B332" s="12" t="s">
        <v>133</v>
      </c>
      <c r="C332" s="12" t="s">
        <v>422</v>
      </c>
      <c r="D332" s="12"/>
      <c r="E332" s="36" t="s">
        <v>349</v>
      </c>
      <c r="F332" s="22">
        <f>F333</f>
        <v>1022.3</v>
      </c>
      <c r="G332" s="22">
        <f>G333</f>
        <v>626.1</v>
      </c>
      <c r="H332" s="13">
        <f t="shared" si="29"/>
        <v>61.2</v>
      </c>
    </row>
    <row r="333" spans="1:8" ht="47.25" x14ac:dyDescent="0.25">
      <c r="A333" s="12" t="s">
        <v>137</v>
      </c>
      <c r="B333" s="12" t="s">
        <v>133</v>
      </c>
      <c r="C333" s="12" t="s">
        <v>422</v>
      </c>
      <c r="D333" s="12" t="s">
        <v>309</v>
      </c>
      <c r="E333" s="36" t="s">
        <v>310</v>
      </c>
      <c r="F333" s="22">
        <f>1525-502.7</f>
        <v>1022.3</v>
      </c>
      <c r="G333" s="13">
        <v>626.1</v>
      </c>
      <c r="H333" s="13">
        <f t="shared" si="29"/>
        <v>61.2</v>
      </c>
    </row>
    <row r="334" spans="1:8" ht="63" x14ac:dyDescent="0.25">
      <c r="A334" s="12" t="s">
        <v>137</v>
      </c>
      <c r="B334" s="12" t="s">
        <v>133</v>
      </c>
      <c r="C334" s="12" t="s">
        <v>566</v>
      </c>
      <c r="D334" s="12"/>
      <c r="E334" s="36" t="s">
        <v>567</v>
      </c>
      <c r="F334" s="22">
        <f>F335</f>
        <v>4089</v>
      </c>
      <c r="G334" s="22">
        <f>G335</f>
        <v>0</v>
      </c>
      <c r="H334" s="13">
        <f t="shared" si="29"/>
        <v>0</v>
      </c>
    </row>
    <row r="335" spans="1:8" ht="47.25" x14ac:dyDescent="0.25">
      <c r="A335" s="12" t="s">
        <v>137</v>
      </c>
      <c r="B335" s="12" t="s">
        <v>133</v>
      </c>
      <c r="C335" s="12" t="s">
        <v>566</v>
      </c>
      <c r="D335" s="12" t="s">
        <v>309</v>
      </c>
      <c r="E335" s="36" t="s">
        <v>310</v>
      </c>
      <c r="F335" s="22">
        <v>4089</v>
      </c>
      <c r="G335" s="13">
        <v>0</v>
      </c>
      <c r="H335" s="13">
        <f t="shared" si="29"/>
        <v>0</v>
      </c>
    </row>
    <row r="336" spans="1:8" ht="31.5" x14ac:dyDescent="0.25">
      <c r="A336" s="12" t="s">
        <v>137</v>
      </c>
      <c r="B336" s="12" t="s">
        <v>133</v>
      </c>
      <c r="C336" s="17" t="s">
        <v>501</v>
      </c>
      <c r="D336" s="12"/>
      <c r="E336" s="46" t="s">
        <v>502</v>
      </c>
      <c r="F336" s="13">
        <f>F337</f>
        <v>17342.400000000001</v>
      </c>
      <c r="G336" s="13">
        <f>G337</f>
        <v>16560.2</v>
      </c>
      <c r="H336" s="13">
        <f t="shared" si="29"/>
        <v>95.5</v>
      </c>
    </row>
    <row r="337" spans="1:8" x14ac:dyDescent="0.25">
      <c r="A337" s="12" t="s">
        <v>137</v>
      </c>
      <c r="B337" s="12" t="s">
        <v>133</v>
      </c>
      <c r="C337" s="11" t="s">
        <v>501</v>
      </c>
      <c r="D337" s="44" t="s">
        <v>344</v>
      </c>
      <c r="E337" s="45" t="s">
        <v>345</v>
      </c>
      <c r="F337" s="13">
        <f>1543.7+17984.4-2785.7+600</f>
        <v>17342.400000000001</v>
      </c>
      <c r="G337" s="13">
        <v>16560.2</v>
      </c>
      <c r="H337" s="13">
        <f t="shared" ref="H337:H338" si="30">ROUND((G337/F337*100),1)</f>
        <v>95.5</v>
      </c>
    </row>
    <row r="338" spans="1:8" ht="63" x14ac:dyDescent="0.25">
      <c r="A338" s="12" t="s">
        <v>137</v>
      </c>
      <c r="B338" s="12" t="s">
        <v>133</v>
      </c>
      <c r="C338" s="12" t="s">
        <v>247</v>
      </c>
      <c r="D338" s="12"/>
      <c r="E338" s="36" t="s">
        <v>275</v>
      </c>
      <c r="F338" s="13">
        <f>F339+F341</f>
        <v>3489.2000000000003</v>
      </c>
      <c r="G338" s="13">
        <f>G339+G341</f>
        <v>3310.2000000000003</v>
      </c>
      <c r="H338" s="13">
        <f t="shared" si="30"/>
        <v>94.9</v>
      </c>
    </row>
    <row r="339" spans="1:8" ht="63" x14ac:dyDescent="0.25">
      <c r="A339" s="12" t="s">
        <v>137</v>
      </c>
      <c r="B339" s="12" t="s">
        <v>133</v>
      </c>
      <c r="C339" s="12" t="s">
        <v>250</v>
      </c>
      <c r="D339" s="12"/>
      <c r="E339" s="36" t="s">
        <v>423</v>
      </c>
      <c r="F339" s="13">
        <f>F340</f>
        <v>3151.8</v>
      </c>
      <c r="G339" s="13">
        <f>G340</f>
        <v>3151.8</v>
      </c>
      <c r="H339" s="13">
        <f t="shared" si="29"/>
        <v>100</v>
      </c>
    </row>
    <row r="340" spans="1:8" ht="47.25" x14ac:dyDescent="0.25">
      <c r="A340" s="12" t="s">
        <v>137</v>
      </c>
      <c r="B340" s="12" t="s">
        <v>133</v>
      </c>
      <c r="C340" s="12" t="s">
        <v>250</v>
      </c>
      <c r="D340" s="12" t="s">
        <v>309</v>
      </c>
      <c r="E340" s="36" t="s">
        <v>310</v>
      </c>
      <c r="F340" s="13">
        <f>5738.8-2129.4-175.4-282.2</f>
        <v>3151.8</v>
      </c>
      <c r="G340" s="13">
        <v>3151.8</v>
      </c>
      <c r="H340" s="13">
        <f t="shared" si="29"/>
        <v>100</v>
      </c>
    </row>
    <row r="341" spans="1:8" ht="31.5" x14ac:dyDescent="0.25">
      <c r="A341" s="12" t="s">
        <v>137</v>
      </c>
      <c r="B341" s="12" t="s">
        <v>133</v>
      </c>
      <c r="C341" s="12" t="s">
        <v>424</v>
      </c>
      <c r="D341" s="12"/>
      <c r="E341" s="36" t="s">
        <v>251</v>
      </c>
      <c r="F341" s="13">
        <f>F342</f>
        <v>337.4</v>
      </c>
      <c r="G341" s="13">
        <f>G342</f>
        <v>158.4</v>
      </c>
      <c r="H341" s="13">
        <f t="shared" si="29"/>
        <v>46.9</v>
      </c>
    </row>
    <row r="342" spans="1:8" ht="47.25" x14ac:dyDescent="0.25">
      <c r="A342" s="12" t="s">
        <v>137</v>
      </c>
      <c r="B342" s="12" t="s">
        <v>133</v>
      </c>
      <c r="C342" s="12" t="s">
        <v>424</v>
      </c>
      <c r="D342" s="12" t="s">
        <v>309</v>
      </c>
      <c r="E342" s="36" t="s">
        <v>310</v>
      </c>
      <c r="F342" s="13">
        <f>200+175.4-38</f>
        <v>337.4</v>
      </c>
      <c r="G342" s="13">
        <v>158.4</v>
      </c>
      <c r="H342" s="13">
        <f t="shared" si="29"/>
        <v>46.9</v>
      </c>
    </row>
    <row r="343" spans="1:8" ht="63" x14ac:dyDescent="0.25">
      <c r="A343" s="12" t="s">
        <v>137</v>
      </c>
      <c r="B343" s="12" t="s">
        <v>133</v>
      </c>
      <c r="C343" s="12" t="s">
        <v>86</v>
      </c>
      <c r="D343" s="12"/>
      <c r="E343" s="31" t="s">
        <v>396</v>
      </c>
      <c r="F343" s="13">
        <f>F344</f>
        <v>1908.2</v>
      </c>
      <c r="G343" s="13">
        <f>G344</f>
        <v>0</v>
      </c>
      <c r="H343" s="13">
        <f t="shared" si="29"/>
        <v>0</v>
      </c>
    </row>
    <row r="344" spans="1:8" ht="78.75" x14ac:dyDescent="0.25">
      <c r="A344" s="12" t="s">
        <v>137</v>
      </c>
      <c r="B344" s="12" t="s">
        <v>133</v>
      </c>
      <c r="C344" s="44" t="s">
        <v>549</v>
      </c>
      <c r="D344" s="44"/>
      <c r="E344" s="36" t="s">
        <v>550</v>
      </c>
      <c r="F344" s="13">
        <f>F346</f>
        <v>1908.2</v>
      </c>
      <c r="G344" s="13">
        <f>G346</f>
        <v>0</v>
      </c>
      <c r="H344" s="13">
        <f t="shared" si="29"/>
        <v>0</v>
      </c>
    </row>
    <row r="345" spans="1:8" ht="47.25" x14ac:dyDescent="0.25">
      <c r="A345" s="12" t="s">
        <v>137</v>
      </c>
      <c r="B345" s="12" t="s">
        <v>133</v>
      </c>
      <c r="C345" s="12" t="s">
        <v>661</v>
      </c>
      <c r="D345" s="12"/>
      <c r="E345" s="32" t="s">
        <v>662</v>
      </c>
      <c r="F345" s="13">
        <f>F346</f>
        <v>1908.2</v>
      </c>
      <c r="G345" s="13">
        <f>G346</f>
        <v>0</v>
      </c>
      <c r="H345" s="13">
        <f t="shared" si="29"/>
        <v>0</v>
      </c>
    </row>
    <row r="346" spans="1:8" x14ac:dyDescent="0.25">
      <c r="A346" s="12" t="s">
        <v>137</v>
      </c>
      <c r="B346" s="12" t="s">
        <v>133</v>
      </c>
      <c r="C346" s="12" t="s">
        <v>661</v>
      </c>
      <c r="D346" s="12" t="s">
        <v>344</v>
      </c>
      <c r="E346" s="37" t="s">
        <v>375</v>
      </c>
      <c r="F346" s="13">
        <v>1908.2</v>
      </c>
      <c r="G346" s="13">
        <v>0</v>
      </c>
      <c r="H346" s="13">
        <f t="shared" si="29"/>
        <v>0</v>
      </c>
    </row>
    <row r="347" spans="1:8" x14ac:dyDescent="0.25">
      <c r="A347" s="12" t="s">
        <v>137</v>
      </c>
      <c r="B347" s="12" t="s">
        <v>135</v>
      </c>
      <c r="C347" s="12"/>
      <c r="D347" s="12"/>
      <c r="E347" s="11" t="s">
        <v>72</v>
      </c>
      <c r="F347" s="13">
        <f>F348+F352+F370+F459+F475</f>
        <v>94509</v>
      </c>
      <c r="G347" s="13">
        <f>G348+G352+G370+G459+G475</f>
        <v>34471.9</v>
      </c>
      <c r="H347" s="13">
        <f t="shared" si="29"/>
        <v>36.5</v>
      </c>
    </row>
    <row r="348" spans="1:8" ht="63" x14ac:dyDescent="0.25">
      <c r="A348" s="12" t="s">
        <v>137</v>
      </c>
      <c r="B348" s="12" t="s">
        <v>135</v>
      </c>
      <c r="C348" s="12" t="s">
        <v>105</v>
      </c>
      <c r="D348" s="12"/>
      <c r="E348" s="36" t="s">
        <v>427</v>
      </c>
      <c r="F348" s="13">
        <f t="shared" ref="F348:G350" si="31">F349</f>
        <v>376</v>
      </c>
      <c r="G348" s="13">
        <f t="shared" si="31"/>
        <v>376</v>
      </c>
      <c r="H348" s="13">
        <f t="shared" si="29"/>
        <v>100</v>
      </c>
    </row>
    <row r="349" spans="1:8" ht="47.25" x14ac:dyDescent="0.25">
      <c r="A349" s="12" t="s">
        <v>137</v>
      </c>
      <c r="B349" s="12" t="s">
        <v>135</v>
      </c>
      <c r="C349" s="12" t="s">
        <v>106</v>
      </c>
      <c r="D349" s="12"/>
      <c r="E349" s="36" t="s">
        <v>104</v>
      </c>
      <c r="F349" s="13">
        <f t="shared" si="31"/>
        <v>376</v>
      </c>
      <c r="G349" s="13">
        <f t="shared" si="31"/>
        <v>376</v>
      </c>
      <c r="H349" s="13">
        <f t="shared" si="29"/>
        <v>100</v>
      </c>
    </row>
    <row r="350" spans="1:8" ht="47.25" x14ac:dyDescent="0.25">
      <c r="A350" s="12" t="s">
        <v>137</v>
      </c>
      <c r="B350" s="12" t="s">
        <v>135</v>
      </c>
      <c r="C350" s="39" t="s">
        <v>183</v>
      </c>
      <c r="D350" s="12"/>
      <c r="E350" s="36" t="s">
        <v>184</v>
      </c>
      <c r="F350" s="13">
        <f t="shared" si="31"/>
        <v>376</v>
      </c>
      <c r="G350" s="13">
        <f t="shared" si="31"/>
        <v>376</v>
      </c>
      <c r="H350" s="13">
        <f t="shared" si="29"/>
        <v>100</v>
      </c>
    </row>
    <row r="351" spans="1:8" ht="47.25" x14ac:dyDescent="0.25">
      <c r="A351" s="12" t="s">
        <v>137</v>
      </c>
      <c r="B351" s="12" t="s">
        <v>135</v>
      </c>
      <c r="C351" s="39" t="s">
        <v>183</v>
      </c>
      <c r="D351" s="12" t="s">
        <v>309</v>
      </c>
      <c r="E351" s="36" t="s">
        <v>310</v>
      </c>
      <c r="F351" s="13">
        <v>376</v>
      </c>
      <c r="G351" s="13">
        <v>376</v>
      </c>
      <c r="H351" s="13">
        <f t="shared" si="29"/>
        <v>100</v>
      </c>
    </row>
    <row r="352" spans="1:8" ht="78.75" x14ac:dyDescent="0.25">
      <c r="A352" s="12" t="s">
        <v>137</v>
      </c>
      <c r="B352" s="12" t="s">
        <v>135</v>
      </c>
      <c r="C352" s="12" t="s">
        <v>44</v>
      </c>
      <c r="D352" s="12"/>
      <c r="E352" s="31" t="s">
        <v>416</v>
      </c>
      <c r="F352" s="13">
        <f>F353+F360+F363</f>
        <v>15993.6</v>
      </c>
      <c r="G352" s="13">
        <f>G353+G360+G363</f>
        <v>7266.4</v>
      </c>
      <c r="H352" s="13">
        <f t="shared" si="29"/>
        <v>45.4</v>
      </c>
    </row>
    <row r="353" spans="1:8" ht="47.25" x14ac:dyDescent="0.25">
      <c r="A353" s="12" t="s">
        <v>137</v>
      </c>
      <c r="B353" s="12" t="s">
        <v>135</v>
      </c>
      <c r="C353" s="12" t="s">
        <v>419</v>
      </c>
      <c r="D353" s="12"/>
      <c r="E353" s="36" t="s">
        <v>420</v>
      </c>
      <c r="F353" s="13">
        <f>F354+F356+F358</f>
        <v>3244</v>
      </c>
      <c r="G353" s="13">
        <f>G354+G356+G358</f>
        <v>155</v>
      </c>
      <c r="H353" s="13">
        <f t="shared" si="29"/>
        <v>4.8</v>
      </c>
    </row>
    <row r="354" spans="1:8" ht="31.5" x14ac:dyDescent="0.25">
      <c r="A354" s="12" t="s">
        <v>137</v>
      </c>
      <c r="B354" s="12" t="s">
        <v>135</v>
      </c>
      <c r="C354" s="12" t="s">
        <v>568</v>
      </c>
      <c r="D354" s="12"/>
      <c r="E354" s="36" t="s">
        <v>569</v>
      </c>
      <c r="F354" s="13">
        <f>F355</f>
        <v>370</v>
      </c>
      <c r="G354" s="13">
        <f>G355</f>
        <v>155</v>
      </c>
      <c r="H354" s="13">
        <f t="shared" si="29"/>
        <v>41.9</v>
      </c>
    </row>
    <row r="355" spans="1:8" ht="47.25" x14ac:dyDescent="0.25">
      <c r="A355" s="12" t="s">
        <v>137</v>
      </c>
      <c r="B355" s="12" t="s">
        <v>135</v>
      </c>
      <c r="C355" s="12" t="s">
        <v>568</v>
      </c>
      <c r="D355" s="12" t="s">
        <v>309</v>
      </c>
      <c r="E355" s="36" t="s">
        <v>310</v>
      </c>
      <c r="F355" s="13">
        <f>2000-1630</f>
        <v>370</v>
      </c>
      <c r="G355" s="13">
        <v>155</v>
      </c>
      <c r="H355" s="13">
        <f t="shared" si="29"/>
        <v>41.9</v>
      </c>
    </row>
    <row r="356" spans="1:8" ht="31.5" x14ac:dyDescent="0.25">
      <c r="A356" s="12" t="s">
        <v>137</v>
      </c>
      <c r="B356" s="12" t="s">
        <v>135</v>
      </c>
      <c r="C356" s="12" t="s">
        <v>570</v>
      </c>
      <c r="D356" s="12"/>
      <c r="E356" s="14" t="s">
        <v>571</v>
      </c>
      <c r="F356" s="13">
        <f>F357</f>
        <v>2140</v>
      </c>
      <c r="G356" s="13">
        <f>G357</f>
        <v>0</v>
      </c>
      <c r="H356" s="13">
        <f t="shared" si="29"/>
        <v>0</v>
      </c>
    </row>
    <row r="357" spans="1:8" ht="47.25" x14ac:dyDescent="0.25">
      <c r="A357" s="12" t="s">
        <v>137</v>
      </c>
      <c r="B357" s="12" t="s">
        <v>135</v>
      </c>
      <c r="C357" s="12" t="s">
        <v>570</v>
      </c>
      <c r="D357" s="12" t="s">
        <v>309</v>
      </c>
      <c r="E357" s="36" t="s">
        <v>310</v>
      </c>
      <c r="F357" s="13">
        <f>2816.5-676.5</f>
        <v>2140</v>
      </c>
      <c r="G357" s="13">
        <v>0</v>
      </c>
      <c r="H357" s="13">
        <f t="shared" si="29"/>
        <v>0</v>
      </c>
    </row>
    <row r="358" spans="1:8" ht="31.5" x14ac:dyDescent="0.25">
      <c r="A358" s="12" t="s">
        <v>137</v>
      </c>
      <c r="B358" s="12" t="s">
        <v>135</v>
      </c>
      <c r="C358" s="12" t="s">
        <v>720</v>
      </c>
      <c r="D358" s="12"/>
      <c r="E358" s="36" t="s">
        <v>721</v>
      </c>
      <c r="F358" s="13">
        <f>F359</f>
        <v>734</v>
      </c>
      <c r="G358" s="13">
        <f>G359</f>
        <v>0</v>
      </c>
      <c r="H358" s="13">
        <f t="shared" si="29"/>
        <v>0</v>
      </c>
    </row>
    <row r="359" spans="1:8" x14ac:dyDescent="0.25">
      <c r="A359" s="12" t="s">
        <v>137</v>
      </c>
      <c r="B359" s="12" t="s">
        <v>135</v>
      </c>
      <c r="C359" s="12" t="s">
        <v>720</v>
      </c>
      <c r="D359" s="12" t="s">
        <v>344</v>
      </c>
      <c r="E359" s="45" t="s">
        <v>345</v>
      </c>
      <c r="F359" s="13">
        <v>734</v>
      </c>
      <c r="G359" s="13">
        <v>0</v>
      </c>
      <c r="H359" s="13">
        <f t="shared" si="29"/>
        <v>0</v>
      </c>
    </row>
    <row r="360" spans="1:8" ht="31.5" x14ac:dyDescent="0.25">
      <c r="A360" s="12" t="s">
        <v>137</v>
      </c>
      <c r="B360" s="12" t="s">
        <v>135</v>
      </c>
      <c r="C360" s="12" t="s">
        <v>46</v>
      </c>
      <c r="D360" s="12"/>
      <c r="E360" s="31" t="s">
        <v>421</v>
      </c>
      <c r="F360" s="13">
        <f>F361</f>
        <v>185</v>
      </c>
      <c r="G360" s="13">
        <f>G361</f>
        <v>0</v>
      </c>
      <c r="H360" s="13">
        <f t="shared" si="29"/>
        <v>0</v>
      </c>
    </row>
    <row r="361" spans="1:8" ht="63" x14ac:dyDescent="0.25">
      <c r="A361" s="12" t="s">
        <v>137</v>
      </c>
      <c r="B361" s="12" t="s">
        <v>135</v>
      </c>
      <c r="C361" s="48" t="s">
        <v>572</v>
      </c>
      <c r="D361" s="44"/>
      <c r="E361" s="45" t="s">
        <v>573</v>
      </c>
      <c r="F361" s="22">
        <f>F362</f>
        <v>185</v>
      </c>
      <c r="G361" s="22">
        <f>G362</f>
        <v>0</v>
      </c>
      <c r="H361" s="13">
        <f t="shared" si="29"/>
        <v>0</v>
      </c>
    </row>
    <row r="362" spans="1:8" x14ac:dyDescent="0.25">
      <c r="A362" s="12" t="s">
        <v>137</v>
      </c>
      <c r="B362" s="12" t="s">
        <v>135</v>
      </c>
      <c r="C362" s="48" t="s">
        <v>572</v>
      </c>
      <c r="D362" s="44" t="s">
        <v>344</v>
      </c>
      <c r="E362" s="45" t="s">
        <v>345</v>
      </c>
      <c r="F362" s="22">
        <f>1000-750-65</f>
        <v>185</v>
      </c>
      <c r="G362" s="13">
        <v>0</v>
      </c>
      <c r="H362" s="13">
        <f t="shared" si="29"/>
        <v>0</v>
      </c>
    </row>
    <row r="363" spans="1:8" ht="47.25" x14ac:dyDescent="0.25">
      <c r="A363" s="12" t="s">
        <v>137</v>
      </c>
      <c r="B363" s="12" t="s">
        <v>135</v>
      </c>
      <c r="C363" s="12" t="s">
        <v>248</v>
      </c>
      <c r="D363" s="12"/>
      <c r="E363" s="36" t="s">
        <v>428</v>
      </c>
      <c r="F363" s="13">
        <f>F364+F366+F368</f>
        <v>12564.6</v>
      </c>
      <c r="G363" s="13">
        <f>G364+G366+G368</f>
        <v>7111.4</v>
      </c>
      <c r="H363" s="13">
        <f t="shared" si="29"/>
        <v>56.6</v>
      </c>
    </row>
    <row r="364" spans="1:8" ht="31.5" x14ac:dyDescent="0.25">
      <c r="A364" s="12" t="s">
        <v>137</v>
      </c>
      <c r="B364" s="12" t="s">
        <v>135</v>
      </c>
      <c r="C364" s="12" t="s">
        <v>249</v>
      </c>
      <c r="D364" s="12"/>
      <c r="E364" s="36" t="s">
        <v>429</v>
      </c>
      <c r="F364" s="13">
        <f>F365</f>
        <v>8000</v>
      </c>
      <c r="G364" s="13">
        <f>G365</f>
        <v>4163.2</v>
      </c>
      <c r="H364" s="13">
        <f t="shared" si="29"/>
        <v>52</v>
      </c>
    </row>
    <row r="365" spans="1:8" ht="47.25" x14ac:dyDescent="0.25">
      <c r="A365" s="12" t="s">
        <v>137</v>
      </c>
      <c r="B365" s="12" t="s">
        <v>135</v>
      </c>
      <c r="C365" s="12" t="s">
        <v>249</v>
      </c>
      <c r="D365" s="12" t="s">
        <v>309</v>
      </c>
      <c r="E365" s="36" t="s">
        <v>310</v>
      </c>
      <c r="F365" s="13">
        <f>10000-2000</f>
        <v>8000</v>
      </c>
      <c r="G365" s="13">
        <v>4163.2</v>
      </c>
      <c r="H365" s="13">
        <f t="shared" si="29"/>
        <v>52</v>
      </c>
    </row>
    <row r="366" spans="1:8" ht="63" x14ac:dyDescent="0.25">
      <c r="A366" s="12" t="s">
        <v>137</v>
      </c>
      <c r="B366" s="12" t="s">
        <v>135</v>
      </c>
      <c r="C366" s="12" t="s">
        <v>430</v>
      </c>
      <c r="D366" s="12"/>
      <c r="E366" s="36" t="s">
        <v>503</v>
      </c>
      <c r="F366" s="13">
        <f>F367</f>
        <v>1500</v>
      </c>
      <c r="G366" s="13">
        <f>G367</f>
        <v>936.9</v>
      </c>
      <c r="H366" s="13">
        <f t="shared" si="29"/>
        <v>62.5</v>
      </c>
    </row>
    <row r="367" spans="1:8" ht="47.25" x14ac:dyDescent="0.25">
      <c r="A367" s="12" t="s">
        <v>137</v>
      </c>
      <c r="B367" s="12" t="s">
        <v>135</v>
      </c>
      <c r="C367" s="12" t="s">
        <v>430</v>
      </c>
      <c r="D367" s="12" t="s">
        <v>309</v>
      </c>
      <c r="E367" s="36" t="s">
        <v>310</v>
      </c>
      <c r="F367" s="13">
        <v>1500</v>
      </c>
      <c r="G367" s="13">
        <v>936.9</v>
      </c>
      <c r="H367" s="22">
        <f t="shared" si="29"/>
        <v>62.5</v>
      </c>
    </row>
    <row r="368" spans="1:8" ht="21.75" customHeight="1" x14ac:dyDescent="0.25">
      <c r="A368" s="12" t="s">
        <v>137</v>
      </c>
      <c r="B368" s="12" t="s">
        <v>135</v>
      </c>
      <c r="C368" s="12" t="s">
        <v>574</v>
      </c>
      <c r="D368" s="12"/>
      <c r="E368" s="36" t="s">
        <v>575</v>
      </c>
      <c r="F368" s="13">
        <f>F369</f>
        <v>3064.6</v>
      </c>
      <c r="G368" s="13">
        <f>G369</f>
        <v>2011.3</v>
      </c>
      <c r="H368" s="22">
        <f t="shared" si="29"/>
        <v>65.599999999999994</v>
      </c>
    </row>
    <row r="369" spans="1:8" ht="47.25" x14ac:dyDescent="0.25">
      <c r="A369" s="12" t="s">
        <v>137</v>
      </c>
      <c r="B369" s="12" t="s">
        <v>135</v>
      </c>
      <c r="C369" s="12" t="s">
        <v>574</v>
      </c>
      <c r="D369" s="12" t="s">
        <v>309</v>
      </c>
      <c r="E369" s="36" t="s">
        <v>310</v>
      </c>
      <c r="F369" s="13">
        <f>3280+100-232.4-83</f>
        <v>3064.6</v>
      </c>
      <c r="G369" s="13">
        <v>2011.3</v>
      </c>
      <c r="H369" s="13">
        <f t="shared" si="29"/>
        <v>65.599999999999994</v>
      </c>
    </row>
    <row r="370" spans="1:8" ht="63" x14ac:dyDescent="0.25">
      <c r="A370" s="12" t="s">
        <v>137</v>
      </c>
      <c r="B370" s="12" t="s">
        <v>135</v>
      </c>
      <c r="C370" s="12" t="s">
        <v>86</v>
      </c>
      <c r="D370" s="12"/>
      <c r="E370" s="31" t="s">
        <v>396</v>
      </c>
      <c r="F370" s="13">
        <f>F371+F384+F389+F396+F405+F440</f>
        <v>48719.6</v>
      </c>
      <c r="G370" s="13">
        <f>G371+G384+G389+G396+G405+G440</f>
        <v>20343.2</v>
      </c>
      <c r="H370" s="13">
        <f t="shared" ref="H370:H429" si="32">ROUND((G370/F370*100),1)</f>
        <v>41.8</v>
      </c>
    </row>
    <row r="371" spans="1:8" ht="47.25" x14ac:dyDescent="0.25">
      <c r="A371" s="12" t="s">
        <v>137</v>
      </c>
      <c r="B371" s="12" t="s">
        <v>135</v>
      </c>
      <c r="C371" s="12" t="s">
        <v>87</v>
      </c>
      <c r="D371" s="12"/>
      <c r="E371" s="31" t="s">
        <v>252</v>
      </c>
      <c r="F371" s="13">
        <f>F372+F374+F376+F378+F380+F382</f>
        <v>16568.7</v>
      </c>
      <c r="G371" s="13">
        <f>G372+G374+G376+G378+G380+G382</f>
        <v>6923.8000000000011</v>
      </c>
      <c r="H371" s="13">
        <f t="shared" si="32"/>
        <v>41.8</v>
      </c>
    </row>
    <row r="372" spans="1:8" ht="47.25" x14ac:dyDescent="0.25">
      <c r="A372" s="12" t="s">
        <v>137</v>
      </c>
      <c r="B372" s="12" t="s">
        <v>135</v>
      </c>
      <c r="C372" s="39" t="s">
        <v>88</v>
      </c>
      <c r="D372" s="12"/>
      <c r="E372" s="36" t="s">
        <v>32</v>
      </c>
      <c r="F372" s="13">
        <f t="shared" ref="F372:G372" si="33">F373</f>
        <v>9501.7000000000007</v>
      </c>
      <c r="G372" s="13">
        <f t="shared" si="33"/>
        <v>2130.4</v>
      </c>
      <c r="H372" s="13">
        <f t="shared" si="32"/>
        <v>22.4</v>
      </c>
    </row>
    <row r="373" spans="1:8" ht="47.25" x14ac:dyDescent="0.25">
      <c r="A373" s="12" t="s">
        <v>137</v>
      </c>
      <c r="B373" s="12" t="s">
        <v>135</v>
      </c>
      <c r="C373" s="39" t="s">
        <v>88</v>
      </c>
      <c r="D373" s="12" t="s">
        <v>309</v>
      </c>
      <c r="E373" s="36" t="s">
        <v>310</v>
      </c>
      <c r="F373" s="13">
        <f>350+3770.5+5261.1-0.1+142.7-8.9-42.8-326.7+1571.3-800.6+200-350-264.8</f>
        <v>9501.7000000000007</v>
      </c>
      <c r="G373" s="13">
        <v>2130.4</v>
      </c>
      <c r="H373" s="13">
        <f t="shared" si="32"/>
        <v>22.4</v>
      </c>
    </row>
    <row r="374" spans="1:8" ht="78.75" x14ac:dyDescent="0.25">
      <c r="A374" s="12" t="s">
        <v>137</v>
      </c>
      <c r="B374" s="12" t="s">
        <v>135</v>
      </c>
      <c r="C374" s="39" t="s">
        <v>89</v>
      </c>
      <c r="D374" s="12"/>
      <c r="E374" s="36" t="s">
        <v>351</v>
      </c>
      <c r="F374" s="13">
        <f t="shared" ref="F374:G374" si="34">F375</f>
        <v>3945.6</v>
      </c>
      <c r="G374" s="13">
        <f t="shared" si="34"/>
        <v>2865.8</v>
      </c>
      <c r="H374" s="13">
        <f t="shared" si="32"/>
        <v>72.599999999999994</v>
      </c>
    </row>
    <row r="375" spans="1:8" ht="47.25" x14ac:dyDescent="0.25">
      <c r="A375" s="12" t="s">
        <v>137</v>
      </c>
      <c r="B375" s="12" t="s">
        <v>135</v>
      </c>
      <c r="C375" s="39" t="s">
        <v>89</v>
      </c>
      <c r="D375" s="12" t="s">
        <v>309</v>
      </c>
      <c r="E375" s="36" t="s">
        <v>310</v>
      </c>
      <c r="F375" s="13">
        <f>4100+372.9-1453+232.4+91.5+101.3+500.5</f>
        <v>3945.6</v>
      </c>
      <c r="G375" s="13">
        <v>2865.8</v>
      </c>
      <c r="H375" s="13">
        <f t="shared" si="32"/>
        <v>72.599999999999994</v>
      </c>
    </row>
    <row r="376" spans="1:8" ht="31.5" x14ac:dyDescent="0.25">
      <c r="A376" s="12" t="s">
        <v>137</v>
      </c>
      <c r="B376" s="12" t="s">
        <v>135</v>
      </c>
      <c r="C376" s="39" t="s">
        <v>253</v>
      </c>
      <c r="D376" s="12"/>
      <c r="E376" s="36" t="s">
        <v>33</v>
      </c>
      <c r="F376" s="13">
        <f t="shared" ref="F376:G376" si="35">F377</f>
        <v>1000</v>
      </c>
      <c r="G376" s="13">
        <f t="shared" si="35"/>
        <v>590</v>
      </c>
      <c r="H376" s="13">
        <f t="shared" si="32"/>
        <v>59</v>
      </c>
    </row>
    <row r="377" spans="1:8" ht="47.25" x14ac:dyDescent="0.25">
      <c r="A377" s="12" t="s">
        <v>137</v>
      </c>
      <c r="B377" s="12" t="s">
        <v>135</v>
      </c>
      <c r="C377" s="39" t="s">
        <v>253</v>
      </c>
      <c r="D377" s="12" t="s">
        <v>309</v>
      </c>
      <c r="E377" s="36" t="s">
        <v>310</v>
      </c>
      <c r="F377" s="13">
        <v>1000</v>
      </c>
      <c r="G377" s="13">
        <v>590</v>
      </c>
      <c r="H377" s="13">
        <f t="shared" si="32"/>
        <v>59</v>
      </c>
    </row>
    <row r="378" spans="1:8" ht="31.5" x14ac:dyDescent="0.25">
      <c r="A378" s="12" t="s">
        <v>137</v>
      </c>
      <c r="B378" s="12" t="s">
        <v>135</v>
      </c>
      <c r="C378" s="39" t="s">
        <v>576</v>
      </c>
      <c r="D378" s="12"/>
      <c r="E378" s="36" t="s">
        <v>577</v>
      </c>
      <c r="F378" s="13">
        <f t="shared" ref="F378:G378" si="36">F379</f>
        <v>10</v>
      </c>
      <c r="G378" s="13">
        <f t="shared" si="36"/>
        <v>0</v>
      </c>
      <c r="H378" s="13">
        <f t="shared" si="32"/>
        <v>0</v>
      </c>
    </row>
    <row r="379" spans="1:8" ht="47.25" x14ac:dyDescent="0.25">
      <c r="A379" s="12" t="s">
        <v>137</v>
      </c>
      <c r="B379" s="12" t="s">
        <v>135</v>
      </c>
      <c r="C379" s="39" t="s">
        <v>576</v>
      </c>
      <c r="D379" s="12" t="s">
        <v>309</v>
      </c>
      <c r="E379" s="36" t="s">
        <v>310</v>
      </c>
      <c r="F379" s="13">
        <v>10</v>
      </c>
      <c r="G379" s="13">
        <v>0</v>
      </c>
      <c r="H379" s="13">
        <f t="shared" si="32"/>
        <v>0</v>
      </c>
    </row>
    <row r="380" spans="1:8" ht="31.5" x14ac:dyDescent="0.25">
      <c r="A380" s="12" t="s">
        <v>137</v>
      </c>
      <c r="B380" s="12" t="s">
        <v>135</v>
      </c>
      <c r="C380" s="39" t="s">
        <v>504</v>
      </c>
      <c r="D380" s="12"/>
      <c r="E380" s="36" t="s">
        <v>505</v>
      </c>
      <c r="F380" s="13">
        <f t="shared" ref="F380:G380" si="37">F381</f>
        <v>300</v>
      </c>
      <c r="G380" s="13">
        <f t="shared" si="37"/>
        <v>50</v>
      </c>
      <c r="H380" s="13">
        <f t="shared" si="32"/>
        <v>16.7</v>
      </c>
    </row>
    <row r="381" spans="1:8" ht="47.25" x14ac:dyDescent="0.25">
      <c r="A381" s="12" t="s">
        <v>137</v>
      </c>
      <c r="B381" s="12" t="s">
        <v>135</v>
      </c>
      <c r="C381" s="39" t="s">
        <v>504</v>
      </c>
      <c r="D381" s="12" t="s">
        <v>309</v>
      </c>
      <c r="E381" s="36" t="s">
        <v>310</v>
      </c>
      <c r="F381" s="13">
        <v>300</v>
      </c>
      <c r="G381" s="13">
        <v>50</v>
      </c>
      <c r="H381" s="13">
        <f t="shared" si="32"/>
        <v>16.7</v>
      </c>
    </row>
    <row r="382" spans="1:8" ht="31.5" x14ac:dyDescent="0.25">
      <c r="A382" s="12" t="s">
        <v>137</v>
      </c>
      <c r="B382" s="12" t="s">
        <v>135</v>
      </c>
      <c r="C382" s="39" t="s">
        <v>506</v>
      </c>
      <c r="D382" s="12"/>
      <c r="E382" s="36" t="s">
        <v>507</v>
      </c>
      <c r="F382" s="13">
        <f t="shared" ref="F382:G382" si="38">F383</f>
        <v>1811.4000000000012</v>
      </c>
      <c r="G382" s="13">
        <f t="shared" si="38"/>
        <v>1287.5999999999999</v>
      </c>
      <c r="H382" s="13">
        <f t="shared" si="32"/>
        <v>71.099999999999994</v>
      </c>
    </row>
    <row r="383" spans="1:8" ht="47.25" x14ac:dyDescent="0.25">
      <c r="A383" s="12" t="s">
        <v>137</v>
      </c>
      <c r="B383" s="12" t="s">
        <v>135</v>
      </c>
      <c r="C383" s="39" t="s">
        <v>506</v>
      </c>
      <c r="D383" s="12" t="s">
        <v>309</v>
      </c>
      <c r="E383" s="36" t="s">
        <v>310</v>
      </c>
      <c r="F383" s="13">
        <f>22300-9243.3+1077.6-6528.9-1840.1-4218.7+264.8</f>
        <v>1811.4000000000012</v>
      </c>
      <c r="G383" s="13">
        <v>1287.5999999999999</v>
      </c>
      <c r="H383" s="13">
        <f t="shared" si="32"/>
        <v>71.099999999999994</v>
      </c>
    </row>
    <row r="384" spans="1:8" ht="31.5" x14ac:dyDescent="0.25">
      <c r="A384" s="12" t="s">
        <v>137</v>
      </c>
      <c r="B384" s="12" t="s">
        <v>135</v>
      </c>
      <c r="C384" s="12" t="s">
        <v>91</v>
      </c>
      <c r="D384" s="12"/>
      <c r="E384" s="31" t="s">
        <v>35</v>
      </c>
      <c r="F384" s="13">
        <f>F385+F387</f>
        <v>1103</v>
      </c>
      <c r="G384" s="13">
        <f>G385+G387</f>
        <v>998.9</v>
      </c>
      <c r="H384" s="13">
        <f t="shared" si="32"/>
        <v>90.6</v>
      </c>
    </row>
    <row r="385" spans="1:8" ht="31.5" x14ac:dyDescent="0.25">
      <c r="A385" s="12" t="s">
        <v>137</v>
      </c>
      <c r="B385" s="12" t="s">
        <v>135</v>
      </c>
      <c r="C385" s="33" t="s">
        <v>90</v>
      </c>
      <c r="D385" s="12"/>
      <c r="E385" s="36" t="s">
        <v>254</v>
      </c>
      <c r="F385" s="13">
        <f t="shared" ref="F385:G385" si="39">F386</f>
        <v>700</v>
      </c>
      <c r="G385" s="13">
        <f t="shared" si="39"/>
        <v>595.9</v>
      </c>
      <c r="H385" s="13">
        <f t="shared" si="32"/>
        <v>85.1</v>
      </c>
    </row>
    <row r="386" spans="1:8" ht="47.25" x14ac:dyDescent="0.25">
      <c r="A386" s="12" t="s">
        <v>137</v>
      </c>
      <c r="B386" s="12" t="s">
        <v>135</v>
      </c>
      <c r="C386" s="33" t="s">
        <v>90</v>
      </c>
      <c r="D386" s="12" t="s">
        <v>309</v>
      </c>
      <c r="E386" s="36" t="s">
        <v>310</v>
      </c>
      <c r="F386" s="13">
        <v>700</v>
      </c>
      <c r="G386" s="13">
        <v>595.9</v>
      </c>
      <c r="H386" s="13">
        <f t="shared" si="32"/>
        <v>85.1</v>
      </c>
    </row>
    <row r="387" spans="1:8" ht="31.5" x14ac:dyDescent="0.25">
      <c r="A387" s="12" t="s">
        <v>137</v>
      </c>
      <c r="B387" s="12" t="s">
        <v>135</v>
      </c>
      <c r="C387" s="33" t="s">
        <v>508</v>
      </c>
      <c r="D387" s="12"/>
      <c r="E387" s="36" t="s">
        <v>509</v>
      </c>
      <c r="F387" s="13">
        <f t="shared" ref="F387:G387" si="40">F388</f>
        <v>403</v>
      </c>
      <c r="G387" s="13">
        <f t="shared" si="40"/>
        <v>403</v>
      </c>
      <c r="H387" s="13">
        <f t="shared" si="32"/>
        <v>100</v>
      </c>
    </row>
    <row r="388" spans="1:8" ht="47.25" x14ac:dyDescent="0.25">
      <c r="A388" s="12" t="s">
        <v>137</v>
      </c>
      <c r="B388" s="12" t="s">
        <v>135</v>
      </c>
      <c r="C388" s="33" t="s">
        <v>508</v>
      </c>
      <c r="D388" s="12" t="s">
        <v>309</v>
      </c>
      <c r="E388" s="36" t="s">
        <v>310</v>
      </c>
      <c r="F388" s="13">
        <v>403</v>
      </c>
      <c r="G388" s="13">
        <v>403</v>
      </c>
      <c r="H388" s="13">
        <f t="shared" si="32"/>
        <v>100</v>
      </c>
    </row>
    <row r="389" spans="1:8" ht="47.25" x14ac:dyDescent="0.25">
      <c r="A389" s="12" t="s">
        <v>137</v>
      </c>
      <c r="B389" s="12" t="s">
        <v>135</v>
      </c>
      <c r="C389" s="12" t="s">
        <v>92</v>
      </c>
      <c r="D389" s="12"/>
      <c r="E389" s="31" t="s">
        <v>255</v>
      </c>
      <c r="F389" s="13">
        <f>F390+F392+F394</f>
        <v>6194</v>
      </c>
      <c r="G389" s="13">
        <f>G390+G392+G394</f>
        <v>3172.8</v>
      </c>
      <c r="H389" s="13">
        <f t="shared" si="32"/>
        <v>51.2</v>
      </c>
    </row>
    <row r="390" spans="1:8" ht="31.5" x14ac:dyDescent="0.25">
      <c r="A390" s="12" t="s">
        <v>137</v>
      </c>
      <c r="B390" s="12" t="s">
        <v>135</v>
      </c>
      <c r="C390" s="12" t="s">
        <v>93</v>
      </c>
      <c r="D390" s="12"/>
      <c r="E390" s="36" t="s">
        <v>352</v>
      </c>
      <c r="F390" s="13">
        <f t="shared" ref="F390:G390" si="41">F391</f>
        <v>3070.2999999999997</v>
      </c>
      <c r="G390" s="13">
        <f t="shared" si="41"/>
        <v>2377.8000000000002</v>
      </c>
      <c r="H390" s="13">
        <f t="shared" si="32"/>
        <v>77.400000000000006</v>
      </c>
    </row>
    <row r="391" spans="1:8" ht="47.25" x14ac:dyDescent="0.25">
      <c r="A391" s="12" t="s">
        <v>137</v>
      </c>
      <c r="B391" s="12" t="s">
        <v>135</v>
      </c>
      <c r="C391" s="12" t="s">
        <v>93</v>
      </c>
      <c r="D391" s="12" t="s">
        <v>309</v>
      </c>
      <c r="E391" s="36" t="s">
        <v>310</v>
      </c>
      <c r="F391" s="13">
        <f>3500+141.2-599.9+29</f>
        <v>3070.2999999999997</v>
      </c>
      <c r="G391" s="13">
        <v>2377.8000000000002</v>
      </c>
      <c r="H391" s="13">
        <f t="shared" si="32"/>
        <v>77.400000000000006</v>
      </c>
    </row>
    <row r="392" spans="1:8" ht="31.5" x14ac:dyDescent="0.25">
      <c r="A392" s="12" t="s">
        <v>137</v>
      </c>
      <c r="B392" s="12" t="s">
        <v>135</v>
      </c>
      <c r="C392" s="12" t="s">
        <v>510</v>
      </c>
      <c r="D392" s="12"/>
      <c r="E392" s="36" t="s">
        <v>511</v>
      </c>
      <c r="F392" s="13">
        <f t="shared" ref="F392:G392" si="42">F393</f>
        <v>2998.7</v>
      </c>
      <c r="G392" s="13">
        <f t="shared" si="42"/>
        <v>670</v>
      </c>
      <c r="H392" s="13">
        <f t="shared" si="32"/>
        <v>22.3</v>
      </c>
    </row>
    <row r="393" spans="1:8" ht="47.25" x14ac:dyDescent="0.25">
      <c r="A393" s="12" t="s">
        <v>137</v>
      </c>
      <c r="B393" s="12" t="s">
        <v>135</v>
      </c>
      <c r="C393" s="12" t="s">
        <v>510</v>
      </c>
      <c r="D393" s="12" t="s">
        <v>309</v>
      </c>
      <c r="E393" s="36" t="s">
        <v>310</v>
      </c>
      <c r="F393" s="13">
        <f>4170-350-1171.3+350</f>
        <v>2998.7</v>
      </c>
      <c r="G393" s="13">
        <v>670</v>
      </c>
      <c r="H393" s="13">
        <f t="shared" si="32"/>
        <v>22.3</v>
      </c>
    </row>
    <row r="394" spans="1:8" ht="31.5" x14ac:dyDescent="0.25">
      <c r="A394" s="12" t="s">
        <v>137</v>
      </c>
      <c r="B394" s="12" t="s">
        <v>135</v>
      </c>
      <c r="C394" s="12" t="s">
        <v>512</v>
      </c>
      <c r="D394" s="12"/>
      <c r="E394" s="36" t="s">
        <v>513</v>
      </c>
      <c r="F394" s="13">
        <f t="shared" ref="F394:G394" si="43">F395</f>
        <v>125</v>
      </c>
      <c r="G394" s="13">
        <f t="shared" si="43"/>
        <v>125</v>
      </c>
      <c r="H394" s="13">
        <f t="shared" si="32"/>
        <v>100</v>
      </c>
    </row>
    <row r="395" spans="1:8" ht="47.25" x14ac:dyDescent="0.25">
      <c r="A395" s="12" t="s">
        <v>137</v>
      </c>
      <c r="B395" s="12" t="s">
        <v>135</v>
      </c>
      <c r="C395" s="12" t="s">
        <v>512</v>
      </c>
      <c r="D395" s="12" t="s">
        <v>309</v>
      </c>
      <c r="E395" s="36" t="s">
        <v>310</v>
      </c>
      <c r="F395" s="13">
        <v>125</v>
      </c>
      <c r="G395" s="13">
        <v>125</v>
      </c>
      <c r="H395" s="13">
        <f t="shared" si="32"/>
        <v>100</v>
      </c>
    </row>
    <row r="396" spans="1:8" ht="47.25" x14ac:dyDescent="0.25">
      <c r="A396" s="12" t="s">
        <v>137</v>
      </c>
      <c r="B396" s="12" t="s">
        <v>135</v>
      </c>
      <c r="C396" s="12" t="s">
        <v>94</v>
      </c>
      <c r="D396" s="12"/>
      <c r="E396" s="31" t="s">
        <v>431</v>
      </c>
      <c r="F396" s="13">
        <f>F397+F399+F401+F403</f>
        <v>2263.8000000000002</v>
      </c>
      <c r="G396" s="13">
        <f>G397+G399+G401+G403</f>
        <v>1565.9</v>
      </c>
      <c r="H396" s="13">
        <f t="shared" si="32"/>
        <v>69.2</v>
      </c>
    </row>
    <row r="397" spans="1:8" ht="63" x14ac:dyDescent="0.25">
      <c r="A397" s="12" t="s">
        <v>137</v>
      </c>
      <c r="B397" s="12" t="s">
        <v>135</v>
      </c>
      <c r="C397" s="33" t="s">
        <v>95</v>
      </c>
      <c r="D397" s="12"/>
      <c r="E397" s="36" t="s">
        <v>256</v>
      </c>
      <c r="F397" s="13">
        <f t="shared" ref="F397:G397" si="44">F398</f>
        <v>783.8</v>
      </c>
      <c r="G397" s="13">
        <f t="shared" si="44"/>
        <v>587.20000000000005</v>
      </c>
      <c r="H397" s="13">
        <f t="shared" si="32"/>
        <v>74.900000000000006</v>
      </c>
    </row>
    <row r="398" spans="1:8" ht="47.25" x14ac:dyDescent="0.25">
      <c r="A398" s="12" t="s">
        <v>137</v>
      </c>
      <c r="B398" s="12" t="s">
        <v>135</v>
      </c>
      <c r="C398" s="33" t="s">
        <v>95</v>
      </c>
      <c r="D398" s="12" t="s">
        <v>309</v>
      </c>
      <c r="E398" s="36" t="s">
        <v>310</v>
      </c>
      <c r="F398" s="13">
        <f>683.8+100</f>
        <v>783.8</v>
      </c>
      <c r="G398" s="13">
        <v>587.20000000000005</v>
      </c>
      <c r="H398" s="13">
        <f t="shared" si="32"/>
        <v>74.900000000000006</v>
      </c>
    </row>
    <row r="399" spans="1:8" ht="93" customHeight="1" x14ac:dyDescent="0.25">
      <c r="A399" s="12" t="s">
        <v>137</v>
      </c>
      <c r="B399" s="12" t="s">
        <v>135</v>
      </c>
      <c r="C399" s="33" t="s">
        <v>96</v>
      </c>
      <c r="D399" s="12"/>
      <c r="E399" s="36" t="s">
        <v>257</v>
      </c>
      <c r="F399" s="13">
        <f t="shared" ref="F399:G399" si="45">F400</f>
        <v>830</v>
      </c>
      <c r="G399" s="13">
        <f t="shared" si="45"/>
        <v>558</v>
      </c>
      <c r="H399" s="13">
        <f t="shared" si="32"/>
        <v>67.2</v>
      </c>
    </row>
    <row r="400" spans="1:8" ht="47.25" x14ac:dyDescent="0.25">
      <c r="A400" s="12" t="s">
        <v>137</v>
      </c>
      <c r="B400" s="12" t="s">
        <v>135</v>
      </c>
      <c r="C400" s="33" t="s">
        <v>96</v>
      </c>
      <c r="D400" s="12" t="s">
        <v>309</v>
      </c>
      <c r="E400" s="36" t="s">
        <v>310</v>
      </c>
      <c r="F400" s="13">
        <f>330+500</f>
        <v>830</v>
      </c>
      <c r="G400" s="13">
        <v>558</v>
      </c>
      <c r="H400" s="13">
        <f t="shared" si="32"/>
        <v>67.2</v>
      </c>
    </row>
    <row r="401" spans="1:8" ht="47.25" x14ac:dyDescent="0.25">
      <c r="A401" s="12" t="s">
        <v>137</v>
      </c>
      <c r="B401" s="12" t="s">
        <v>135</v>
      </c>
      <c r="C401" s="33">
        <v>1240110920</v>
      </c>
      <c r="D401" s="12"/>
      <c r="E401" s="49" t="s">
        <v>663</v>
      </c>
      <c r="F401" s="13">
        <f>F402</f>
        <v>150</v>
      </c>
      <c r="G401" s="13">
        <f>G402</f>
        <v>0</v>
      </c>
      <c r="H401" s="13">
        <f t="shared" si="32"/>
        <v>0</v>
      </c>
    </row>
    <row r="402" spans="1:8" ht="47.25" x14ac:dyDescent="0.25">
      <c r="A402" s="12" t="s">
        <v>137</v>
      </c>
      <c r="B402" s="12" t="s">
        <v>135</v>
      </c>
      <c r="C402" s="33">
        <v>1240110920</v>
      </c>
      <c r="D402" s="12" t="s">
        <v>309</v>
      </c>
      <c r="E402" s="36" t="s">
        <v>310</v>
      </c>
      <c r="F402" s="13">
        <v>150</v>
      </c>
      <c r="G402" s="13">
        <v>0</v>
      </c>
      <c r="H402" s="13">
        <f t="shared" si="32"/>
        <v>0</v>
      </c>
    </row>
    <row r="403" spans="1:8" ht="31.5" x14ac:dyDescent="0.25">
      <c r="A403" s="12" t="s">
        <v>137</v>
      </c>
      <c r="B403" s="12" t="s">
        <v>135</v>
      </c>
      <c r="C403" s="33" t="s">
        <v>432</v>
      </c>
      <c r="D403" s="12"/>
      <c r="E403" s="36" t="s">
        <v>281</v>
      </c>
      <c r="F403" s="13">
        <f>F404</f>
        <v>500</v>
      </c>
      <c r="G403" s="13">
        <f>G404</f>
        <v>420.7</v>
      </c>
      <c r="H403" s="13">
        <f t="shared" si="32"/>
        <v>84.1</v>
      </c>
    </row>
    <row r="404" spans="1:8" ht="47.25" x14ac:dyDescent="0.25">
      <c r="A404" s="12" t="s">
        <v>137</v>
      </c>
      <c r="B404" s="12" t="s">
        <v>135</v>
      </c>
      <c r="C404" s="33" t="s">
        <v>432</v>
      </c>
      <c r="D404" s="12" t="s">
        <v>309</v>
      </c>
      <c r="E404" s="36" t="s">
        <v>310</v>
      </c>
      <c r="F404" s="13">
        <v>500</v>
      </c>
      <c r="G404" s="13">
        <v>420.7</v>
      </c>
      <c r="H404" s="13">
        <f t="shared" si="32"/>
        <v>84.1</v>
      </c>
    </row>
    <row r="405" spans="1:8" ht="64.5" customHeight="1" x14ac:dyDescent="0.25">
      <c r="A405" s="12" t="s">
        <v>137</v>
      </c>
      <c r="B405" s="12" t="s">
        <v>135</v>
      </c>
      <c r="C405" s="12" t="s">
        <v>480</v>
      </c>
      <c r="D405" s="12"/>
      <c r="E405" s="36" t="s">
        <v>481</v>
      </c>
      <c r="F405" s="13">
        <f>F406+F418+F430</f>
        <v>3693.8</v>
      </c>
      <c r="G405" s="13">
        <f>G406+G418+G430</f>
        <v>1548.1000000000001</v>
      </c>
      <c r="H405" s="13">
        <f t="shared" si="32"/>
        <v>41.9</v>
      </c>
    </row>
    <row r="406" spans="1:8" ht="78.75" x14ac:dyDescent="0.25">
      <c r="A406" s="12" t="s">
        <v>137</v>
      </c>
      <c r="B406" s="12" t="s">
        <v>135</v>
      </c>
      <c r="C406" s="12" t="s">
        <v>578</v>
      </c>
      <c r="D406" s="12"/>
      <c r="E406" s="36" t="s">
        <v>350</v>
      </c>
      <c r="F406" s="13">
        <f>F407</f>
        <v>1825.8000000000002</v>
      </c>
      <c r="G406" s="13">
        <f>G407</f>
        <v>1548.1000000000001</v>
      </c>
      <c r="H406" s="13">
        <f t="shared" si="32"/>
        <v>84.8</v>
      </c>
    </row>
    <row r="407" spans="1:8" ht="47.25" x14ac:dyDescent="0.25">
      <c r="A407" s="12" t="s">
        <v>137</v>
      </c>
      <c r="B407" s="12" t="s">
        <v>135</v>
      </c>
      <c r="C407" s="12" t="s">
        <v>578</v>
      </c>
      <c r="D407" s="12" t="s">
        <v>309</v>
      </c>
      <c r="E407" s="36" t="s">
        <v>310</v>
      </c>
      <c r="F407" s="13">
        <f>F409+F411+F413+F415+F417</f>
        <v>1825.8000000000002</v>
      </c>
      <c r="G407" s="13">
        <f>G409+G411+G413+G415+G417</f>
        <v>1548.1000000000001</v>
      </c>
      <c r="H407" s="13">
        <f t="shared" si="32"/>
        <v>84.8</v>
      </c>
    </row>
    <row r="408" spans="1:8" ht="63" x14ac:dyDescent="0.25">
      <c r="A408" s="12" t="s">
        <v>137</v>
      </c>
      <c r="B408" s="12" t="s">
        <v>135</v>
      </c>
      <c r="C408" s="12" t="s">
        <v>664</v>
      </c>
      <c r="D408" s="12"/>
      <c r="E408" s="36" t="s">
        <v>665</v>
      </c>
      <c r="F408" s="13">
        <f>F409</f>
        <v>1422.7</v>
      </c>
      <c r="G408" s="13">
        <f>G409</f>
        <v>1364.9</v>
      </c>
      <c r="H408" s="13">
        <f t="shared" si="32"/>
        <v>95.9</v>
      </c>
    </row>
    <row r="409" spans="1:8" ht="47.25" x14ac:dyDescent="0.25">
      <c r="A409" s="12" t="s">
        <v>137</v>
      </c>
      <c r="B409" s="12" t="s">
        <v>135</v>
      </c>
      <c r="C409" s="12" t="s">
        <v>664</v>
      </c>
      <c r="D409" s="12" t="s">
        <v>309</v>
      </c>
      <c r="E409" s="36" t="s">
        <v>310</v>
      </c>
      <c r="F409" s="13">
        <f>1123.8+317.2+3-27.7+6.4</f>
        <v>1422.7</v>
      </c>
      <c r="G409" s="13">
        <v>1364.9</v>
      </c>
      <c r="H409" s="13">
        <f t="shared" si="32"/>
        <v>95.9</v>
      </c>
    </row>
    <row r="410" spans="1:8" ht="63" x14ac:dyDescent="0.25">
      <c r="A410" s="12" t="s">
        <v>137</v>
      </c>
      <c r="B410" s="12" t="s">
        <v>135</v>
      </c>
      <c r="C410" s="12" t="s">
        <v>666</v>
      </c>
      <c r="D410" s="12"/>
      <c r="E410" s="36" t="s">
        <v>667</v>
      </c>
      <c r="F410" s="13">
        <f>F411</f>
        <v>143.69999999999999</v>
      </c>
      <c r="G410" s="13">
        <f>G411</f>
        <v>111.9</v>
      </c>
      <c r="H410" s="13">
        <f t="shared" si="32"/>
        <v>77.900000000000006</v>
      </c>
    </row>
    <row r="411" spans="1:8" ht="47.25" x14ac:dyDescent="0.25">
      <c r="A411" s="12" t="s">
        <v>137</v>
      </c>
      <c r="B411" s="12" t="s">
        <v>135</v>
      </c>
      <c r="C411" s="12" t="s">
        <v>666</v>
      </c>
      <c r="D411" s="12" t="s">
        <v>309</v>
      </c>
      <c r="E411" s="36" t="s">
        <v>310</v>
      </c>
      <c r="F411" s="13">
        <v>143.69999999999999</v>
      </c>
      <c r="G411" s="22">
        <v>111.9</v>
      </c>
      <c r="H411" s="13">
        <f t="shared" si="32"/>
        <v>77.900000000000006</v>
      </c>
    </row>
    <row r="412" spans="1:8" ht="63" x14ac:dyDescent="0.25">
      <c r="A412" s="12" t="s">
        <v>137</v>
      </c>
      <c r="B412" s="12" t="s">
        <v>135</v>
      </c>
      <c r="C412" s="12" t="s">
        <v>668</v>
      </c>
      <c r="D412" s="12"/>
      <c r="E412" s="36" t="s">
        <v>669</v>
      </c>
      <c r="F412" s="13">
        <f>F413</f>
        <v>80</v>
      </c>
      <c r="G412" s="13">
        <f>G413</f>
        <v>71.3</v>
      </c>
      <c r="H412" s="13">
        <f t="shared" si="32"/>
        <v>89.1</v>
      </c>
    </row>
    <row r="413" spans="1:8" ht="47.25" x14ac:dyDescent="0.25">
      <c r="A413" s="12" t="s">
        <v>137</v>
      </c>
      <c r="B413" s="12" t="s">
        <v>135</v>
      </c>
      <c r="C413" s="12" t="s">
        <v>668</v>
      </c>
      <c r="D413" s="12" t="s">
        <v>309</v>
      </c>
      <c r="E413" s="36" t="s">
        <v>310</v>
      </c>
      <c r="F413" s="13">
        <v>80</v>
      </c>
      <c r="G413" s="13">
        <v>71.3</v>
      </c>
      <c r="H413" s="13">
        <f t="shared" si="32"/>
        <v>89.1</v>
      </c>
    </row>
    <row r="414" spans="1:8" ht="47.25" x14ac:dyDescent="0.25">
      <c r="A414" s="12" t="s">
        <v>137</v>
      </c>
      <c r="B414" s="12" t="s">
        <v>135</v>
      </c>
      <c r="C414" s="12" t="s">
        <v>670</v>
      </c>
      <c r="D414" s="12"/>
      <c r="E414" s="36" t="s">
        <v>671</v>
      </c>
      <c r="F414" s="13">
        <f>F415</f>
        <v>99.4</v>
      </c>
      <c r="G414" s="13">
        <f>G415</f>
        <v>0</v>
      </c>
      <c r="H414" s="13">
        <f t="shared" si="32"/>
        <v>0</v>
      </c>
    </row>
    <row r="415" spans="1:8" ht="47.25" x14ac:dyDescent="0.25">
      <c r="A415" s="12" t="s">
        <v>137</v>
      </c>
      <c r="B415" s="12" t="s">
        <v>135</v>
      </c>
      <c r="C415" s="12" t="s">
        <v>670</v>
      </c>
      <c r="D415" s="12" t="s">
        <v>309</v>
      </c>
      <c r="E415" s="36" t="s">
        <v>310</v>
      </c>
      <c r="F415" s="13">
        <v>99.4</v>
      </c>
      <c r="G415" s="13">
        <v>0</v>
      </c>
      <c r="H415" s="13">
        <f t="shared" si="32"/>
        <v>0</v>
      </c>
    </row>
    <row r="416" spans="1:8" ht="63" x14ac:dyDescent="0.25">
      <c r="A416" s="12" t="s">
        <v>137</v>
      </c>
      <c r="B416" s="12" t="s">
        <v>135</v>
      </c>
      <c r="C416" s="12" t="s">
        <v>672</v>
      </c>
      <c r="D416" s="12"/>
      <c r="E416" s="36" t="s">
        <v>673</v>
      </c>
      <c r="F416" s="13">
        <f>F417</f>
        <v>80</v>
      </c>
      <c r="G416" s="13">
        <f>G417</f>
        <v>0</v>
      </c>
      <c r="H416" s="13">
        <f t="shared" si="32"/>
        <v>0</v>
      </c>
    </row>
    <row r="417" spans="1:8" ht="47.25" x14ac:dyDescent="0.25">
      <c r="A417" s="12" t="s">
        <v>137</v>
      </c>
      <c r="B417" s="12" t="s">
        <v>135</v>
      </c>
      <c r="C417" s="12" t="s">
        <v>672</v>
      </c>
      <c r="D417" s="12" t="s">
        <v>309</v>
      </c>
      <c r="E417" s="36" t="s">
        <v>310</v>
      </c>
      <c r="F417" s="13">
        <v>80</v>
      </c>
      <c r="G417" s="22">
        <v>0</v>
      </c>
      <c r="H417" s="13">
        <f t="shared" si="32"/>
        <v>0</v>
      </c>
    </row>
    <row r="418" spans="1:8" ht="51.75" customHeight="1" x14ac:dyDescent="0.25">
      <c r="A418" s="12" t="s">
        <v>137</v>
      </c>
      <c r="B418" s="12" t="s">
        <v>135</v>
      </c>
      <c r="C418" s="12" t="s">
        <v>674</v>
      </c>
      <c r="D418" s="12"/>
      <c r="E418" s="35" t="s">
        <v>630</v>
      </c>
      <c r="F418" s="13">
        <f>F419</f>
        <v>1828</v>
      </c>
      <c r="G418" s="13">
        <f>G419</f>
        <v>0</v>
      </c>
      <c r="H418" s="13">
        <f t="shared" si="32"/>
        <v>0</v>
      </c>
    </row>
    <row r="419" spans="1:8" ht="47.25" x14ac:dyDescent="0.25">
      <c r="A419" s="12" t="s">
        <v>137</v>
      </c>
      <c r="B419" s="12" t="s">
        <v>135</v>
      </c>
      <c r="C419" s="12" t="s">
        <v>674</v>
      </c>
      <c r="D419" s="12" t="s">
        <v>309</v>
      </c>
      <c r="E419" s="36" t="s">
        <v>310</v>
      </c>
      <c r="F419" s="13">
        <f>F421+F423+F425+F427+F429</f>
        <v>1828</v>
      </c>
      <c r="G419" s="13">
        <f>G421+G423+G425+G427+G429</f>
        <v>0</v>
      </c>
      <c r="H419" s="13">
        <f t="shared" si="32"/>
        <v>0</v>
      </c>
    </row>
    <row r="420" spans="1:8" ht="50.25" customHeight="1" x14ac:dyDescent="0.25">
      <c r="A420" s="12" t="s">
        <v>137</v>
      </c>
      <c r="B420" s="12" t="s">
        <v>135</v>
      </c>
      <c r="C420" s="12" t="s">
        <v>675</v>
      </c>
      <c r="D420" s="12"/>
      <c r="E420" s="36" t="s">
        <v>676</v>
      </c>
      <c r="F420" s="13">
        <f>F421</f>
        <v>1440</v>
      </c>
      <c r="G420" s="22">
        <f>G421</f>
        <v>0</v>
      </c>
      <c r="H420" s="13">
        <f t="shared" si="32"/>
        <v>0</v>
      </c>
    </row>
    <row r="421" spans="1:8" ht="47.25" x14ac:dyDescent="0.25">
      <c r="A421" s="12" t="s">
        <v>137</v>
      </c>
      <c r="B421" s="12" t="s">
        <v>135</v>
      </c>
      <c r="C421" s="12" t="s">
        <v>675</v>
      </c>
      <c r="D421" s="12" t="s">
        <v>309</v>
      </c>
      <c r="E421" s="36" t="s">
        <v>310</v>
      </c>
      <c r="F421" s="13">
        <v>1440</v>
      </c>
      <c r="G421" s="13">
        <v>0</v>
      </c>
      <c r="H421" s="13">
        <f t="shared" si="32"/>
        <v>0</v>
      </c>
    </row>
    <row r="422" spans="1:8" ht="63" x14ac:dyDescent="0.25">
      <c r="A422" s="12" t="s">
        <v>137</v>
      </c>
      <c r="B422" s="12" t="s">
        <v>135</v>
      </c>
      <c r="C422" s="12" t="s">
        <v>677</v>
      </c>
      <c r="D422" s="12"/>
      <c r="E422" s="36" t="s">
        <v>667</v>
      </c>
      <c r="F422" s="13">
        <f>F423</f>
        <v>153.69999999999999</v>
      </c>
      <c r="G422" s="13">
        <f>G423</f>
        <v>0</v>
      </c>
      <c r="H422" s="13">
        <f t="shared" si="32"/>
        <v>0</v>
      </c>
    </row>
    <row r="423" spans="1:8" ht="47.25" x14ac:dyDescent="0.25">
      <c r="A423" s="12" t="s">
        <v>137</v>
      </c>
      <c r="B423" s="12" t="s">
        <v>135</v>
      </c>
      <c r="C423" s="12" t="s">
        <v>677</v>
      </c>
      <c r="D423" s="12" t="s">
        <v>309</v>
      </c>
      <c r="E423" s="36" t="s">
        <v>310</v>
      </c>
      <c r="F423" s="13">
        <v>153.69999999999999</v>
      </c>
      <c r="G423" s="13">
        <v>0</v>
      </c>
      <c r="H423" s="13">
        <f t="shared" si="32"/>
        <v>0</v>
      </c>
    </row>
    <row r="424" spans="1:8" ht="63" x14ac:dyDescent="0.25">
      <c r="A424" s="12" t="s">
        <v>137</v>
      </c>
      <c r="B424" s="12" t="s">
        <v>135</v>
      </c>
      <c r="C424" s="12" t="s">
        <v>678</v>
      </c>
      <c r="D424" s="12"/>
      <c r="E424" s="36" t="s">
        <v>669</v>
      </c>
      <c r="F424" s="13">
        <f>F425</f>
        <v>49.7</v>
      </c>
      <c r="G424" s="13">
        <f>G425</f>
        <v>0</v>
      </c>
      <c r="H424" s="13">
        <f t="shared" si="32"/>
        <v>0</v>
      </c>
    </row>
    <row r="425" spans="1:8" ht="47.25" x14ac:dyDescent="0.25">
      <c r="A425" s="12" t="s">
        <v>137</v>
      </c>
      <c r="B425" s="12" t="s">
        <v>135</v>
      </c>
      <c r="C425" s="12" t="s">
        <v>678</v>
      </c>
      <c r="D425" s="12" t="s">
        <v>309</v>
      </c>
      <c r="E425" s="36" t="s">
        <v>310</v>
      </c>
      <c r="F425" s="13">
        <v>49.7</v>
      </c>
      <c r="G425" s="13">
        <v>0</v>
      </c>
      <c r="H425" s="13">
        <f t="shared" si="32"/>
        <v>0</v>
      </c>
    </row>
    <row r="426" spans="1:8" ht="47.25" x14ac:dyDescent="0.25">
      <c r="A426" s="12" t="s">
        <v>137</v>
      </c>
      <c r="B426" s="12" t="s">
        <v>135</v>
      </c>
      <c r="C426" s="12" t="s">
        <v>679</v>
      </c>
      <c r="D426" s="12"/>
      <c r="E426" s="36" t="s">
        <v>671</v>
      </c>
      <c r="F426" s="13">
        <f>F427</f>
        <v>110</v>
      </c>
      <c r="G426" s="22">
        <f>G427</f>
        <v>0</v>
      </c>
      <c r="H426" s="13">
        <f t="shared" si="32"/>
        <v>0</v>
      </c>
    </row>
    <row r="427" spans="1:8" ht="47.25" x14ac:dyDescent="0.25">
      <c r="A427" s="12" t="s">
        <v>137</v>
      </c>
      <c r="B427" s="12" t="s">
        <v>135</v>
      </c>
      <c r="C427" s="12" t="s">
        <v>679</v>
      </c>
      <c r="D427" s="12" t="s">
        <v>309</v>
      </c>
      <c r="E427" s="36" t="s">
        <v>310</v>
      </c>
      <c r="F427" s="13">
        <v>110</v>
      </c>
      <c r="G427" s="13">
        <v>0</v>
      </c>
      <c r="H427" s="13">
        <f t="shared" si="32"/>
        <v>0</v>
      </c>
    </row>
    <row r="428" spans="1:8" ht="63" x14ac:dyDescent="0.25">
      <c r="A428" s="12" t="s">
        <v>137</v>
      </c>
      <c r="B428" s="12" t="s">
        <v>135</v>
      </c>
      <c r="C428" s="12" t="s">
        <v>680</v>
      </c>
      <c r="D428" s="12"/>
      <c r="E428" s="36" t="s">
        <v>673</v>
      </c>
      <c r="F428" s="13">
        <f>F429</f>
        <v>74.599999999999994</v>
      </c>
      <c r="G428" s="22">
        <f>G429</f>
        <v>0</v>
      </c>
      <c r="H428" s="13">
        <f t="shared" si="32"/>
        <v>0</v>
      </c>
    </row>
    <row r="429" spans="1:8" ht="47.25" x14ac:dyDescent="0.25">
      <c r="A429" s="12" t="s">
        <v>137</v>
      </c>
      <c r="B429" s="12" t="s">
        <v>135</v>
      </c>
      <c r="C429" s="12" t="s">
        <v>680</v>
      </c>
      <c r="D429" s="12" t="s">
        <v>309</v>
      </c>
      <c r="E429" s="36" t="s">
        <v>310</v>
      </c>
      <c r="F429" s="13">
        <v>74.599999999999994</v>
      </c>
      <c r="G429" s="13">
        <v>0</v>
      </c>
      <c r="H429" s="13">
        <f t="shared" si="32"/>
        <v>0</v>
      </c>
    </row>
    <row r="430" spans="1:8" ht="94.5" x14ac:dyDescent="0.25">
      <c r="A430" s="12" t="s">
        <v>137</v>
      </c>
      <c r="B430" s="12" t="s">
        <v>135</v>
      </c>
      <c r="C430" s="12" t="s">
        <v>681</v>
      </c>
      <c r="D430" s="12"/>
      <c r="E430" s="41" t="s">
        <v>682</v>
      </c>
      <c r="F430" s="13">
        <f>F431</f>
        <v>40</v>
      </c>
      <c r="G430" s="13">
        <f>G431</f>
        <v>0</v>
      </c>
      <c r="H430" s="13">
        <f t="shared" ref="H430:H487" si="46">ROUND((G430/F430*100),1)</f>
        <v>0</v>
      </c>
    </row>
    <row r="431" spans="1:8" ht="47.25" x14ac:dyDescent="0.25">
      <c r="A431" s="12" t="s">
        <v>137</v>
      </c>
      <c r="B431" s="12" t="s">
        <v>135</v>
      </c>
      <c r="C431" s="12" t="s">
        <v>681</v>
      </c>
      <c r="D431" s="12" t="s">
        <v>309</v>
      </c>
      <c r="E431" s="36" t="s">
        <v>310</v>
      </c>
      <c r="F431" s="13">
        <f>F433+F435+F437+F439</f>
        <v>40</v>
      </c>
      <c r="G431" s="13">
        <v>0</v>
      </c>
      <c r="H431" s="13">
        <f t="shared" si="46"/>
        <v>0</v>
      </c>
    </row>
    <row r="432" spans="1:8" ht="63" x14ac:dyDescent="0.25">
      <c r="A432" s="12" t="s">
        <v>137</v>
      </c>
      <c r="B432" s="12" t="s">
        <v>135</v>
      </c>
      <c r="C432" s="12" t="s">
        <v>683</v>
      </c>
      <c r="D432" s="12"/>
      <c r="E432" s="36" t="s">
        <v>667</v>
      </c>
      <c r="F432" s="13">
        <f>F433</f>
        <v>10</v>
      </c>
      <c r="G432" s="13">
        <f t="shared" ref="G432" si="47">G433</f>
        <v>0</v>
      </c>
      <c r="H432" s="13">
        <f t="shared" si="46"/>
        <v>0</v>
      </c>
    </row>
    <row r="433" spans="1:8" ht="47.25" x14ac:dyDescent="0.25">
      <c r="A433" s="12" t="s">
        <v>137</v>
      </c>
      <c r="B433" s="12" t="s">
        <v>135</v>
      </c>
      <c r="C433" s="12" t="s">
        <v>683</v>
      </c>
      <c r="D433" s="12" t="s">
        <v>309</v>
      </c>
      <c r="E433" s="36" t="s">
        <v>310</v>
      </c>
      <c r="F433" s="13">
        <v>10</v>
      </c>
      <c r="G433" s="13">
        <v>0</v>
      </c>
      <c r="H433" s="13">
        <f t="shared" si="46"/>
        <v>0</v>
      </c>
    </row>
    <row r="434" spans="1:8" ht="63" x14ac:dyDescent="0.25">
      <c r="A434" s="12" t="s">
        <v>137</v>
      </c>
      <c r="B434" s="12" t="s">
        <v>135</v>
      </c>
      <c r="C434" s="12" t="s">
        <v>684</v>
      </c>
      <c r="D434" s="12"/>
      <c r="E434" s="36" t="s">
        <v>669</v>
      </c>
      <c r="F434" s="13">
        <f>F435</f>
        <v>10</v>
      </c>
      <c r="G434" s="13">
        <v>0</v>
      </c>
      <c r="H434" s="13">
        <f t="shared" si="46"/>
        <v>0</v>
      </c>
    </row>
    <row r="435" spans="1:8" ht="47.25" x14ac:dyDescent="0.25">
      <c r="A435" s="12" t="s">
        <v>137</v>
      </c>
      <c r="B435" s="12" t="s">
        <v>135</v>
      </c>
      <c r="C435" s="12" t="s">
        <v>684</v>
      </c>
      <c r="D435" s="12" t="s">
        <v>309</v>
      </c>
      <c r="E435" s="36" t="s">
        <v>310</v>
      </c>
      <c r="F435" s="13">
        <v>10</v>
      </c>
      <c r="G435" s="13">
        <v>0</v>
      </c>
      <c r="H435" s="13">
        <f t="shared" si="46"/>
        <v>0</v>
      </c>
    </row>
    <row r="436" spans="1:8" ht="47.25" x14ac:dyDescent="0.25">
      <c r="A436" s="12" t="s">
        <v>137</v>
      </c>
      <c r="B436" s="12" t="s">
        <v>135</v>
      </c>
      <c r="C436" s="12" t="s">
        <v>685</v>
      </c>
      <c r="D436" s="12"/>
      <c r="E436" s="36" t="s">
        <v>671</v>
      </c>
      <c r="F436" s="13">
        <f>F437</f>
        <v>10</v>
      </c>
      <c r="G436" s="13">
        <v>0</v>
      </c>
      <c r="H436" s="13">
        <f t="shared" si="46"/>
        <v>0</v>
      </c>
    </row>
    <row r="437" spans="1:8" ht="47.25" x14ac:dyDescent="0.25">
      <c r="A437" s="12" t="s">
        <v>137</v>
      </c>
      <c r="B437" s="12" t="s">
        <v>135</v>
      </c>
      <c r="C437" s="12" t="s">
        <v>685</v>
      </c>
      <c r="D437" s="12" t="s">
        <v>309</v>
      </c>
      <c r="E437" s="36" t="s">
        <v>310</v>
      </c>
      <c r="F437" s="13">
        <v>10</v>
      </c>
      <c r="G437" s="13">
        <v>0</v>
      </c>
      <c r="H437" s="13">
        <f t="shared" si="46"/>
        <v>0</v>
      </c>
    </row>
    <row r="438" spans="1:8" ht="63" x14ac:dyDescent="0.25">
      <c r="A438" s="12" t="s">
        <v>137</v>
      </c>
      <c r="B438" s="12" t="s">
        <v>135</v>
      </c>
      <c r="C438" s="12" t="s">
        <v>686</v>
      </c>
      <c r="D438" s="12"/>
      <c r="E438" s="36" t="s">
        <v>673</v>
      </c>
      <c r="F438" s="13">
        <f>F439</f>
        <v>10</v>
      </c>
      <c r="G438" s="13">
        <f t="shared" ref="G438" si="48">G439</f>
        <v>0</v>
      </c>
      <c r="H438" s="13">
        <f t="shared" si="46"/>
        <v>0</v>
      </c>
    </row>
    <row r="439" spans="1:8" ht="47.25" x14ac:dyDescent="0.25">
      <c r="A439" s="12" t="s">
        <v>137</v>
      </c>
      <c r="B439" s="12" t="s">
        <v>135</v>
      </c>
      <c r="C439" s="12" t="s">
        <v>686</v>
      </c>
      <c r="D439" s="12" t="s">
        <v>309</v>
      </c>
      <c r="E439" s="36" t="s">
        <v>310</v>
      </c>
      <c r="F439" s="13">
        <v>10</v>
      </c>
      <c r="G439" s="13">
        <v>0</v>
      </c>
      <c r="H439" s="13">
        <f t="shared" si="46"/>
        <v>0</v>
      </c>
    </row>
    <row r="440" spans="1:8" ht="78.75" x14ac:dyDescent="0.25">
      <c r="A440" s="44" t="s">
        <v>137</v>
      </c>
      <c r="B440" s="44" t="s">
        <v>135</v>
      </c>
      <c r="C440" s="44" t="s">
        <v>549</v>
      </c>
      <c r="D440" s="44"/>
      <c r="E440" s="36" t="s">
        <v>550</v>
      </c>
      <c r="F440" s="22">
        <f>F441+F443+F445</f>
        <v>18896.3</v>
      </c>
      <c r="G440" s="22">
        <f>G441+G443+G445</f>
        <v>6133.7000000000007</v>
      </c>
      <c r="H440" s="13">
        <f t="shared" si="46"/>
        <v>32.5</v>
      </c>
    </row>
    <row r="441" spans="1:8" ht="63" x14ac:dyDescent="0.25">
      <c r="A441" s="12" t="s">
        <v>137</v>
      </c>
      <c r="B441" s="12" t="s">
        <v>135</v>
      </c>
      <c r="C441" s="12" t="s">
        <v>579</v>
      </c>
      <c r="D441" s="12"/>
      <c r="E441" s="41" t="s">
        <v>580</v>
      </c>
      <c r="F441" s="13">
        <f>F442</f>
        <v>774.1</v>
      </c>
      <c r="G441" s="13">
        <f>G442</f>
        <v>774.1</v>
      </c>
      <c r="H441" s="13">
        <f t="shared" si="46"/>
        <v>100</v>
      </c>
    </row>
    <row r="442" spans="1:8" ht="47.25" x14ac:dyDescent="0.25">
      <c r="A442" s="12" t="s">
        <v>137</v>
      </c>
      <c r="B442" s="12" t="s">
        <v>135</v>
      </c>
      <c r="C442" s="12" t="s">
        <v>579</v>
      </c>
      <c r="D442" s="12" t="s">
        <v>309</v>
      </c>
      <c r="E442" s="41" t="s">
        <v>310</v>
      </c>
      <c r="F442" s="13">
        <f>774.1</f>
        <v>774.1</v>
      </c>
      <c r="G442" s="13">
        <f t="shared" ref="G442" si="49">774.1</f>
        <v>774.1</v>
      </c>
      <c r="H442" s="13">
        <f t="shared" si="46"/>
        <v>100</v>
      </c>
    </row>
    <row r="443" spans="1:8" ht="78.75" x14ac:dyDescent="0.25">
      <c r="A443" s="44" t="s">
        <v>137</v>
      </c>
      <c r="B443" s="44" t="s">
        <v>135</v>
      </c>
      <c r="C443" s="12" t="s">
        <v>581</v>
      </c>
      <c r="D443" s="12"/>
      <c r="E443" s="41" t="s">
        <v>582</v>
      </c>
      <c r="F443" s="13">
        <f>F444</f>
        <v>105.5</v>
      </c>
      <c r="G443" s="13">
        <f>G444</f>
        <v>105.5</v>
      </c>
      <c r="H443" s="13">
        <f t="shared" si="46"/>
        <v>100</v>
      </c>
    </row>
    <row r="444" spans="1:8" ht="47.25" x14ac:dyDescent="0.25">
      <c r="A444" s="44" t="s">
        <v>137</v>
      </c>
      <c r="B444" s="44" t="s">
        <v>135</v>
      </c>
      <c r="C444" s="12" t="s">
        <v>581</v>
      </c>
      <c r="D444" s="12" t="s">
        <v>309</v>
      </c>
      <c r="E444" s="41" t="s">
        <v>310</v>
      </c>
      <c r="F444" s="13">
        <v>105.5</v>
      </c>
      <c r="G444" s="13">
        <v>105.5</v>
      </c>
      <c r="H444" s="13">
        <f t="shared" si="46"/>
        <v>100</v>
      </c>
    </row>
    <row r="445" spans="1:8" ht="63" x14ac:dyDescent="0.25">
      <c r="A445" s="12" t="s">
        <v>137</v>
      </c>
      <c r="B445" s="12" t="s">
        <v>135</v>
      </c>
      <c r="C445" s="12" t="s">
        <v>687</v>
      </c>
      <c r="D445" s="12"/>
      <c r="E445" s="36" t="s">
        <v>580</v>
      </c>
      <c r="F445" s="22">
        <f>F446</f>
        <v>18016.7</v>
      </c>
      <c r="G445" s="22">
        <f>G446</f>
        <v>5254.1</v>
      </c>
      <c r="H445" s="13">
        <f t="shared" si="46"/>
        <v>29.2</v>
      </c>
    </row>
    <row r="446" spans="1:8" ht="47.25" x14ac:dyDescent="0.25">
      <c r="A446" s="12" t="s">
        <v>137</v>
      </c>
      <c r="B446" s="12" t="s">
        <v>135</v>
      </c>
      <c r="C446" s="12" t="s">
        <v>687</v>
      </c>
      <c r="D446" s="12" t="s">
        <v>309</v>
      </c>
      <c r="E446" s="36" t="s">
        <v>310</v>
      </c>
      <c r="F446" s="22">
        <f>F448+F450+F452+F454+F456+F458</f>
        <v>18016.7</v>
      </c>
      <c r="G446" s="22">
        <f>G448+G450+G452+G454+G456+G458</f>
        <v>5254.1</v>
      </c>
      <c r="H446" s="13">
        <f t="shared" si="46"/>
        <v>29.2</v>
      </c>
    </row>
    <row r="447" spans="1:8" ht="31.5" x14ac:dyDescent="0.25">
      <c r="A447" s="12" t="s">
        <v>137</v>
      </c>
      <c r="B447" s="12" t="s">
        <v>135</v>
      </c>
      <c r="C447" s="12" t="s">
        <v>688</v>
      </c>
      <c r="D447" s="12"/>
      <c r="E447" s="31" t="s">
        <v>689</v>
      </c>
      <c r="F447" s="22">
        <f>F448</f>
        <v>3648.8</v>
      </c>
      <c r="G447" s="13">
        <f>G448</f>
        <v>0</v>
      </c>
      <c r="H447" s="13">
        <f t="shared" si="46"/>
        <v>0</v>
      </c>
    </row>
    <row r="448" spans="1:8" ht="47.25" x14ac:dyDescent="0.25">
      <c r="A448" s="12" t="s">
        <v>137</v>
      </c>
      <c r="B448" s="12" t="s">
        <v>135</v>
      </c>
      <c r="C448" s="12" t="s">
        <v>688</v>
      </c>
      <c r="D448" s="12" t="s">
        <v>309</v>
      </c>
      <c r="E448" s="36" t="s">
        <v>310</v>
      </c>
      <c r="F448" s="22">
        <v>3648.8</v>
      </c>
      <c r="G448" s="13">
        <v>0</v>
      </c>
      <c r="H448" s="13">
        <f t="shared" si="46"/>
        <v>0</v>
      </c>
    </row>
    <row r="449" spans="1:8" ht="31.5" x14ac:dyDescent="0.25">
      <c r="A449" s="12" t="s">
        <v>137</v>
      </c>
      <c r="B449" s="12" t="s">
        <v>135</v>
      </c>
      <c r="C449" s="12" t="s">
        <v>690</v>
      </c>
      <c r="D449" s="12"/>
      <c r="E449" s="31" t="s">
        <v>691</v>
      </c>
      <c r="F449" s="22">
        <f>F450</f>
        <v>3702.6</v>
      </c>
      <c r="G449" s="22">
        <f>G450</f>
        <v>3658.7</v>
      </c>
      <c r="H449" s="13">
        <f t="shared" si="46"/>
        <v>98.8</v>
      </c>
    </row>
    <row r="450" spans="1:8" ht="47.25" x14ac:dyDescent="0.25">
      <c r="A450" s="12" t="s">
        <v>137</v>
      </c>
      <c r="B450" s="12" t="s">
        <v>135</v>
      </c>
      <c r="C450" s="12" t="s">
        <v>690</v>
      </c>
      <c r="D450" s="12" t="s">
        <v>309</v>
      </c>
      <c r="E450" s="36" t="s">
        <v>310</v>
      </c>
      <c r="F450" s="22">
        <f>3789.1-86.5</f>
        <v>3702.6</v>
      </c>
      <c r="G450" s="13">
        <v>3658.7</v>
      </c>
      <c r="H450" s="13">
        <f t="shared" si="46"/>
        <v>98.8</v>
      </c>
    </row>
    <row r="451" spans="1:8" ht="31.5" x14ac:dyDescent="0.25">
      <c r="A451" s="12" t="s">
        <v>137</v>
      </c>
      <c r="B451" s="12" t="s">
        <v>135</v>
      </c>
      <c r="C451" s="12" t="s">
        <v>692</v>
      </c>
      <c r="D451" s="12"/>
      <c r="E451" s="36" t="s">
        <v>693</v>
      </c>
      <c r="F451" s="22">
        <f>F452</f>
        <v>1895.4</v>
      </c>
      <c r="G451" s="22">
        <f>G452</f>
        <v>1595.4</v>
      </c>
      <c r="H451" s="13">
        <f t="shared" si="46"/>
        <v>84.2</v>
      </c>
    </row>
    <row r="452" spans="1:8" ht="47.25" x14ac:dyDescent="0.25">
      <c r="A452" s="12" t="s">
        <v>137</v>
      </c>
      <c r="B452" s="12" t="s">
        <v>135</v>
      </c>
      <c r="C452" s="12" t="s">
        <v>692</v>
      </c>
      <c r="D452" s="12" t="s">
        <v>309</v>
      </c>
      <c r="E452" s="36" t="s">
        <v>310</v>
      </c>
      <c r="F452" s="22">
        <v>1895.4</v>
      </c>
      <c r="G452" s="13">
        <v>1595.4</v>
      </c>
      <c r="H452" s="13">
        <f t="shared" si="46"/>
        <v>84.2</v>
      </c>
    </row>
    <row r="453" spans="1:8" ht="31.5" x14ac:dyDescent="0.25">
      <c r="A453" s="12" t="s">
        <v>137</v>
      </c>
      <c r="B453" s="12" t="s">
        <v>135</v>
      </c>
      <c r="C453" s="12" t="s">
        <v>694</v>
      </c>
      <c r="D453" s="12"/>
      <c r="E453" s="36" t="s">
        <v>695</v>
      </c>
      <c r="F453" s="22">
        <f>F454</f>
        <v>2269.6999999999998</v>
      </c>
      <c r="G453" s="22">
        <f>G454</f>
        <v>0</v>
      </c>
      <c r="H453" s="13">
        <f t="shared" si="46"/>
        <v>0</v>
      </c>
    </row>
    <row r="454" spans="1:8" ht="47.25" x14ac:dyDescent="0.25">
      <c r="A454" s="12" t="s">
        <v>137</v>
      </c>
      <c r="B454" s="12" t="s">
        <v>135</v>
      </c>
      <c r="C454" s="12" t="s">
        <v>694</v>
      </c>
      <c r="D454" s="12" t="s">
        <v>309</v>
      </c>
      <c r="E454" s="36" t="s">
        <v>310</v>
      </c>
      <c r="F454" s="22">
        <v>2269.6999999999998</v>
      </c>
      <c r="G454" s="13">
        <v>0</v>
      </c>
      <c r="H454" s="13">
        <f t="shared" si="46"/>
        <v>0</v>
      </c>
    </row>
    <row r="455" spans="1:8" ht="31.5" x14ac:dyDescent="0.25">
      <c r="A455" s="12" t="s">
        <v>137</v>
      </c>
      <c r="B455" s="12" t="s">
        <v>135</v>
      </c>
      <c r="C455" s="12" t="s">
        <v>696</v>
      </c>
      <c r="D455" s="12"/>
      <c r="E455" s="31" t="s">
        <v>697</v>
      </c>
      <c r="F455" s="22">
        <f>F456</f>
        <v>3777.9</v>
      </c>
      <c r="G455" s="13">
        <f t="shared" ref="G455" si="50">G456</f>
        <v>0</v>
      </c>
      <c r="H455" s="13">
        <f t="shared" si="46"/>
        <v>0</v>
      </c>
    </row>
    <row r="456" spans="1:8" ht="47.25" x14ac:dyDescent="0.25">
      <c r="A456" s="12" t="s">
        <v>137</v>
      </c>
      <c r="B456" s="12" t="s">
        <v>135</v>
      </c>
      <c r="C456" s="12" t="s">
        <v>696</v>
      </c>
      <c r="D456" s="12" t="s">
        <v>309</v>
      </c>
      <c r="E456" s="36" t="s">
        <v>310</v>
      </c>
      <c r="F456" s="22">
        <v>3777.9</v>
      </c>
      <c r="G456" s="13">
        <v>0</v>
      </c>
      <c r="H456" s="13">
        <f t="shared" si="46"/>
        <v>0</v>
      </c>
    </row>
    <row r="457" spans="1:8" ht="31.5" x14ac:dyDescent="0.25">
      <c r="A457" s="12" t="s">
        <v>137</v>
      </c>
      <c r="B457" s="12" t="s">
        <v>135</v>
      </c>
      <c r="C457" s="12" t="s">
        <v>698</v>
      </c>
      <c r="D457" s="12"/>
      <c r="E457" s="31" t="s">
        <v>699</v>
      </c>
      <c r="F457" s="22">
        <f>F458</f>
        <v>2722.3</v>
      </c>
      <c r="G457" s="13">
        <f t="shared" ref="G457" si="51">G458</f>
        <v>0</v>
      </c>
      <c r="H457" s="13">
        <f t="shared" si="46"/>
        <v>0</v>
      </c>
    </row>
    <row r="458" spans="1:8" ht="47.25" x14ac:dyDescent="0.25">
      <c r="A458" s="12" t="s">
        <v>137</v>
      </c>
      <c r="B458" s="12" t="s">
        <v>135</v>
      </c>
      <c r="C458" s="12" t="s">
        <v>698</v>
      </c>
      <c r="D458" s="12" t="s">
        <v>309</v>
      </c>
      <c r="E458" s="36" t="s">
        <v>310</v>
      </c>
      <c r="F458" s="22">
        <v>2722.3</v>
      </c>
      <c r="G458" s="13">
        <v>0</v>
      </c>
      <c r="H458" s="13">
        <f t="shared" si="46"/>
        <v>0</v>
      </c>
    </row>
    <row r="459" spans="1:8" ht="63" customHeight="1" x14ac:dyDescent="0.25">
      <c r="A459" s="12" t="s">
        <v>137</v>
      </c>
      <c r="B459" s="12" t="s">
        <v>135</v>
      </c>
      <c r="C459" s="39">
        <v>1400000000</v>
      </c>
      <c r="D459" s="12"/>
      <c r="E459" s="31" t="s">
        <v>583</v>
      </c>
      <c r="F459" s="13">
        <f>F460</f>
        <v>29326.2</v>
      </c>
      <c r="G459" s="13">
        <f>G460</f>
        <v>6392.7000000000007</v>
      </c>
      <c r="H459" s="13">
        <f t="shared" si="46"/>
        <v>21.8</v>
      </c>
    </row>
    <row r="460" spans="1:8" ht="93.75" customHeight="1" x14ac:dyDescent="0.25">
      <c r="A460" s="12" t="s">
        <v>137</v>
      </c>
      <c r="B460" s="12" t="s">
        <v>135</v>
      </c>
      <c r="C460" s="39">
        <v>1410000000</v>
      </c>
      <c r="D460" s="12"/>
      <c r="E460" s="31" t="s">
        <v>353</v>
      </c>
      <c r="F460" s="13">
        <f>F461+F463+F465+F467+F469+F471+F473</f>
        <v>29326.2</v>
      </c>
      <c r="G460" s="13">
        <f>G461+G463+G465+G467+G469+G471+G473</f>
        <v>6392.7000000000007</v>
      </c>
      <c r="H460" s="13">
        <f t="shared" si="46"/>
        <v>21.8</v>
      </c>
    </row>
    <row r="461" spans="1:8" ht="31.5" x14ac:dyDescent="0.25">
      <c r="A461" s="12" t="s">
        <v>137</v>
      </c>
      <c r="B461" s="12" t="s">
        <v>135</v>
      </c>
      <c r="C461" s="39" t="s">
        <v>356</v>
      </c>
      <c r="D461" s="12"/>
      <c r="E461" s="36" t="s">
        <v>514</v>
      </c>
      <c r="F461" s="13">
        <f t="shared" ref="F461:G461" si="52">F462</f>
        <v>313</v>
      </c>
      <c r="G461" s="13">
        <f t="shared" si="52"/>
        <v>18.5</v>
      </c>
      <c r="H461" s="13">
        <f t="shared" si="46"/>
        <v>5.9</v>
      </c>
    </row>
    <row r="462" spans="1:8" ht="47.25" x14ac:dyDescent="0.25">
      <c r="A462" s="12" t="s">
        <v>137</v>
      </c>
      <c r="B462" s="12" t="s">
        <v>135</v>
      </c>
      <c r="C462" s="39" t="s">
        <v>356</v>
      </c>
      <c r="D462" s="12" t="s">
        <v>309</v>
      </c>
      <c r="E462" s="36" t="s">
        <v>310</v>
      </c>
      <c r="F462" s="13">
        <v>313</v>
      </c>
      <c r="G462" s="13">
        <v>18.5</v>
      </c>
      <c r="H462" s="13">
        <f t="shared" si="46"/>
        <v>5.9</v>
      </c>
    </row>
    <row r="463" spans="1:8" ht="66" customHeight="1" x14ac:dyDescent="0.25">
      <c r="A463" s="12" t="s">
        <v>137</v>
      </c>
      <c r="B463" s="12" t="s">
        <v>135</v>
      </c>
      <c r="C463" s="39" t="s">
        <v>354</v>
      </c>
      <c r="D463" s="12"/>
      <c r="E463" s="36" t="s">
        <v>355</v>
      </c>
      <c r="F463" s="13">
        <f t="shared" ref="F463:G463" si="53">F464</f>
        <v>130.1</v>
      </c>
      <c r="G463" s="13">
        <f t="shared" si="53"/>
        <v>111.2</v>
      </c>
      <c r="H463" s="13">
        <f t="shared" si="46"/>
        <v>85.5</v>
      </c>
    </row>
    <row r="464" spans="1:8" ht="47.25" x14ac:dyDescent="0.25">
      <c r="A464" s="12" t="s">
        <v>137</v>
      </c>
      <c r="B464" s="12" t="s">
        <v>135</v>
      </c>
      <c r="C464" s="39" t="s">
        <v>354</v>
      </c>
      <c r="D464" s="12" t="s">
        <v>309</v>
      </c>
      <c r="E464" s="36" t="s">
        <v>310</v>
      </c>
      <c r="F464" s="13">
        <v>130.1</v>
      </c>
      <c r="G464" s="13">
        <v>111.2</v>
      </c>
      <c r="H464" s="13">
        <f t="shared" si="46"/>
        <v>85.5</v>
      </c>
    </row>
    <row r="465" spans="1:8" ht="31.5" x14ac:dyDescent="0.25">
      <c r="A465" s="12" t="s">
        <v>137</v>
      </c>
      <c r="B465" s="12" t="s">
        <v>135</v>
      </c>
      <c r="C465" s="39" t="s">
        <v>515</v>
      </c>
      <c r="D465" s="12"/>
      <c r="E465" s="36" t="s">
        <v>514</v>
      </c>
      <c r="F465" s="13">
        <f t="shared" ref="F465:G465" si="54">F466</f>
        <v>416</v>
      </c>
      <c r="G465" s="13">
        <f t="shared" si="54"/>
        <v>72.099999999999994</v>
      </c>
      <c r="H465" s="13">
        <f t="shared" si="46"/>
        <v>17.3</v>
      </c>
    </row>
    <row r="466" spans="1:8" ht="47.25" x14ac:dyDescent="0.25">
      <c r="A466" s="12" t="s">
        <v>137</v>
      </c>
      <c r="B466" s="12" t="s">
        <v>135</v>
      </c>
      <c r="C466" s="39" t="s">
        <v>515</v>
      </c>
      <c r="D466" s="12" t="s">
        <v>309</v>
      </c>
      <c r="E466" s="36" t="s">
        <v>310</v>
      </c>
      <c r="F466" s="13">
        <v>416</v>
      </c>
      <c r="G466" s="13">
        <v>72.099999999999994</v>
      </c>
      <c r="H466" s="13">
        <f t="shared" si="46"/>
        <v>17.3</v>
      </c>
    </row>
    <row r="467" spans="1:8" ht="31.5" x14ac:dyDescent="0.25">
      <c r="A467" s="12" t="s">
        <v>137</v>
      </c>
      <c r="B467" s="12" t="s">
        <v>135</v>
      </c>
      <c r="C467" s="39" t="s">
        <v>516</v>
      </c>
      <c r="D467" s="12"/>
      <c r="E467" s="36" t="s">
        <v>517</v>
      </c>
      <c r="F467" s="13">
        <f t="shared" ref="F467:G467" si="55">F468</f>
        <v>12851.2</v>
      </c>
      <c r="G467" s="13">
        <f t="shared" si="55"/>
        <v>119.5</v>
      </c>
      <c r="H467" s="13">
        <f t="shared" si="46"/>
        <v>0.9</v>
      </c>
    </row>
    <row r="468" spans="1:8" ht="47.25" x14ac:dyDescent="0.25">
      <c r="A468" s="12" t="s">
        <v>137</v>
      </c>
      <c r="B468" s="12" t="s">
        <v>135</v>
      </c>
      <c r="C468" s="39" t="s">
        <v>516</v>
      </c>
      <c r="D468" s="12" t="s">
        <v>309</v>
      </c>
      <c r="E468" s="36" t="s">
        <v>310</v>
      </c>
      <c r="F468" s="13">
        <v>12851.2</v>
      </c>
      <c r="G468" s="13">
        <v>119.5</v>
      </c>
      <c r="H468" s="13">
        <f t="shared" si="46"/>
        <v>0.9</v>
      </c>
    </row>
    <row r="469" spans="1:8" ht="47.25" x14ac:dyDescent="0.25">
      <c r="A469" s="12" t="s">
        <v>137</v>
      </c>
      <c r="B469" s="12" t="s">
        <v>135</v>
      </c>
      <c r="C469" s="39" t="s">
        <v>584</v>
      </c>
      <c r="D469" s="12"/>
      <c r="E469" s="36" t="s">
        <v>585</v>
      </c>
      <c r="F469" s="13">
        <f t="shared" ref="F469:G469" si="56">F470</f>
        <v>3637.3</v>
      </c>
      <c r="G469" s="13">
        <f t="shared" si="56"/>
        <v>0</v>
      </c>
      <c r="H469" s="13">
        <f t="shared" si="46"/>
        <v>0</v>
      </c>
    </row>
    <row r="470" spans="1:8" ht="47.25" x14ac:dyDescent="0.25">
      <c r="A470" s="12" t="s">
        <v>137</v>
      </c>
      <c r="B470" s="12" t="s">
        <v>135</v>
      </c>
      <c r="C470" s="39" t="s">
        <v>584</v>
      </c>
      <c r="D470" s="12" t="s">
        <v>309</v>
      </c>
      <c r="E470" s="36" t="s">
        <v>310</v>
      </c>
      <c r="F470" s="13">
        <f>7000-3362.7</f>
        <v>3637.3</v>
      </c>
      <c r="G470" s="13">
        <v>0</v>
      </c>
      <c r="H470" s="13">
        <f t="shared" si="46"/>
        <v>0</v>
      </c>
    </row>
    <row r="471" spans="1:8" ht="63" x14ac:dyDescent="0.25">
      <c r="A471" s="12" t="s">
        <v>137</v>
      </c>
      <c r="B471" s="12" t="s">
        <v>135</v>
      </c>
      <c r="C471" s="39" t="s">
        <v>433</v>
      </c>
      <c r="D471" s="12"/>
      <c r="E471" s="36" t="s">
        <v>434</v>
      </c>
      <c r="F471" s="13">
        <f t="shared" ref="F471:G471" si="57">F472</f>
        <v>5985.2999999999993</v>
      </c>
      <c r="G471" s="13">
        <f t="shared" si="57"/>
        <v>5455.1</v>
      </c>
      <c r="H471" s="13">
        <f t="shared" si="46"/>
        <v>91.1</v>
      </c>
    </row>
    <row r="472" spans="1:8" ht="47.25" x14ac:dyDescent="0.25">
      <c r="A472" s="12" t="s">
        <v>137</v>
      </c>
      <c r="B472" s="12" t="s">
        <v>135</v>
      </c>
      <c r="C472" s="39" t="s">
        <v>433</v>
      </c>
      <c r="D472" s="12" t="s">
        <v>309</v>
      </c>
      <c r="E472" s="36" t="s">
        <v>310</v>
      </c>
      <c r="F472" s="13">
        <f>5634.9+350.4</f>
        <v>5985.2999999999993</v>
      </c>
      <c r="G472" s="13">
        <v>5455.1</v>
      </c>
      <c r="H472" s="13">
        <f t="shared" si="46"/>
        <v>91.1</v>
      </c>
    </row>
    <row r="473" spans="1:8" ht="47.25" x14ac:dyDescent="0.25">
      <c r="A473" s="12" t="s">
        <v>137</v>
      </c>
      <c r="B473" s="12" t="s">
        <v>135</v>
      </c>
      <c r="C473" s="39" t="s">
        <v>435</v>
      </c>
      <c r="D473" s="12"/>
      <c r="E473" s="36" t="s">
        <v>436</v>
      </c>
      <c r="F473" s="13">
        <f t="shared" ref="F473:G473" si="58">F474</f>
        <v>5993.3</v>
      </c>
      <c r="G473" s="13">
        <f t="shared" si="58"/>
        <v>616.29999999999995</v>
      </c>
      <c r="H473" s="13">
        <f t="shared" si="46"/>
        <v>10.3</v>
      </c>
    </row>
    <row r="474" spans="1:8" ht="47.25" x14ac:dyDescent="0.25">
      <c r="A474" s="12" t="s">
        <v>137</v>
      </c>
      <c r="B474" s="12" t="s">
        <v>135</v>
      </c>
      <c r="C474" s="39" t="s">
        <v>435</v>
      </c>
      <c r="D474" s="12" t="s">
        <v>309</v>
      </c>
      <c r="E474" s="36" t="s">
        <v>310</v>
      </c>
      <c r="F474" s="13">
        <f>5331.5+1012.2-350.4</f>
        <v>5993.3</v>
      </c>
      <c r="G474" s="13">
        <v>616.29999999999995</v>
      </c>
      <c r="H474" s="13">
        <f t="shared" si="46"/>
        <v>10.3</v>
      </c>
    </row>
    <row r="475" spans="1:8" ht="31.5" x14ac:dyDescent="0.25">
      <c r="A475" s="12" t="s">
        <v>137</v>
      </c>
      <c r="B475" s="12" t="s">
        <v>135</v>
      </c>
      <c r="C475" s="39">
        <v>9900000000</v>
      </c>
      <c r="D475" s="12"/>
      <c r="E475" s="36" t="s">
        <v>586</v>
      </c>
      <c r="F475" s="13">
        <f>F476</f>
        <v>93.600000000000009</v>
      </c>
      <c r="G475" s="13">
        <f>G476</f>
        <v>93.600000000000009</v>
      </c>
      <c r="H475" s="13">
        <f t="shared" si="46"/>
        <v>100</v>
      </c>
    </row>
    <row r="476" spans="1:8" ht="47.25" x14ac:dyDescent="0.25">
      <c r="A476" s="12" t="s">
        <v>137</v>
      </c>
      <c r="B476" s="12" t="s">
        <v>135</v>
      </c>
      <c r="C476" s="39">
        <v>9940000000</v>
      </c>
      <c r="D476" s="12"/>
      <c r="E476" s="36" t="s">
        <v>55</v>
      </c>
      <c r="F476" s="13">
        <f>F477</f>
        <v>93.600000000000009</v>
      </c>
      <c r="G476" s="13">
        <f>G477</f>
        <v>93.600000000000009</v>
      </c>
      <c r="H476" s="13">
        <f t="shared" si="46"/>
        <v>100</v>
      </c>
    </row>
    <row r="477" spans="1:8" ht="31.5" x14ac:dyDescent="0.25">
      <c r="A477" s="12" t="s">
        <v>137</v>
      </c>
      <c r="B477" s="12" t="s">
        <v>135</v>
      </c>
      <c r="C477" s="39" t="s">
        <v>587</v>
      </c>
      <c r="D477" s="12"/>
      <c r="E477" s="36" t="s">
        <v>588</v>
      </c>
      <c r="F477" s="13">
        <f>F478+F479</f>
        <v>93.600000000000009</v>
      </c>
      <c r="G477" s="13">
        <f>G478+G479</f>
        <v>93.600000000000009</v>
      </c>
      <c r="H477" s="13">
        <f t="shared" si="46"/>
        <v>100</v>
      </c>
    </row>
    <row r="478" spans="1:8" ht="47.25" x14ac:dyDescent="0.25">
      <c r="A478" s="12" t="s">
        <v>137</v>
      </c>
      <c r="B478" s="12" t="s">
        <v>135</v>
      </c>
      <c r="C478" s="39" t="s">
        <v>587</v>
      </c>
      <c r="D478" s="12" t="s">
        <v>309</v>
      </c>
      <c r="E478" s="36" t="s">
        <v>310</v>
      </c>
      <c r="F478" s="13">
        <v>85.9</v>
      </c>
      <c r="G478" s="13">
        <v>85.9</v>
      </c>
      <c r="H478" s="13">
        <f t="shared" si="46"/>
        <v>100</v>
      </c>
    </row>
    <row r="479" spans="1:8" x14ac:dyDescent="0.25">
      <c r="A479" s="12" t="s">
        <v>137</v>
      </c>
      <c r="B479" s="12" t="s">
        <v>135</v>
      </c>
      <c r="C479" s="39" t="s">
        <v>587</v>
      </c>
      <c r="D479" s="12" t="s">
        <v>313</v>
      </c>
      <c r="E479" s="36" t="s">
        <v>314</v>
      </c>
      <c r="F479" s="13">
        <v>7.7</v>
      </c>
      <c r="G479" s="13">
        <v>7.7</v>
      </c>
      <c r="H479" s="13">
        <f t="shared" si="46"/>
        <v>100</v>
      </c>
    </row>
    <row r="480" spans="1:8" x14ac:dyDescent="0.25">
      <c r="A480" s="12" t="s">
        <v>146</v>
      </c>
      <c r="B480" s="11"/>
      <c r="C480" s="11"/>
      <c r="D480" s="11"/>
      <c r="E480" s="31" t="s">
        <v>147</v>
      </c>
      <c r="F480" s="13">
        <f>F481+F498+F531+F569+F574+F603</f>
        <v>617381.4</v>
      </c>
      <c r="G480" s="13">
        <f>G481+G498+G531+G569+G574+G603</f>
        <v>427768.19999999995</v>
      </c>
      <c r="H480" s="13">
        <f t="shared" si="46"/>
        <v>69.3</v>
      </c>
    </row>
    <row r="481" spans="1:8" x14ac:dyDescent="0.25">
      <c r="A481" s="12" t="s">
        <v>146</v>
      </c>
      <c r="B481" s="12" t="s">
        <v>132</v>
      </c>
      <c r="C481" s="12"/>
      <c r="D481" s="12"/>
      <c r="E481" s="11" t="s">
        <v>149</v>
      </c>
      <c r="F481" s="13">
        <f>F482</f>
        <v>141633.4</v>
      </c>
      <c r="G481" s="13">
        <f>G482</f>
        <v>108359.59999999999</v>
      </c>
      <c r="H481" s="13">
        <f t="shared" si="46"/>
        <v>76.5</v>
      </c>
    </row>
    <row r="482" spans="1:8" ht="47.25" x14ac:dyDescent="0.25">
      <c r="A482" s="12" t="s">
        <v>146</v>
      </c>
      <c r="B482" s="12" t="s">
        <v>132</v>
      </c>
      <c r="C482" s="12" t="s">
        <v>116</v>
      </c>
      <c r="D482" s="12"/>
      <c r="E482" s="31" t="s">
        <v>439</v>
      </c>
      <c r="F482" s="13">
        <f t="shared" ref="F482:G482" si="59">F483</f>
        <v>141633.4</v>
      </c>
      <c r="G482" s="13">
        <f t="shared" si="59"/>
        <v>108359.59999999999</v>
      </c>
      <c r="H482" s="13">
        <f t="shared" si="46"/>
        <v>76.5</v>
      </c>
    </row>
    <row r="483" spans="1:8" ht="31.5" x14ac:dyDescent="0.25">
      <c r="A483" s="12" t="s">
        <v>146</v>
      </c>
      <c r="B483" s="12" t="s">
        <v>132</v>
      </c>
      <c r="C483" s="12" t="s">
        <v>117</v>
      </c>
      <c r="D483" s="12"/>
      <c r="E483" s="31" t="s">
        <v>61</v>
      </c>
      <c r="F483" s="13">
        <f>F484+F486+F488+F490+F492+F494+F496</f>
        <v>141633.4</v>
      </c>
      <c r="G483" s="13">
        <f>G484+G486+G488+G490+G492+G494+G496</f>
        <v>108359.59999999999</v>
      </c>
      <c r="H483" s="13">
        <f t="shared" si="46"/>
        <v>76.5</v>
      </c>
    </row>
    <row r="484" spans="1:8" ht="94.5" x14ac:dyDescent="0.25">
      <c r="A484" s="50" t="s">
        <v>146</v>
      </c>
      <c r="B484" s="50" t="s">
        <v>132</v>
      </c>
      <c r="C484" s="50" t="s">
        <v>440</v>
      </c>
      <c r="D484" s="12"/>
      <c r="E484" s="36" t="s">
        <v>357</v>
      </c>
      <c r="F484" s="13">
        <f t="shared" ref="F484:G484" si="60">F485</f>
        <v>59681.5</v>
      </c>
      <c r="G484" s="13">
        <f t="shared" si="60"/>
        <v>44819.199999999997</v>
      </c>
      <c r="H484" s="13">
        <f t="shared" si="46"/>
        <v>75.099999999999994</v>
      </c>
    </row>
    <row r="485" spans="1:8" x14ac:dyDescent="0.25">
      <c r="A485" s="50" t="s">
        <v>146</v>
      </c>
      <c r="B485" s="50" t="s">
        <v>132</v>
      </c>
      <c r="C485" s="50" t="s">
        <v>440</v>
      </c>
      <c r="D485" s="12" t="s">
        <v>325</v>
      </c>
      <c r="E485" s="36" t="s">
        <v>326</v>
      </c>
      <c r="F485" s="13">
        <f>58939.1+25+717.4</f>
        <v>59681.5</v>
      </c>
      <c r="G485" s="13">
        <v>44819.199999999997</v>
      </c>
      <c r="H485" s="13">
        <f t="shared" si="46"/>
        <v>75.099999999999994</v>
      </c>
    </row>
    <row r="486" spans="1:8" ht="94.5" x14ac:dyDescent="0.25">
      <c r="A486" s="50" t="s">
        <v>146</v>
      </c>
      <c r="B486" s="50" t="s">
        <v>132</v>
      </c>
      <c r="C486" s="50" t="s">
        <v>441</v>
      </c>
      <c r="D486" s="50"/>
      <c r="E486" s="36" t="s">
        <v>60</v>
      </c>
      <c r="F486" s="13">
        <f t="shared" ref="F486" si="61">F487</f>
        <v>78093.799999999988</v>
      </c>
      <c r="G486" s="13">
        <f t="shared" ref="G486" si="62">G487</f>
        <v>60292.7</v>
      </c>
      <c r="H486" s="13">
        <f t="shared" si="46"/>
        <v>77.2</v>
      </c>
    </row>
    <row r="487" spans="1:8" x14ac:dyDescent="0.25">
      <c r="A487" s="50" t="s">
        <v>146</v>
      </c>
      <c r="B487" s="50" t="s">
        <v>132</v>
      </c>
      <c r="C487" s="50" t="s">
        <v>441</v>
      </c>
      <c r="D487" s="12" t="s">
        <v>325</v>
      </c>
      <c r="E487" s="36" t="s">
        <v>326</v>
      </c>
      <c r="F487" s="13">
        <f>75533.4+2560.4</f>
        <v>78093.799999999988</v>
      </c>
      <c r="G487" s="13">
        <v>60292.7</v>
      </c>
      <c r="H487" s="13">
        <f t="shared" si="46"/>
        <v>77.2</v>
      </c>
    </row>
    <row r="488" spans="1:8" ht="78.75" x14ac:dyDescent="0.25">
      <c r="A488" s="50" t="s">
        <v>146</v>
      </c>
      <c r="B488" s="50" t="s">
        <v>132</v>
      </c>
      <c r="C488" s="50" t="s">
        <v>520</v>
      </c>
      <c r="D488" s="12"/>
      <c r="E488" s="38" t="s">
        <v>521</v>
      </c>
      <c r="F488" s="13">
        <f t="shared" ref="F488" si="63">F489</f>
        <v>915.3</v>
      </c>
      <c r="G488" s="13">
        <f>G489</f>
        <v>895.6</v>
      </c>
      <c r="H488" s="13">
        <f t="shared" ref="H488:H520" si="64">ROUND((G488/F488*100),1)</f>
        <v>97.8</v>
      </c>
    </row>
    <row r="489" spans="1:8" x14ac:dyDescent="0.25">
      <c r="A489" s="50" t="s">
        <v>146</v>
      </c>
      <c r="B489" s="50" t="s">
        <v>132</v>
      </c>
      <c r="C489" s="50" t="s">
        <v>520</v>
      </c>
      <c r="D489" s="12" t="s">
        <v>325</v>
      </c>
      <c r="E489" s="36" t="s">
        <v>326</v>
      </c>
      <c r="F489" s="13">
        <f>1020-104.7</f>
        <v>915.3</v>
      </c>
      <c r="G489" s="13">
        <v>895.6</v>
      </c>
      <c r="H489" s="13">
        <f t="shared" si="64"/>
        <v>97.8</v>
      </c>
    </row>
    <row r="490" spans="1:8" ht="60" customHeight="1" x14ac:dyDescent="0.25">
      <c r="A490" s="50" t="s">
        <v>146</v>
      </c>
      <c r="B490" s="50" t="s">
        <v>132</v>
      </c>
      <c r="C490" s="12" t="s">
        <v>518</v>
      </c>
      <c r="D490" s="12"/>
      <c r="E490" s="45" t="s">
        <v>519</v>
      </c>
      <c r="F490" s="13">
        <f>F491</f>
        <v>503.5</v>
      </c>
      <c r="G490" s="13">
        <f>G491</f>
        <v>503.4</v>
      </c>
      <c r="H490" s="13">
        <f t="shared" si="64"/>
        <v>100</v>
      </c>
    </row>
    <row r="491" spans="1:8" x14ac:dyDescent="0.25">
      <c r="A491" s="50" t="s">
        <v>146</v>
      </c>
      <c r="B491" s="50" t="s">
        <v>132</v>
      </c>
      <c r="C491" s="12" t="s">
        <v>518</v>
      </c>
      <c r="D491" s="12" t="s">
        <v>325</v>
      </c>
      <c r="E491" s="36" t="s">
        <v>326</v>
      </c>
      <c r="F491" s="13">
        <f>830-326.5</f>
        <v>503.5</v>
      </c>
      <c r="G491" s="13">
        <v>503.4</v>
      </c>
      <c r="H491" s="13">
        <f t="shared" si="64"/>
        <v>100</v>
      </c>
    </row>
    <row r="492" spans="1:8" ht="62.25" customHeight="1" x14ac:dyDescent="0.25">
      <c r="A492" s="50" t="s">
        <v>146</v>
      </c>
      <c r="B492" s="50" t="s">
        <v>132</v>
      </c>
      <c r="C492" s="12" t="s">
        <v>589</v>
      </c>
      <c r="D492" s="12"/>
      <c r="E492" s="38" t="s">
        <v>590</v>
      </c>
      <c r="F492" s="13">
        <f>F493</f>
        <v>2010.6000000000001</v>
      </c>
      <c r="G492" s="13">
        <f t="shared" ref="G492" si="65">G493</f>
        <v>1442.7</v>
      </c>
      <c r="H492" s="13">
        <f t="shared" si="64"/>
        <v>71.8</v>
      </c>
    </row>
    <row r="493" spans="1:8" x14ac:dyDescent="0.25">
      <c r="A493" s="50" t="s">
        <v>146</v>
      </c>
      <c r="B493" s="50" t="s">
        <v>132</v>
      </c>
      <c r="C493" s="12" t="s">
        <v>589</v>
      </c>
      <c r="D493" s="12" t="s">
        <v>325</v>
      </c>
      <c r="E493" s="36" t="s">
        <v>326</v>
      </c>
      <c r="F493" s="13">
        <f>3317.3-1306.7</f>
        <v>2010.6000000000001</v>
      </c>
      <c r="G493" s="13">
        <v>1442.7</v>
      </c>
      <c r="H493" s="13">
        <f t="shared" si="64"/>
        <v>71.8</v>
      </c>
    </row>
    <row r="494" spans="1:8" ht="59.25" customHeight="1" x14ac:dyDescent="0.25">
      <c r="A494" s="50" t="s">
        <v>146</v>
      </c>
      <c r="B494" s="50" t="s">
        <v>132</v>
      </c>
      <c r="C494" s="50" t="s">
        <v>700</v>
      </c>
      <c r="D494" s="12"/>
      <c r="E494" s="31" t="s">
        <v>701</v>
      </c>
      <c r="F494" s="13">
        <f>F495</f>
        <v>87</v>
      </c>
      <c r="G494" s="13">
        <f t="shared" ref="G494" si="66">G495</f>
        <v>86.9</v>
      </c>
      <c r="H494" s="13">
        <f t="shared" si="64"/>
        <v>99.9</v>
      </c>
    </row>
    <row r="495" spans="1:8" x14ac:dyDescent="0.25">
      <c r="A495" s="50" t="s">
        <v>146</v>
      </c>
      <c r="B495" s="50" t="s">
        <v>132</v>
      </c>
      <c r="C495" s="50" t="s">
        <v>700</v>
      </c>
      <c r="D495" s="12" t="s">
        <v>325</v>
      </c>
      <c r="E495" s="41" t="s">
        <v>326</v>
      </c>
      <c r="F495" s="13">
        <f>326.5-239.5</f>
        <v>87</v>
      </c>
      <c r="G495" s="13">
        <v>86.9</v>
      </c>
      <c r="H495" s="13">
        <f t="shared" si="64"/>
        <v>99.9</v>
      </c>
    </row>
    <row r="496" spans="1:8" ht="63" x14ac:dyDescent="0.25">
      <c r="A496" s="50" t="s">
        <v>146</v>
      </c>
      <c r="B496" s="50" t="s">
        <v>132</v>
      </c>
      <c r="C496" s="50" t="s">
        <v>591</v>
      </c>
      <c r="D496" s="12"/>
      <c r="E496" s="36" t="s">
        <v>592</v>
      </c>
      <c r="F496" s="13">
        <f>F497</f>
        <v>341.7</v>
      </c>
      <c r="G496" s="13">
        <f>SUM(G497:G497)</f>
        <v>319.10000000000002</v>
      </c>
      <c r="H496" s="13">
        <f t="shared" si="64"/>
        <v>93.4</v>
      </c>
    </row>
    <row r="497" spans="1:8" x14ac:dyDescent="0.25">
      <c r="A497" s="50" t="s">
        <v>146</v>
      </c>
      <c r="B497" s="50" t="s">
        <v>132</v>
      </c>
      <c r="C497" s="50" t="s">
        <v>591</v>
      </c>
      <c r="D497" s="12" t="s">
        <v>325</v>
      </c>
      <c r="E497" s="36" t="s">
        <v>326</v>
      </c>
      <c r="F497" s="13">
        <v>341.7</v>
      </c>
      <c r="G497" s="13">
        <v>319.10000000000002</v>
      </c>
      <c r="H497" s="13">
        <f t="shared" si="64"/>
        <v>93.4</v>
      </c>
    </row>
    <row r="498" spans="1:8" x14ac:dyDescent="0.25">
      <c r="A498" s="12" t="s">
        <v>146</v>
      </c>
      <c r="B498" s="12" t="s">
        <v>133</v>
      </c>
      <c r="C498" s="12"/>
      <c r="D498" s="12"/>
      <c r="E498" s="11" t="s">
        <v>150</v>
      </c>
      <c r="F498" s="13">
        <f>F499+F527</f>
        <v>400790.3</v>
      </c>
      <c r="G498" s="13">
        <f>G499+G527</f>
        <v>262531.19999999995</v>
      </c>
      <c r="H498" s="13">
        <f t="shared" si="64"/>
        <v>65.5</v>
      </c>
    </row>
    <row r="499" spans="1:8" ht="47.25" x14ac:dyDescent="0.25">
      <c r="A499" s="12" t="s">
        <v>146</v>
      </c>
      <c r="B499" s="12" t="s">
        <v>133</v>
      </c>
      <c r="C499" s="12" t="s">
        <v>116</v>
      </c>
      <c r="D499" s="12"/>
      <c r="E499" s="31" t="s">
        <v>439</v>
      </c>
      <c r="F499" s="13">
        <f t="shared" ref="F499:G499" si="67">F500</f>
        <v>400590.3</v>
      </c>
      <c r="G499" s="13">
        <f t="shared" si="67"/>
        <v>262381.19999999995</v>
      </c>
      <c r="H499" s="13">
        <f t="shared" si="64"/>
        <v>65.5</v>
      </c>
    </row>
    <row r="500" spans="1:8" ht="31.5" x14ac:dyDescent="0.25">
      <c r="A500" s="12" t="s">
        <v>146</v>
      </c>
      <c r="B500" s="12" t="s">
        <v>133</v>
      </c>
      <c r="C500" s="12" t="s">
        <v>117</v>
      </c>
      <c r="D500" s="12"/>
      <c r="E500" s="31" t="s">
        <v>61</v>
      </c>
      <c r="F500" s="13">
        <f>F501+F503+F505+F507+F509+F511+F513+F515+F517+F519+F521+F523+F525</f>
        <v>400590.3</v>
      </c>
      <c r="G500" s="13">
        <f>G501+G503+G505+G507+G509+G511+G513+G515+G517+G519+G521+G523+G525</f>
        <v>262381.19999999995</v>
      </c>
      <c r="H500" s="13">
        <f t="shared" si="64"/>
        <v>65.5</v>
      </c>
    </row>
    <row r="501" spans="1:8" ht="78.75" x14ac:dyDescent="0.25">
      <c r="A501" s="50" t="s">
        <v>146</v>
      </c>
      <c r="B501" s="50" t="s">
        <v>133</v>
      </c>
      <c r="C501" s="50" t="s">
        <v>593</v>
      </c>
      <c r="D501" s="12"/>
      <c r="E501" s="36" t="s">
        <v>594</v>
      </c>
      <c r="F501" s="13">
        <f t="shared" ref="F501:G501" si="68">F502</f>
        <v>16014.6</v>
      </c>
      <c r="G501" s="13">
        <f t="shared" si="68"/>
        <v>11242.6</v>
      </c>
      <c r="H501" s="13">
        <f t="shared" si="64"/>
        <v>70.2</v>
      </c>
    </row>
    <row r="502" spans="1:8" x14ac:dyDescent="0.25">
      <c r="A502" s="50" t="s">
        <v>146</v>
      </c>
      <c r="B502" s="50" t="s">
        <v>133</v>
      </c>
      <c r="C502" s="50" t="s">
        <v>593</v>
      </c>
      <c r="D502" s="12" t="s">
        <v>325</v>
      </c>
      <c r="E502" s="36" t="s">
        <v>326</v>
      </c>
      <c r="F502" s="13">
        <v>16014.6</v>
      </c>
      <c r="G502" s="13">
        <v>11242.6</v>
      </c>
      <c r="H502" s="13">
        <f t="shared" si="64"/>
        <v>70.2</v>
      </c>
    </row>
    <row r="503" spans="1:8" ht="78.75" x14ac:dyDescent="0.25">
      <c r="A503" s="50" t="s">
        <v>146</v>
      </c>
      <c r="B503" s="50" t="s">
        <v>133</v>
      </c>
      <c r="C503" s="12" t="s">
        <v>443</v>
      </c>
      <c r="D503" s="12"/>
      <c r="E503" s="45" t="s">
        <v>358</v>
      </c>
      <c r="F503" s="13">
        <f>F504</f>
        <v>198.79999999999995</v>
      </c>
      <c r="G503" s="13">
        <f t="shared" ref="G503" si="69">G504</f>
        <v>198.8</v>
      </c>
      <c r="H503" s="13">
        <f t="shared" si="64"/>
        <v>100</v>
      </c>
    </row>
    <row r="504" spans="1:8" x14ac:dyDescent="0.25">
      <c r="A504" s="50" t="s">
        <v>146</v>
      </c>
      <c r="B504" s="50" t="s">
        <v>133</v>
      </c>
      <c r="C504" s="12" t="s">
        <v>443</v>
      </c>
      <c r="D504" s="12" t="s">
        <v>325</v>
      </c>
      <c r="E504" s="36" t="s">
        <v>326</v>
      </c>
      <c r="F504" s="13">
        <f>1676.5-113.2-1364.5</f>
        <v>198.79999999999995</v>
      </c>
      <c r="G504" s="13">
        <v>198.8</v>
      </c>
      <c r="H504" s="13">
        <f t="shared" si="64"/>
        <v>100</v>
      </c>
    </row>
    <row r="505" spans="1:8" ht="63" x14ac:dyDescent="0.25">
      <c r="A505" s="12" t="s">
        <v>146</v>
      </c>
      <c r="B505" s="12" t="s">
        <v>133</v>
      </c>
      <c r="C505" s="12" t="s">
        <v>522</v>
      </c>
      <c r="D505" s="50"/>
      <c r="E505" s="45" t="s">
        <v>523</v>
      </c>
      <c r="F505" s="13">
        <f t="shared" ref="F505" si="70">F506</f>
        <v>794.39999999999986</v>
      </c>
      <c r="G505" s="13">
        <f t="shared" ref="G505" si="71">G506</f>
        <v>0</v>
      </c>
      <c r="H505" s="13">
        <f t="shared" si="64"/>
        <v>0</v>
      </c>
    </row>
    <row r="506" spans="1:8" x14ac:dyDescent="0.25">
      <c r="A506" s="12" t="s">
        <v>146</v>
      </c>
      <c r="B506" s="12" t="s">
        <v>133</v>
      </c>
      <c r="C506" s="12" t="s">
        <v>522</v>
      </c>
      <c r="D506" s="12" t="s">
        <v>325</v>
      </c>
      <c r="E506" s="36" t="s">
        <v>326</v>
      </c>
      <c r="F506" s="13">
        <f>1247.1-452.7</f>
        <v>794.39999999999986</v>
      </c>
      <c r="G506" s="13">
        <v>0</v>
      </c>
      <c r="H506" s="13">
        <f t="shared" si="64"/>
        <v>0</v>
      </c>
    </row>
    <row r="507" spans="1:8" ht="94.5" x14ac:dyDescent="0.25">
      <c r="A507" s="12" t="s">
        <v>146</v>
      </c>
      <c r="B507" s="12" t="s">
        <v>133</v>
      </c>
      <c r="C507" s="50" t="s">
        <v>444</v>
      </c>
      <c r="D507" s="12"/>
      <c r="E507" s="36" t="s">
        <v>173</v>
      </c>
      <c r="F507" s="13">
        <f t="shared" ref="F507" si="72">F508</f>
        <v>15127.4</v>
      </c>
      <c r="G507" s="13">
        <f t="shared" ref="G507" si="73">G508</f>
        <v>10751.7</v>
      </c>
      <c r="H507" s="13">
        <f t="shared" si="64"/>
        <v>71.099999999999994</v>
      </c>
    </row>
    <row r="508" spans="1:8" x14ac:dyDescent="0.25">
      <c r="A508" s="12" t="s">
        <v>146</v>
      </c>
      <c r="B508" s="12" t="s">
        <v>133</v>
      </c>
      <c r="C508" s="50" t="s">
        <v>444</v>
      </c>
      <c r="D508" s="12" t="s">
        <v>325</v>
      </c>
      <c r="E508" s="36" t="s">
        <v>326</v>
      </c>
      <c r="F508" s="13">
        <v>15127.4</v>
      </c>
      <c r="G508" s="13">
        <v>10751.7</v>
      </c>
      <c r="H508" s="13">
        <f t="shared" si="64"/>
        <v>71.099999999999994</v>
      </c>
    </row>
    <row r="509" spans="1:8" ht="78.75" x14ac:dyDescent="0.25">
      <c r="A509" s="12" t="s">
        <v>146</v>
      </c>
      <c r="B509" s="12" t="s">
        <v>133</v>
      </c>
      <c r="C509" s="50" t="s">
        <v>445</v>
      </c>
      <c r="D509" s="12"/>
      <c r="E509" s="36" t="s">
        <v>360</v>
      </c>
      <c r="F509" s="13">
        <f t="shared" ref="F509" si="74">F510</f>
        <v>73723.600000000006</v>
      </c>
      <c r="G509" s="22">
        <f t="shared" ref="G509" si="75">G510</f>
        <v>59791.8</v>
      </c>
      <c r="H509" s="13">
        <f t="shared" si="64"/>
        <v>81.099999999999994</v>
      </c>
    </row>
    <row r="510" spans="1:8" x14ac:dyDescent="0.25">
      <c r="A510" s="12" t="s">
        <v>146</v>
      </c>
      <c r="B510" s="12" t="s">
        <v>133</v>
      </c>
      <c r="C510" s="50" t="s">
        <v>445</v>
      </c>
      <c r="D510" s="12" t="s">
        <v>325</v>
      </c>
      <c r="E510" s="36" t="s">
        <v>326</v>
      </c>
      <c r="F510" s="13">
        <f>74196.9+368-1468.4+627.1</f>
        <v>73723.600000000006</v>
      </c>
      <c r="G510" s="13">
        <v>59791.8</v>
      </c>
      <c r="H510" s="13">
        <f t="shared" si="64"/>
        <v>81.099999999999994</v>
      </c>
    </row>
    <row r="511" spans="1:8" ht="78.75" x14ac:dyDescent="0.25">
      <c r="A511" s="12" t="s">
        <v>146</v>
      </c>
      <c r="B511" s="12" t="s">
        <v>133</v>
      </c>
      <c r="C511" s="50" t="s">
        <v>446</v>
      </c>
      <c r="D511" s="12"/>
      <c r="E511" s="36" t="s">
        <v>361</v>
      </c>
      <c r="F511" s="13">
        <f t="shared" ref="F511" si="76">F512</f>
        <v>211989.7</v>
      </c>
      <c r="G511" s="22">
        <f>G512</f>
        <v>163134.70000000001</v>
      </c>
      <c r="H511" s="13">
        <f t="shared" si="64"/>
        <v>77</v>
      </c>
    </row>
    <row r="512" spans="1:8" x14ac:dyDescent="0.25">
      <c r="A512" s="12" t="s">
        <v>146</v>
      </c>
      <c r="B512" s="12" t="s">
        <v>133</v>
      </c>
      <c r="C512" s="50" t="s">
        <v>446</v>
      </c>
      <c r="D512" s="12" t="s">
        <v>325</v>
      </c>
      <c r="E512" s="36" t="s">
        <v>326</v>
      </c>
      <c r="F512" s="13">
        <f>193610.4+12075.7+6303.6</f>
        <v>211989.7</v>
      </c>
      <c r="G512" s="13">
        <v>163134.70000000001</v>
      </c>
      <c r="H512" s="13">
        <f t="shared" si="64"/>
        <v>77</v>
      </c>
    </row>
    <row r="513" spans="1:8" ht="47.25" x14ac:dyDescent="0.25">
      <c r="A513" s="12" t="s">
        <v>146</v>
      </c>
      <c r="B513" s="12" t="s">
        <v>133</v>
      </c>
      <c r="C513" s="50" t="s">
        <v>447</v>
      </c>
      <c r="D513" s="12"/>
      <c r="E513" s="36" t="s">
        <v>359</v>
      </c>
      <c r="F513" s="13">
        <f t="shared" ref="F513" si="77">F514</f>
        <v>4827.3</v>
      </c>
      <c r="G513" s="22">
        <f>G514</f>
        <v>3186</v>
      </c>
      <c r="H513" s="13">
        <f t="shared" si="64"/>
        <v>66</v>
      </c>
    </row>
    <row r="514" spans="1:8" x14ac:dyDescent="0.25">
      <c r="A514" s="12" t="s">
        <v>146</v>
      </c>
      <c r="B514" s="12" t="s">
        <v>133</v>
      </c>
      <c r="C514" s="50" t="s">
        <v>447</v>
      </c>
      <c r="D514" s="12" t="s">
        <v>325</v>
      </c>
      <c r="E514" s="36" t="s">
        <v>326</v>
      </c>
      <c r="F514" s="13">
        <v>4827.3</v>
      </c>
      <c r="G514" s="13">
        <v>3186</v>
      </c>
      <c r="H514" s="13">
        <f t="shared" si="64"/>
        <v>66</v>
      </c>
    </row>
    <row r="515" spans="1:8" ht="78.75" x14ac:dyDescent="0.25">
      <c r="A515" s="12" t="s">
        <v>146</v>
      </c>
      <c r="B515" s="12" t="s">
        <v>133</v>
      </c>
      <c r="C515" s="50" t="s">
        <v>524</v>
      </c>
      <c r="D515" s="50"/>
      <c r="E515" s="38" t="s">
        <v>525</v>
      </c>
      <c r="F515" s="13">
        <f t="shared" ref="F515" si="78">F516</f>
        <v>1699</v>
      </c>
      <c r="G515" s="22">
        <f>G516</f>
        <v>1571.4</v>
      </c>
      <c r="H515" s="13">
        <f t="shared" si="64"/>
        <v>92.5</v>
      </c>
    </row>
    <row r="516" spans="1:8" x14ac:dyDescent="0.25">
      <c r="A516" s="12" t="s">
        <v>146</v>
      </c>
      <c r="B516" s="12" t="s">
        <v>133</v>
      </c>
      <c r="C516" s="50" t="s">
        <v>524</v>
      </c>
      <c r="D516" s="12" t="s">
        <v>325</v>
      </c>
      <c r="E516" s="36" t="s">
        <v>326</v>
      </c>
      <c r="F516" s="13">
        <f>2030-331</f>
        <v>1699</v>
      </c>
      <c r="G516" s="22">
        <v>1571.4</v>
      </c>
      <c r="H516" s="13">
        <f t="shared" si="64"/>
        <v>92.5</v>
      </c>
    </row>
    <row r="517" spans="1:8" ht="94.5" x14ac:dyDescent="0.25">
      <c r="A517" s="12" t="s">
        <v>146</v>
      </c>
      <c r="B517" s="12" t="s">
        <v>133</v>
      </c>
      <c r="C517" s="50" t="s">
        <v>722</v>
      </c>
      <c r="D517" s="50"/>
      <c r="E517" s="36" t="s">
        <v>723</v>
      </c>
      <c r="F517" s="13">
        <f>F518</f>
        <v>44.5</v>
      </c>
      <c r="G517" s="13">
        <f>G518</f>
        <v>44.5</v>
      </c>
      <c r="H517" s="13">
        <f t="shared" si="64"/>
        <v>100</v>
      </c>
    </row>
    <row r="518" spans="1:8" x14ac:dyDescent="0.25">
      <c r="A518" s="12" t="s">
        <v>146</v>
      </c>
      <c r="B518" s="12" t="s">
        <v>133</v>
      </c>
      <c r="C518" s="50" t="s">
        <v>722</v>
      </c>
      <c r="D518" s="12" t="s">
        <v>325</v>
      </c>
      <c r="E518" s="36" t="s">
        <v>326</v>
      </c>
      <c r="F518" s="13">
        <v>44.5</v>
      </c>
      <c r="G518" s="13">
        <v>44.5</v>
      </c>
      <c r="H518" s="13">
        <f t="shared" si="64"/>
        <v>100</v>
      </c>
    </row>
    <row r="519" spans="1:8" ht="63" x14ac:dyDescent="0.25">
      <c r="A519" s="12" t="s">
        <v>146</v>
      </c>
      <c r="B519" s="12" t="s">
        <v>133</v>
      </c>
      <c r="C519" s="50" t="s">
        <v>595</v>
      </c>
      <c r="D519" s="12"/>
      <c r="E519" s="36" t="s">
        <v>596</v>
      </c>
      <c r="F519" s="13">
        <f>F520</f>
        <v>508.8</v>
      </c>
      <c r="G519" s="13">
        <f>G520</f>
        <v>439.3</v>
      </c>
      <c r="H519" s="13">
        <f t="shared" si="64"/>
        <v>86.3</v>
      </c>
    </row>
    <row r="520" spans="1:8" x14ac:dyDescent="0.25">
      <c r="A520" s="12" t="s">
        <v>146</v>
      </c>
      <c r="B520" s="12" t="s">
        <v>133</v>
      </c>
      <c r="C520" s="50" t="s">
        <v>595</v>
      </c>
      <c r="D520" s="12" t="s">
        <v>325</v>
      </c>
      <c r="E520" s="36" t="s">
        <v>326</v>
      </c>
      <c r="F520" s="13">
        <v>508.8</v>
      </c>
      <c r="G520" s="13">
        <v>439.3</v>
      </c>
      <c r="H520" s="13">
        <f t="shared" si="64"/>
        <v>86.3</v>
      </c>
    </row>
    <row r="521" spans="1:8" ht="63" x14ac:dyDescent="0.25">
      <c r="A521" s="12" t="s">
        <v>146</v>
      </c>
      <c r="B521" s="12" t="s">
        <v>133</v>
      </c>
      <c r="C521" s="50" t="s">
        <v>597</v>
      </c>
      <c r="D521" s="12"/>
      <c r="E521" s="38" t="s">
        <v>598</v>
      </c>
      <c r="F521" s="13">
        <f>F522</f>
        <v>33597.4</v>
      </c>
      <c r="G521" s="13">
        <f>G522</f>
        <v>3997.4</v>
      </c>
      <c r="H521" s="13">
        <f t="shared" ref="H521" si="79">H522</f>
        <v>200</v>
      </c>
    </row>
    <row r="522" spans="1:8" x14ac:dyDescent="0.25">
      <c r="A522" s="12" t="s">
        <v>146</v>
      </c>
      <c r="B522" s="12" t="s">
        <v>133</v>
      </c>
      <c r="C522" s="50" t="s">
        <v>597</v>
      </c>
      <c r="D522" s="12" t="s">
        <v>325</v>
      </c>
      <c r="E522" s="36" t="s">
        <v>326</v>
      </c>
      <c r="F522" s="13">
        <f>4500-393+113.2-408.8+29600+186</f>
        <v>33597.4</v>
      </c>
      <c r="G522" s="13">
        <v>3997.4</v>
      </c>
      <c r="H522" s="13">
        <f t="shared" ref="H522" si="80">H523+H525</f>
        <v>200</v>
      </c>
    </row>
    <row r="523" spans="1:8" ht="94.5" x14ac:dyDescent="0.25">
      <c r="A523" s="12" t="s">
        <v>146</v>
      </c>
      <c r="B523" s="12" t="s">
        <v>133</v>
      </c>
      <c r="C523" s="50" t="s">
        <v>724</v>
      </c>
      <c r="D523" s="50"/>
      <c r="E523" s="38" t="s">
        <v>725</v>
      </c>
      <c r="F523" s="13">
        <f>F524</f>
        <v>24484.3</v>
      </c>
      <c r="G523" s="13">
        <f>G524</f>
        <v>0</v>
      </c>
      <c r="H523" s="13">
        <f t="shared" ref="H523:H538" si="81">H524</f>
        <v>100</v>
      </c>
    </row>
    <row r="524" spans="1:8" x14ac:dyDescent="0.25">
      <c r="A524" s="12" t="s">
        <v>146</v>
      </c>
      <c r="B524" s="12" t="s">
        <v>133</v>
      </c>
      <c r="C524" s="50" t="s">
        <v>724</v>
      </c>
      <c r="D524" s="12" t="s">
        <v>325</v>
      </c>
      <c r="E524" s="36" t="s">
        <v>326</v>
      </c>
      <c r="F524" s="13">
        <f>2448.5+22035.8</f>
        <v>24484.3</v>
      </c>
      <c r="G524" s="13">
        <v>0</v>
      </c>
      <c r="H524" s="13">
        <f t="shared" si="81"/>
        <v>100</v>
      </c>
    </row>
    <row r="525" spans="1:8" ht="78.75" x14ac:dyDescent="0.25">
      <c r="A525" s="12" t="s">
        <v>146</v>
      </c>
      <c r="B525" s="12" t="s">
        <v>133</v>
      </c>
      <c r="C525" s="50" t="s">
        <v>599</v>
      </c>
      <c r="D525" s="50"/>
      <c r="E525" s="36" t="s">
        <v>600</v>
      </c>
      <c r="F525" s="13">
        <f t="shared" ref="F525:G525" si="82">F526</f>
        <v>17580.5</v>
      </c>
      <c r="G525" s="13">
        <f t="shared" si="82"/>
        <v>8023</v>
      </c>
      <c r="H525" s="13">
        <f t="shared" si="81"/>
        <v>100</v>
      </c>
    </row>
    <row r="526" spans="1:8" x14ac:dyDescent="0.25">
      <c r="A526" s="12" t="s">
        <v>146</v>
      </c>
      <c r="B526" s="12" t="s">
        <v>133</v>
      </c>
      <c r="C526" s="50" t="s">
        <v>599</v>
      </c>
      <c r="D526" s="50" t="s">
        <v>325</v>
      </c>
      <c r="E526" s="36" t="s">
        <v>326</v>
      </c>
      <c r="F526" s="13">
        <f>1530.1+15822.5+227.9</f>
        <v>17580.5</v>
      </c>
      <c r="G526" s="13">
        <v>8023</v>
      </c>
      <c r="H526" s="13">
        <f t="shared" si="81"/>
        <v>100</v>
      </c>
    </row>
    <row r="527" spans="1:8" ht="31.5" x14ac:dyDescent="0.25">
      <c r="A527" s="12" t="s">
        <v>146</v>
      </c>
      <c r="B527" s="12" t="s">
        <v>133</v>
      </c>
      <c r="C527" s="33">
        <v>9900000000</v>
      </c>
      <c r="D527" s="12"/>
      <c r="E527" s="37" t="s">
        <v>179</v>
      </c>
      <c r="F527" s="13">
        <f t="shared" ref="F527:G527" si="83">F528</f>
        <v>200</v>
      </c>
      <c r="G527" s="13">
        <f t="shared" si="83"/>
        <v>150</v>
      </c>
      <c r="H527" s="13">
        <f t="shared" si="81"/>
        <v>100</v>
      </c>
    </row>
    <row r="528" spans="1:8" ht="47.25" x14ac:dyDescent="0.25">
      <c r="A528" s="12" t="s">
        <v>146</v>
      </c>
      <c r="B528" s="12" t="s">
        <v>133</v>
      </c>
      <c r="C528" s="12" t="s">
        <v>34</v>
      </c>
      <c r="D528" s="12"/>
      <c r="E528" s="31" t="s">
        <v>55</v>
      </c>
      <c r="F528" s="13">
        <f>F529</f>
        <v>200</v>
      </c>
      <c r="G528" s="13">
        <f>G529</f>
        <v>150</v>
      </c>
      <c r="H528" s="13">
        <f t="shared" si="81"/>
        <v>100</v>
      </c>
    </row>
    <row r="529" spans="1:8" ht="63" x14ac:dyDescent="0.25">
      <c r="A529" s="12" t="s">
        <v>146</v>
      </c>
      <c r="B529" s="12" t="s">
        <v>133</v>
      </c>
      <c r="C529" s="12" t="s">
        <v>442</v>
      </c>
      <c r="D529" s="12"/>
      <c r="E529" s="35" t="s">
        <v>426</v>
      </c>
      <c r="F529" s="13">
        <f>SUM(F530:F530)</f>
        <v>200</v>
      </c>
      <c r="G529" s="13">
        <f>SUM(G530:G530)</f>
        <v>150</v>
      </c>
      <c r="H529" s="13">
        <f t="shared" si="81"/>
        <v>100</v>
      </c>
    </row>
    <row r="530" spans="1:8" x14ac:dyDescent="0.25">
      <c r="A530" s="12" t="s">
        <v>146</v>
      </c>
      <c r="B530" s="12" t="s">
        <v>133</v>
      </c>
      <c r="C530" s="12" t="s">
        <v>442</v>
      </c>
      <c r="D530" s="12" t="s">
        <v>325</v>
      </c>
      <c r="E530" s="36" t="s">
        <v>326</v>
      </c>
      <c r="F530" s="13">
        <v>200</v>
      </c>
      <c r="G530" s="13">
        <v>150</v>
      </c>
      <c r="H530" s="13">
        <f t="shared" si="81"/>
        <v>100</v>
      </c>
    </row>
    <row r="531" spans="1:8" x14ac:dyDescent="0.25">
      <c r="A531" s="12" t="s">
        <v>146</v>
      </c>
      <c r="B531" s="12" t="s">
        <v>135</v>
      </c>
      <c r="C531" s="12"/>
      <c r="D531" s="12"/>
      <c r="E531" s="11" t="s">
        <v>199</v>
      </c>
      <c r="F531" s="13">
        <f>F532+F551+F565</f>
        <v>55587.3</v>
      </c>
      <c r="G531" s="13">
        <f>G532+G551+G565</f>
        <v>41965.9</v>
      </c>
      <c r="H531" s="13">
        <f t="shared" si="81"/>
        <v>100</v>
      </c>
    </row>
    <row r="532" spans="1:8" ht="47.25" x14ac:dyDescent="0.25">
      <c r="A532" s="12" t="s">
        <v>146</v>
      </c>
      <c r="B532" s="12" t="s">
        <v>135</v>
      </c>
      <c r="C532" s="12" t="s">
        <v>116</v>
      </c>
      <c r="D532" s="12"/>
      <c r="E532" s="31" t="s">
        <v>439</v>
      </c>
      <c r="F532" s="13">
        <f>F533+F548</f>
        <v>40281.9</v>
      </c>
      <c r="G532" s="13">
        <f>G533+G548</f>
        <v>29882.100000000002</v>
      </c>
      <c r="H532" s="13">
        <f t="shared" si="81"/>
        <v>100</v>
      </c>
    </row>
    <row r="533" spans="1:8" ht="31.5" x14ac:dyDescent="0.25">
      <c r="A533" s="12" t="s">
        <v>146</v>
      </c>
      <c r="B533" s="12" t="s">
        <v>135</v>
      </c>
      <c r="C533" s="12" t="s">
        <v>117</v>
      </c>
      <c r="D533" s="12"/>
      <c r="E533" s="31" t="s">
        <v>61</v>
      </c>
      <c r="F533" s="13">
        <f>F534+F536+F538+F540+F542+F544+F546</f>
        <v>40231.9</v>
      </c>
      <c r="G533" s="13">
        <f>G534+G536+G538+G540+G542+G544+G546</f>
        <v>29855.200000000001</v>
      </c>
      <c r="H533" s="13">
        <f t="shared" si="81"/>
        <v>100</v>
      </c>
    </row>
    <row r="534" spans="1:8" ht="47.25" x14ac:dyDescent="0.25">
      <c r="A534" s="12" t="s">
        <v>146</v>
      </c>
      <c r="B534" s="12" t="s">
        <v>135</v>
      </c>
      <c r="C534" s="50" t="s">
        <v>448</v>
      </c>
      <c r="D534" s="50"/>
      <c r="E534" s="36" t="s">
        <v>237</v>
      </c>
      <c r="F534" s="13">
        <f t="shared" ref="F534:G534" si="84">F535</f>
        <v>250</v>
      </c>
      <c r="G534" s="13">
        <f t="shared" si="84"/>
        <v>250</v>
      </c>
      <c r="H534" s="13">
        <f t="shared" si="81"/>
        <v>100</v>
      </c>
    </row>
    <row r="535" spans="1:8" x14ac:dyDescent="0.25">
      <c r="A535" s="12" t="s">
        <v>146</v>
      </c>
      <c r="B535" s="12" t="s">
        <v>135</v>
      </c>
      <c r="C535" s="50" t="s">
        <v>448</v>
      </c>
      <c r="D535" s="12" t="s">
        <v>325</v>
      </c>
      <c r="E535" s="36" t="s">
        <v>326</v>
      </c>
      <c r="F535" s="13">
        <v>250</v>
      </c>
      <c r="G535" s="13">
        <v>250</v>
      </c>
      <c r="H535" s="13">
        <f t="shared" si="81"/>
        <v>100</v>
      </c>
    </row>
    <row r="536" spans="1:8" ht="63" x14ac:dyDescent="0.25">
      <c r="A536" s="12" t="s">
        <v>146</v>
      </c>
      <c r="B536" s="12" t="s">
        <v>135</v>
      </c>
      <c r="C536" s="50" t="s">
        <v>526</v>
      </c>
      <c r="D536" s="12"/>
      <c r="E536" s="35" t="s">
        <v>527</v>
      </c>
      <c r="F536" s="13">
        <f t="shared" ref="F536" si="85">F537</f>
        <v>530</v>
      </c>
      <c r="G536" s="13">
        <f t="shared" ref="G536" si="86">G537</f>
        <v>368.2</v>
      </c>
      <c r="H536" s="13">
        <f t="shared" si="81"/>
        <v>100</v>
      </c>
    </row>
    <row r="537" spans="1:8" x14ac:dyDescent="0.25">
      <c r="A537" s="12" t="s">
        <v>146</v>
      </c>
      <c r="B537" s="12" t="s">
        <v>135</v>
      </c>
      <c r="C537" s="50" t="s">
        <v>526</v>
      </c>
      <c r="D537" s="12" t="s">
        <v>325</v>
      </c>
      <c r="E537" s="36" t="s">
        <v>326</v>
      </c>
      <c r="F537" s="13">
        <v>530</v>
      </c>
      <c r="G537" s="13">
        <v>368.2</v>
      </c>
      <c r="H537" s="13">
        <f t="shared" si="81"/>
        <v>100</v>
      </c>
    </row>
    <row r="538" spans="1:8" ht="94.5" x14ac:dyDescent="0.25">
      <c r="A538" s="12" t="s">
        <v>146</v>
      </c>
      <c r="B538" s="12" t="s">
        <v>135</v>
      </c>
      <c r="C538" s="50" t="s">
        <v>449</v>
      </c>
      <c r="D538" s="12"/>
      <c r="E538" s="36" t="s">
        <v>362</v>
      </c>
      <c r="F538" s="13">
        <f t="shared" ref="F538:G538" si="87">F539</f>
        <v>33673.4</v>
      </c>
      <c r="G538" s="13">
        <f t="shared" si="87"/>
        <v>24027.4</v>
      </c>
      <c r="H538" s="13">
        <f t="shared" si="81"/>
        <v>100</v>
      </c>
    </row>
    <row r="539" spans="1:8" x14ac:dyDescent="0.25">
      <c r="A539" s="12" t="s">
        <v>146</v>
      </c>
      <c r="B539" s="12" t="s">
        <v>135</v>
      </c>
      <c r="C539" s="50" t="s">
        <v>449</v>
      </c>
      <c r="D539" s="12" t="s">
        <v>325</v>
      </c>
      <c r="E539" s="36" t="s">
        <v>326</v>
      </c>
      <c r="F539" s="13">
        <f>33248.3-1.1-50+476.2</f>
        <v>33673.4</v>
      </c>
      <c r="G539" s="13">
        <v>24027.4</v>
      </c>
      <c r="H539" s="13">
        <f t="shared" ref="H539:H558" si="88">H540</f>
        <v>100</v>
      </c>
    </row>
    <row r="540" spans="1:8" ht="111" customHeight="1" x14ac:dyDescent="0.25">
      <c r="A540" s="12" t="s">
        <v>146</v>
      </c>
      <c r="B540" s="12" t="s">
        <v>135</v>
      </c>
      <c r="C540" s="50" t="s">
        <v>450</v>
      </c>
      <c r="D540" s="12"/>
      <c r="E540" s="36" t="s">
        <v>363</v>
      </c>
      <c r="F540" s="13">
        <f t="shared" ref="F540:G540" si="89">F541</f>
        <v>5124.5</v>
      </c>
      <c r="G540" s="13">
        <f t="shared" si="89"/>
        <v>4615.3999999999996</v>
      </c>
      <c r="H540" s="13">
        <f t="shared" si="88"/>
        <v>100</v>
      </c>
    </row>
    <row r="541" spans="1:8" x14ac:dyDescent="0.25">
      <c r="A541" s="12" t="s">
        <v>146</v>
      </c>
      <c r="B541" s="12" t="s">
        <v>135</v>
      </c>
      <c r="C541" s="50" t="s">
        <v>450</v>
      </c>
      <c r="D541" s="12" t="s">
        <v>325</v>
      </c>
      <c r="E541" s="36" t="s">
        <v>326</v>
      </c>
      <c r="F541" s="13">
        <f>4615.4+509.1</f>
        <v>5124.5</v>
      </c>
      <c r="G541" s="13">
        <v>4615.3999999999996</v>
      </c>
      <c r="H541" s="13">
        <f t="shared" si="88"/>
        <v>100</v>
      </c>
    </row>
    <row r="542" spans="1:8" ht="47.25" x14ac:dyDescent="0.25">
      <c r="A542" s="44" t="s">
        <v>146</v>
      </c>
      <c r="B542" s="44" t="s">
        <v>135</v>
      </c>
      <c r="C542" s="51" t="s">
        <v>451</v>
      </c>
      <c r="D542" s="44"/>
      <c r="E542" s="36" t="s">
        <v>452</v>
      </c>
      <c r="F542" s="22">
        <f t="shared" ref="F542:G542" si="90">F543</f>
        <v>47.300000000000004</v>
      </c>
      <c r="G542" s="22">
        <f t="shared" si="90"/>
        <v>47.3</v>
      </c>
      <c r="H542" s="13">
        <f t="shared" si="88"/>
        <v>100</v>
      </c>
    </row>
    <row r="543" spans="1:8" x14ac:dyDescent="0.25">
      <c r="A543" s="44" t="s">
        <v>146</v>
      </c>
      <c r="B543" s="44" t="s">
        <v>135</v>
      </c>
      <c r="C543" s="51" t="s">
        <v>451</v>
      </c>
      <c r="D543" s="44" t="s">
        <v>325</v>
      </c>
      <c r="E543" s="36" t="s">
        <v>326</v>
      </c>
      <c r="F543" s="22">
        <f>46.2+1.1</f>
        <v>47.300000000000004</v>
      </c>
      <c r="G543" s="13">
        <v>47.3</v>
      </c>
      <c r="H543" s="13">
        <f t="shared" si="88"/>
        <v>100</v>
      </c>
    </row>
    <row r="544" spans="1:8" ht="78.75" x14ac:dyDescent="0.25">
      <c r="A544" s="12" t="s">
        <v>146</v>
      </c>
      <c r="B544" s="12" t="s">
        <v>135</v>
      </c>
      <c r="C544" s="50" t="s">
        <v>601</v>
      </c>
      <c r="D544" s="50"/>
      <c r="E544" s="38" t="s">
        <v>602</v>
      </c>
      <c r="F544" s="22">
        <f>F545</f>
        <v>457.2</v>
      </c>
      <c r="G544" s="22">
        <f>G545</f>
        <v>457.2</v>
      </c>
      <c r="H544" s="13">
        <f t="shared" si="88"/>
        <v>100</v>
      </c>
    </row>
    <row r="545" spans="1:8" x14ac:dyDescent="0.25">
      <c r="A545" s="12" t="s">
        <v>146</v>
      </c>
      <c r="B545" s="12" t="s">
        <v>135</v>
      </c>
      <c r="C545" s="50" t="s">
        <v>601</v>
      </c>
      <c r="D545" s="12" t="s">
        <v>325</v>
      </c>
      <c r="E545" s="36" t="s">
        <v>326</v>
      </c>
      <c r="F545" s="22">
        <v>457.2</v>
      </c>
      <c r="G545" s="22">
        <v>457.2</v>
      </c>
      <c r="H545" s="13">
        <f t="shared" si="88"/>
        <v>100</v>
      </c>
    </row>
    <row r="546" spans="1:8" ht="63" x14ac:dyDescent="0.25">
      <c r="A546" s="44" t="s">
        <v>146</v>
      </c>
      <c r="B546" s="44" t="s">
        <v>135</v>
      </c>
      <c r="C546" s="50" t="s">
        <v>603</v>
      </c>
      <c r="D546" s="12"/>
      <c r="E546" s="36" t="s">
        <v>604</v>
      </c>
      <c r="F546" s="22">
        <f>F547</f>
        <v>149.5</v>
      </c>
      <c r="G546" s="22">
        <f>G547</f>
        <v>89.7</v>
      </c>
      <c r="H546" s="13">
        <f t="shared" si="88"/>
        <v>100</v>
      </c>
    </row>
    <row r="547" spans="1:8" x14ac:dyDescent="0.25">
      <c r="A547" s="44" t="s">
        <v>146</v>
      </c>
      <c r="B547" s="44" t="s">
        <v>135</v>
      </c>
      <c r="C547" s="50" t="s">
        <v>603</v>
      </c>
      <c r="D547" s="12" t="s">
        <v>325</v>
      </c>
      <c r="E547" s="36" t="s">
        <v>326</v>
      </c>
      <c r="F547" s="22">
        <v>149.5</v>
      </c>
      <c r="G547" s="13">
        <v>89.7</v>
      </c>
      <c r="H547" s="13">
        <f t="shared" si="88"/>
        <v>100</v>
      </c>
    </row>
    <row r="548" spans="1:8" ht="47.25" x14ac:dyDescent="0.25">
      <c r="A548" s="44" t="s">
        <v>146</v>
      </c>
      <c r="B548" s="44" t="s">
        <v>135</v>
      </c>
      <c r="C548" s="12" t="s">
        <v>118</v>
      </c>
      <c r="D548" s="12"/>
      <c r="E548" s="31" t="s">
        <v>123</v>
      </c>
      <c r="F548" s="22">
        <f>F549</f>
        <v>50</v>
      </c>
      <c r="G548" s="22">
        <f>G549</f>
        <v>26.9</v>
      </c>
      <c r="H548" s="13">
        <f t="shared" si="88"/>
        <v>100</v>
      </c>
    </row>
    <row r="549" spans="1:8" ht="94.5" x14ac:dyDescent="0.25">
      <c r="A549" s="44" t="s">
        <v>146</v>
      </c>
      <c r="B549" s="44" t="s">
        <v>135</v>
      </c>
      <c r="C549" s="50" t="s">
        <v>702</v>
      </c>
      <c r="D549" s="12"/>
      <c r="E549" s="36" t="s">
        <v>703</v>
      </c>
      <c r="F549" s="22">
        <f>F550</f>
        <v>50</v>
      </c>
      <c r="G549" s="22">
        <f>G550</f>
        <v>26.9</v>
      </c>
      <c r="H549" s="13">
        <f t="shared" si="88"/>
        <v>100</v>
      </c>
    </row>
    <row r="550" spans="1:8" x14ac:dyDescent="0.25">
      <c r="A550" s="44" t="s">
        <v>146</v>
      </c>
      <c r="B550" s="44" t="s">
        <v>135</v>
      </c>
      <c r="C550" s="50" t="s">
        <v>702</v>
      </c>
      <c r="D550" s="12" t="s">
        <v>325</v>
      </c>
      <c r="E550" s="36" t="s">
        <v>326</v>
      </c>
      <c r="F550" s="22">
        <v>50</v>
      </c>
      <c r="G550" s="13">
        <v>26.9</v>
      </c>
      <c r="H550" s="13">
        <f t="shared" si="88"/>
        <v>100</v>
      </c>
    </row>
    <row r="551" spans="1:8" ht="63" x14ac:dyDescent="0.25">
      <c r="A551" s="12" t="s">
        <v>146</v>
      </c>
      <c r="B551" s="12" t="s">
        <v>135</v>
      </c>
      <c r="C551" s="12" t="s">
        <v>97</v>
      </c>
      <c r="D551" s="12"/>
      <c r="E551" s="31" t="s">
        <v>394</v>
      </c>
      <c r="F551" s="13">
        <f t="shared" ref="F551:G551" si="91">F552</f>
        <v>15105.4</v>
      </c>
      <c r="G551" s="13">
        <f t="shared" si="91"/>
        <v>11883.800000000001</v>
      </c>
      <c r="H551" s="13">
        <f t="shared" si="88"/>
        <v>100</v>
      </c>
    </row>
    <row r="552" spans="1:8" ht="31.5" x14ac:dyDescent="0.25">
      <c r="A552" s="12" t="s">
        <v>146</v>
      </c>
      <c r="B552" s="12" t="s">
        <v>135</v>
      </c>
      <c r="C552" s="12" t="s">
        <v>98</v>
      </c>
      <c r="D552" s="12"/>
      <c r="E552" s="31" t="s">
        <v>223</v>
      </c>
      <c r="F552" s="13">
        <f>F553+F555+F557+F559+F561+F563</f>
        <v>15105.4</v>
      </c>
      <c r="G552" s="13">
        <f>G553+G555+G557+G559+G561+G563</f>
        <v>11883.800000000001</v>
      </c>
      <c r="H552" s="13">
        <f t="shared" si="88"/>
        <v>100</v>
      </c>
    </row>
    <row r="553" spans="1:8" ht="47.25" x14ac:dyDescent="0.25">
      <c r="A553" s="12" t="s">
        <v>146</v>
      </c>
      <c r="B553" s="12" t="s">
        <v>135</v>
      </c>
      <c r="C553" s="39" t="s">
        <v>225</v>
      </c>
      <c r="D553" s="12"/>
      <c r="E553" s="31" t="s">
        <v>226</v>
      </c>
      <c r="F553" s="13">
        <f t="shared" ref="F553:G553" si="92">F554</f>
        <v>10866.099999999999</v>
      </c>
      <c r="G553" s="13">
        <f t="shared" si="92"/>
        <v>8289.1</v>
      </c>
      <c r="H553" s="13">
        <f t="shared" si="88"/>
        <v>100</v>
      </c>
    </row>
    <row r="554" spans="1:8" x14ac:dyDescent="0.25">
      <c r="A554" s="12" t="s">
        <v>146</v>
      </c>
      <c r="B554" s="12" t="s">
        <v>135</v>
      </c>
      <c r="C554" s="39" t="s">
        <v>225</v>
      </c>
      <c r="D554" s="12" t="s">
        <v>325</v>
      </c>
      <c r="E554" s="36" t="s">
        <v>326</v>
      </c>
      <c r="F554" s="11">
        <f>11066.8-0.7-255.5+55.5</f>
        <v>10866.099999999999</v>
      </c>
      <c r="G554" s="13">
        <v>8289.1</v>
      </c>
      <c r="H554" s="13">
        <f t="shared" si="88"/>
        <v>100</v>
      </c>
    </row>
    <row r="555" spans="1:8" ht="94.5" x14ac:dyDescent="0.25">
      <c r="A555" s="12" t="s">
        <v>146</v>
      </c>
      <c r="B555" s="12" t="s">
        <v>135</v>
      </c>
      <c r="C555" s="39">
        <v>210110690</v>
      </c>
      <c r="D555" s="12"/>
      <c r="E555" s="36" t="s">
        <v>364</v>
      </c>
      <c r="F555" s="13">
        <f t="shared" ref="F555" si="93">F556</f>
        <v>2575.1</v>
      </c>
      <c r="G555" s="13">
        <f>G556</f>
        <v>2320.6</v>
      </c>
      <c r="H555" s="13">
        <f t="shared" si="88"/>
        <v>100</v>
      </c>
    </row>
    <row r="556" spans="1:8" x14ac:dyDescent="0.25">
      <c r="A556" s="12" t="s">
        <v>146</v>
      </c>
      <c r="B556" s="12" t="s">
        <v>135</v>
      </c>
      <c r="C556" s="39">
        <v>210110690</v>
      </c>
      <c r="D556" s="12" t="s">
        <v>325</v>
      </c>
      <c r="E556" s="36" t="s">
        <v>326</v>
      </c>
      <c r="F556" s="13">
        <f>2320.6+254.5</f>
        <v>2575.1</v>
      </c>
      <c r="G556" s="13">
        <v>2320.6</v>
      </c>
      <c r="H556" s="13">
        <f t="shared" si="88"/>
        <v>100</v>
      </c>
    </row>
    <row r="557" spans="1:8" ht="80.25" customHeight="1" x14ac:dyDescent="0.25">
      <c r="A557" s="12" t="s">
        <v>146</v>
      </c>
      <c r="B557" s="12" t="s">
        <v>135</v>
      </c>
      <c r="C557" s="39" t="s">
        <v>453</v>
      </c>
      <c r="D557" s="12"/>
      <c r="E557" s="36" t="s">
        <v>365</v>
      </c>
      <c r="F557" s="13">
        <f t="shared" ref="F557" si="94">F558</f>
        <v>23.7</v>
      </c>
      <c r="G557" s="13">
        <f>G558</f>
        <v>23.7</v>
      </c>
      <c r="H557" s="13">
        <f t="shared" si="88"/>
        <v>100</v>
      </c>
    </row>
    <row r="558" spans="1:8" x14ac:dyDescent="0.25">
      <c r="A558" s="12" t="s">
        <v>146</v>
      </c>
      <c r="B558" s="12" t="s">
        <v>135</v>
      </c>
      <c r="C558" s="39" t="s">
        <v>453</v>
      </c>
      <c r="D558" s="12" t="s">
        <v>325</v>
      </c>
      <c r="E558" s="36" t="s">
        <v>326</v>
      </c>
      <c r="F558" s="13">
        <f>23 +0.7</f>
        <v>23.7</v>
      </c>
      <c r="G558" s="13">
        <f>23 +0.7</f>
        <v>23.7</v>
      </c>
      <c r="H558" s="13">
        <f t="shared" si="88"/>
        <v>100</v>
      </c>
    </row>
    <row r="559" spans="1:8" ht="63" x14ac:dyDescent="0.25">
      <c r="A559" s="12" t="s">
        <v>146</v>
      </c>
      <c r="B559" s="12" t="s">
        <v>135</v>
      </c>
      <c r="C559" s="39" t="s">
        <v>605</v>
      </c>
      <c r="D559" s="12"/>
      <c r="E559" s="35" t="s">
        <v>606</v>
      </c>
      <c r="F559" s="13">
        <f>F560</f>
        <v>50.4</v>
      </c>
      <c r="G559" s="13">
        <f>G560</f>
        <v>50.4</v>
      </c>
      <c r="H559" s="13">
        <f t="shared" ref="H559:H619" si="95">ROUND((G559/F559*100),1)</f>
        <v>100</v>
      </c>
    </row>
    <row r="560" spans="1:8" x14ac:dyDescent="0.25">
      <c r="A560" s="12" t="s">
        <v>146</v>
      </c>
      <c r="B560" s="12" t="s">
        <v>135</v>
      </c>
      <c r="C560" s="39" t="s">
        <v>605</v>
      </c>
      <c r="D560" s="12" t="s">
        <v>325</v>
      </c>
      <c r="E560" s="36" t="s">
        <v>326</v>
      </c>
      <c r="F560" s="13">
        <v>50.4</v>
      </c>
      <c r="G560" s="13">
        <v>50.4</v>
      </c>
      <c r="H560" s="13">
        <f t="shared" si="95"/>
        <v>100</v>
      </c>
    </row>
    <row r="561" spans="1:8" ht="94.5" x14ac:dyDescent="0.25">
      <c r="A561" s="12" t="s">
        <v>146</v>
      </c>
      <c r="B561" s="12" t="s">
        <v>135</v>
      </c>
      <c r="C561" s="39" t="s">
        <v>726</v>
      </c>
      <c r="D561" s="12"/>
      <c r="E561" s="35" t="s">
        <v>727</v>
      </c>
      <c r="F561" s="13">
        <f>F562</f>
        <v>590.1</v>
      </c>
      <c r="G561" s="13">
        <f>G562</f>
        <v>200</v>
      </c>
      <c r="H561" s="13">
        <f t="shared" si="95"/>
        <v>33.9</v>
      </c>
    </row>
    <row r="562" spans="1:8" x14ac:dyDescent="0.25">
      <c r="A562" s="12" t="s">
        <v>146</v>
      </c>
      <c r="B562" s="12" t="s">
        <v>135</v>
      </c>
      <c r="C562" s="39" t="s">
        <v>726</v>
      </c>
      <c r="D562" s="12" t="s">
        <v>325</v>
      </c>
      <c r="E562" s="36" t="s">
        <v>326</v>
      </c>
      <c r="F562" s="13">
        <v>590.1</v>
      </c>
      <c r="G562" s="13">
        <v>200</v>
      </c>
      <c r="H562" s="13">
        <f t="shared" si="95"/>
        <v>33.9</v>
      </c>
    </row>
    <row r="563" spans="1:8" ht="31.5" x14ac:dyDescent="0.25">
      <c r="A563" s="12" t="s">
        <v>146</v>
      </c>
      <c r="B563" s="12" t="s">
        <v>135</v>
      </c>
      <c r="C563" s="39" t="s">
        <v>607</v>
      </c>
      <c r="D563" s="12"/>
      <c r="E563" s="35" t="s">
        <v>608</v>
      </c>
      <c r="F563" s="13">
        <f>F564</f>
        <v>1000</v>
      </c>
      <c r="G563" s="13">
        <f>G564</f>
        <v>1000</v>
      </c>
      <c r="H563" s="13">
        <f t="shared" si="95"/>
        <v>100</v>
      </c>
    </row>
    <row r="564" spans="1:8" x14ac:dyDescent="0.25">
      <c r="A564" s="12" t="s">
        <v>146</v>
      </c>
      <c r="B564" s="12" t="s">
        <v>135</v>
      </c>
      <c r="C564" s="39" t="s">
        <v>607</v>
      </c>
      <c r="D564" s="12" t="s">
        <v>325</v>
      </c>
      <c r="E564" s="36" t="s">
        <v>326</v>
      </c>
      <c r="F564" s="13">
        <v>1000</v>
      </c>
      <c r="G564" s="13">
        <v>1000</v>
      </c>
      <c r="H564" s="13">
        <f t="shared" si="95"/>
        <v>100</v>
      </c>
    </row>
    <row r="565" spans="1:8" ht="31.5" x14ac:dyDescent="0.25">
      <c r="A565" s="12" t="s">
        <v>146</v>
      </c>
      <c r="B565" s="12" t="s">
        <v>135</v>
      </c>
      <c r="C565" s="33">
        <v>9900000000</v>
      </c>
      <c r="D565" s="12"/>
      <c r="E565" s="37" t="s">
        <v>179</v>
      </c>
      <c r="F565" s="13">
        <f t="shared" ref="F565:G565" si="96">F566</f>
        <v>200</v>
      </c>
      <c r="G565" s="13">
        <f t="shared" si="96"/>
        <v>200</v>
      </c>
      <c r="H565" s="13">
        <f t="shared" si="95"/>
        <v>100</v>
      </c>
    </row>
    <row r="566" spans="1:8" ht="47.25" x14ac:dyDescent="0.25">
      <c r="A566" s="12" t="s">
        <v>146</v>
      </c>
      <c r="B566" s="12" t="s">
        <v>135</v>
      </c>
      <c r="C566" s="12" t="s">
        <v>34</v>
      </c>
      <c r="D566" s="12"/>
      <c r="E566" s="31" t="s">
        <v>55</v>
      </c>
      <c r="F566" s="13">
        <f>F567</f>
        <v>200</v>
      </c>
      <c r="G566" s="13">
        <f>G567</f>
        <v>200</v>
      </c>
      <c r="H566" s="13">
        <f t="shared" si="95"/>
        <v>100</v>
      </c>
    </row>
    <row r="567" spans="1:8" ht="63" x14ac:dyDescent="0.25">
      <c r="A567" s="12" t="s">
        <v>146</v>
      </c>
      <c r="B567" s="12" t="s">
        <v>135</v>
      </c>
      <c r="C567" s="12" t="s">
        <v>442</v>
      </c>
      <c r="D567" s="12"/>
      <c r="E567" s="35" t="s">
        <v>426</v>
      </c>
      <c r="F567" s="13">
        <f>SUM(F568:F568)</f>
        <v>200</v>
      </c>
      <c r="G567" s="13">
        <f>SUM(G568:G568)</f>
        <v>200</v>
      </c>
      <c r="H567" s="13">
        <f t="shared" si="95"/>
        <v>100</v>
      </c>
    </row>
    <row r="568" spans="1:8" x14ac:dyDescent="0.25">
      <c r="A568" s="12" t="s">
        <v>146</v>
      </c>
      <c r="B568" s="12" t="s">
        <v>135</v>
      </c>
      <c r="C568" s="12" t="s">
        <v>442</v>
      </c>
      <c r="D568" s="12" t="s">
        <v>325</v>
      </c>
      <c r="E568" s="36" t="s">
        <v>326</v>
      </c>
      <c r="F568" s="13">
        <v>200</v>
      </c>
      <c r="G568" s="13">
        <v>200</v>
      </c>
      <c r="H568" s="13">
        <f t="shared" si="95"/>
        <v>100</v>
      </c>
    </row>
    <row r="569" spans="1:8" ht="47.25" x14ac:dyDescent="0.25">
      <c r="A569" s="12" t="s">
        <v>146</v>
      </c>
      <c r="B569" s="12" t="s">
        <v>137</v>
      </c>
      <c r="C569" s="12"/>
      <c r="D569" s="12"/>
      <c r="E569" s="31" t="s">
        <v>10</v>
      </c>
      <c r="F569" s="13">
        <f t="shared" ref="F569:G572" si="97">F570</f>
        <v>110</v>
      </c>
      <c r="G569" s="13">
        <f t="shared" si="97"/>
        <v>71.599999999999994</v>
      </c>
      <c r="H569" s="13">
        <f t="shared" si="95"/>
        <v>65.099999999999994</v>
      </c>
    </row>
    <row r="570" spans="1:8" ht="47.25" x14ac:dyDescent="0.25">
      <c r="A570" s="12" t="s">
        <v>146</v>
      </c>
      <c r="B570" s="12" t="s">
        <v>137</v>
      </c>
      <c r="C570" s="12" t="s">
        <v>116</v>
      </c>
      <c r="D570" s="12"/>
      <c r="E570" s="31" t="s">
        <v>439</v>
      </c>
      <c r="F570" s="13">
        <f t="shared" si="97"/>
        <v>110</v>
      </c>
      <c r="G570" s="13">
        <f t="shared" si="97"/>
        <v>71.599999999999994</v>
      </c>
      <c r="H570" s="13">
        <f t="shared" si="95"/>
        <v>65.099999999999994</v>
      </c>
    </row>
    <row r="571" spans="1:8" ht="31.5" x14ac:dyDescent="0.25">
      <c r="A571" s="12" t="s">
        <v>146</v>
      </c>
      <c r="B571" s="12" t="s">
        <v>137</v>
      </c>
      <c r="C571" s="12" t="s">
        <v>117</v>
      </c>
      <c r="D571" s="12"/>
      <c r="E571" s="31" t="s">
        <v>61</v>
      </c>
      <c r="F571" s="13">
        <f t="shared" si="97"/>
        <v>110</v>
      </c>
      <c r="G571" s="13">
        <f t="shared" si="97"/>
        <v>71.599999999999994</v>
      </c>
      <c r="H571" s="13">
        <f t="shared" si="95"/>
        <v>65.099999999999994</v>
      </c>
    </row>
    <row r="572" spans="1:8" ht="47.25" x14ac:dyDescent="0.25">
      <c r="A572" s="12" t="s">
        <v>146</v>
      </c>
      <c r="B572" s="12" t="s">
        <v>137</v>
      </c>
      <c r="C572" s="12" t="s">
        <v>454</v>
      </c>
      <c r="D572" s="12"/>
      <c r="E572" s="36" t="s">
        <v>67</v>
      </c>
      <c r="F572" s="13">
        <f t="shared" si="97"/>
        <v>110</v>
      </c>
      <c r="G572" s="13">
        <f t="shared" si="97"/>
        <v>71.599999999999994</v>
      </c>
      <c r="H572" s="13">
        <f t="shared" si="95"/>
        <v>65.099999999999994</v>
      </c>
    </row>
    <row r="573" spans="1:8" ht="31.5" x14ac:dyDescent="0.25">
      <c r="A573" s="12" t="s">
        <v>146</v>
      </c>
      <c r="B573" s="12" t="s">
        <v>137</v>
      </c>
      <c r="C573" s="12" t="s">
        <v>454</v>
      </c>
      <c r="D573" s="12" t="s">
        <v>103</v>
      </c>
      <c r="E573" s="34" t="s">
        <v>167</v>
      </c>
      <c r="F573" s="13">
        <f>250-140</f>
        <v>110</v>
      </c>
      <c r="G573" s="13">
        <v>71.599999999999994</v>
      </c>
      <c r="H573" s="13">
        <f t="shared" si="95"/>
        <v>65.099999999999994</v>
      </c>
    </row>
    <row r="574" spans="1:8" x14ac:dyDescent="0.25">
      <c r="A574" s="12" t="s">
        <v>146</v>
      </c>
      <c r="B574" s="12" t="s">
        <v>146</v>
      </c>
      <c r="C574" s="12"/>
      <c r="D574" s="12"/>
      <c r="E574" s="31" t="s">
        <v>198</v>
      </c>
      <c r="F574" s="13">
        <f>F575+F582+F599</f>
        <v>10949.8</v>
      </c>
      <c r="G574" s="13">
        <f>G575+G582+G599</f>
        <v>8555.9000000000015</v>
      </c>
      <c r="H574" s="13">
        <f t="shared" si="95"/>
        <v>78.099999999999994</v>
      </c>
    </row>
    <row r="575" spans="1:8" ht="47.25" x14ac:dyDescent="0.25">
      <c r="A575" s="12" t="s">
        <v>146</v>
      </c>
      <c r="B575" s="12" t="s">
        <v>146</v>
      </c>
      <c r="C575" s="12" t="s">
        <v>116</v>
      </c>
      <c r="D575" s="12"/>
      <c r="E575" s="31" t="s">
        <v>439</v>
      </c>
      <c r="F575" s="13">
        <f t="shared" ref="F575:G575" si="98">F576</f>
        <v>3765.1000000000004</v>
      </c>
      <c r="G575" s="13">
        <f t="shared" si="98"/>
        <v>3079.2</v>
      </c>
      <c r="H575" s="13">
        <f t="shared" si="95"/>
        <v>81.8</v>
      </c>
    </row>
    <row r="576" spans="1:8" ht="31.5" x14ac:dyDescent="0.25">
      <c r="A576" s="12" t="s">
        <v>146</v>
      </c>
      <c r="B576" s="12" t="s">
        <v>146</v>
      </c>
      <c r="C576" s="12" t="s">
        <v>117</v>
      </c>
      <c r="D576" s="12"/>
      <c r="E576" s="31" t="s">
        <v>61</v>
      </c>
      <c r="F576" s="13">
        <f t="shared" ref="F576:G576" si="99">F577+F579</f>
        <v>3765.1000000000004</v>
      </c>
      <c r="G576" s="13">
        <f t="shared" si="99"/>
        <v>3079.2</v>
      </c>
      <c r="H576" s="13">
        <f t="shared" si="95"/>
        <v>81.8</v>
      </c>
    </row>
    <row r="577" spans="1:8" x14ac:dyDescent="0.25">
      <c r="A577" s="12" t="s">
        <v>146</v>
      </c>
      <c r="B577" s="12" t="s">
        <v>146</v>
      </c>
      <c r="C577" s="50" t="s">
        <v>455</v>
      </c>
      <c r="D577" s="12"/>
      <c r="E577" s="36" t="s">
        <v>68</v>
      </c>
      <c r="F577" s="13">
        <f t="shared" ref="F577:G577" si="100">F578</f>
        <v>1200.2</v>
      </c>
      <c r="G577" s="13">
        <f t="shared" si="100"/>
        <v>1178.9000000000001</v>
      </c>
      <c r="H577" s="13">
        <f t="shared" si="95"/>
        <v>98.2</v>
      </c>
    </row>
    <row r="578" spans="1:8" x14ac:dyDescent="0.25">
      <c r="A578" s="12" t="s">
        <v>146</v>
      </c>
      <c r="B578" s="12" t="s">
        <v>146</v>
      </c>
      <c r="C578" s="50" t="s">
        <v>455</v>
      </c>
      <c r="D578" s="12" t="s">
        <v>325</v>
      </c>
      <c r="E578" s="36" t="s">
        <v>326</v>
      </c>
      <c r="F578" s="13">
        <v>1200.2</v>
      </c>
      <c r="G578" s="13">
        <v>1178.9000000000001</v>
      </c>
      <c r="H578" s="13">
        <f t="shared" si="95"/>
        <v>98.2</v>
      </c>
    </row>
    <row r="579" spans="1:8" ht="63" x14ac:dyDescent="0.25">
      <c r="A579" s="12" t="s">
        <v>146</v>
      </c>
      <c r="B579" s="12" t="s">
        <v>146</v>
      </c>
      <c r="C579" s="50" t="s">
        <v>456</v>
      </c>
      <c r="D579" s="12"/>
      <c r="E579" s="14" t="s">
        <v>366</v>
      </c>
      <c r="F579" s="13">
        <f t="shared" ref="F579:G579" si="101">SUM(F580:F581)</f>
        <v>2564.9</v>
      </c>
      <c r="G579" s="13">
        <f t="shared" si="101"/>
        <v>1900.3</v>
      </c>
      <c r="H579" s="13">
        <f t="shared" si="95"/>
        <v>74.099999999999994</v>
      </c>
    </row>
    <row r="580" spans="1:8" x14ac:dyDescent="0.25">
      <c r="A580" s="12" t="s">
        <v>146</v>
      </c>
      <c r="B580" s="12" t="s">
        <v>146</v>
      </c>
      <c r="C580" s="50" t="s">
        <v>456</v>
      </c>
      <c r="D580" s="12" t="s">
        <v>325</v>
      </c>
      <c r="E580" s="36" t="s">
        <v>326</v>
      </c>
      <c r="F580" s="13">
        <v>1844.4</v>
      </c>
      <c r="G580" s="13">
        <v>1835.1</v>
      </c>
      <c r="H580" s="13">
        <f t="shared" si="95"/>
        <v>99.5</v>
      </c>
    </row>
    <row r="581" spans="1:8" ht="78.75" x14ac:dyDescent="0.25">
      <c r="A581" s="12" t="s">
        <v>146</v>
      </c>
      <c r="B581" s="12" t="s">
        <v>146</v>
      </c>
      <c r="C581" s="50" t="s">
        <v>456</v>
      </c>
      <c r="D581" s="12" t="s">
        <v>327</v>
      </c>
      <c r="E581" s="36" t="s">
        <v>488</v>
      </c>
      <c r="F581" s="13">
        <v>720.5</v>
      </c>
      <c r="G581" s="11">
        <v>65.2</v>
      </c>
      <c r="H581" s="13">
        <f t="shared" si="95"/>
        <v>9</v>
      </c>
    </row>
    <row r="582" spans="1:8" ht="63" x14ac:dyDescent="0.25">
      <c r="A582" s="12" t="s">
        <v>146</v>
      </c>
      <c r="B582" s="12" t="s">
        <v>146</v>
      </c>
      <c r="C582" s="12" t="s">
        <v>97</v>
      </c>
      <c r="D582" s="12"/>
      <c r="E582" s="31" t="s">
        <v>394</v>
      </c>
      <c r="F582" s="13">
        <f>F583+F594</f>
        <v>7134.7</v>
      </c>
      <c r="G582" s="13">
        <f>G583+G594</f>
        <v>5426.7000000000007</v>
      </c>
      <c r="H582" s="13">
        <f t="shared" si="95"/>
        <v>76.099999999999994</v>
      </c>
    </row>
    <row r="583" spans="1:8" ht="31.5" x14ac:dyDescent="0.25">
      <c r="A583" s="12" t="s">
        <v>146</v>
      </c>
      <c r="B583" s="12" t="s">
        <v>146</v>
      </c>
      <c r="C583" s="12" t="s">
        <v>39</v>
      </c>
      <c r="D583" s="12"/>
      <c r="E583" s="31" t="s">
        <v>229</v>
      </c>
      <c r="F583" s="13">
        <f>F584+F586+F588+F590+F592</f>
        <v>7084.7</v>
      </c>
      <c r="G583" s="13">
        <f>G584+G586+G588+G590+G592</f>
        <v>5417.1</v>
      </c>
      <c r="H583" s="13">
        <f t="shared" si="95"/>
        <v>76.5</v>
      </c>
    </row>
    <row r="584" spans="1:8" ht="63" x14ac:dyDescent="0.25">
      <c r="A584" s="12" t="s">
        <v>146</v>
      </c>
      <c r="B584" s="12" t="s">
        <v>146</v>
      </c>
      <c r="C584" s="52" t="s">
        <v>40</v>
      </c>
      <c r="D584" s="12"/>
      <c r="E584" s="53" t="s">
        <v>284</v>
      </c>
      <c r="F584" s="13">
        <f t="shared" ref="F584:G584" si="102">F585</f>
        <v>6.6</v>
      </c>
      <c r="G584" s="13">
        <f t="shared" si="102"/>
        <v>6.6</v>
      </c>
      <c r="H584" s="13">
        <f t="shared" si="95"/>
        <v>100</v>
      </c>
    </row>
    <row r="585" spans="1:8" ht="47.25" x14ac:dyDescent="0.25">
      <c r="A585" s="12" t="s">
        <v>146</v>
      </c>
      <c r="B585" s="12" t="s">
        <v>146</v>
      </c>
      <c r="C585" s="52" t="s">
        <v>40</v>
      </c>
      <c r="D585" s="12" t="s">
        <v>309</v>
      </c>
      <c r="E585" s="36" t="s">
        <v>310</v>
      </c>
      <c r="F585" s="13">
        <v>6.6</v>
      </c>
      <c r="G585" s="13">
        <v>6.6</v>
      </c>
      <c r="H585" s="13">
        <f t="shared" si="95"/>
        <v>100</v>
      </c>
    </row>
    <row r="586" spans="1:8" ht="33" customHeight="1" x14ac:dyDescent="0.25">
      <c r="A586" s="12" t="s">
        <v>146</v>
      </c>
      <c r="B586" s="12" t="s">
        <v>146</v>
      </c>
      <c r="C586" s="52" t="s">
        <v>41</v>
      </c>
      <c r="D586" s="12"/>
      <c r="E586" s="36" t="s">
        <v>230</v>
      </c>
      <c r="F586" s="13">
        <f t="shared" ref="F586:G586" si="103">F587</f>
        <v>289.60000000000002</v>
      </c>
      <c r="G586" s="13">
        <f t="shared" si="103"/>
        <v>261.7</v>
      </c>
      <c r="H586" s="13">
        <f t="shared" si="95"/>
        <v>90.4</v>
      </c>
    </row>
    <row r="587" spans="1:8" ht="47.25" x14ac:dyDescent="0.25">
      <c r="A587" s="12" t="s">
        <v>146</v>
      </c>
      <c r="B587" s="12" t="s">
        <v>146</v>
      </c>
      <c r="C587" s="52" t="s">
        <v>41</v>
      </c>
      <c r="D587" s="12" t="s">
        <v>309</v>
      </c>
      <c r="E587" s="36" t="s">
        <v>310</v>
      </c>
      <c r="F587" s="13">
        <v>289.60000000000002</v>
      </c>
      <c r="G587" s="13">
        <v>261.7</v>
      </c>
      <c r="H587" s="13">
        <f t="shared" si="95"/>
        <v>90.4</v>
      </c>
    </row>
    <row r="588" spans="1:8" ht="78.75" x14ac:dyDescent="0.25">
      <c r="A588" s="12" t="s">
        <v>146</v>
      </c>
      <c r="B588" s="12" t="s">
        <v>146</v>
      </c>
      <c r="C588" s="52" t="s">
        <v>42</v>
      </c>
      <c r="D588" s="12"/>
      <c r="E588" s="36" t="s">
        <v>124</v>
      </c>
      <c r="F588" s="13">
        <f t="shared" ref="F588:G588" si="104">F589</f>
        <v>15</v>
      </c>
      <c r="G588" s="13">
        <f t="shared" si="104"/>
        <v>0</v>
      </c>
      <c r="H588" s="13">
        <f t="shared" si="95"/>
        <v>0</v>
      </c>
    </row>
    <row r="589" spans="1:8" ht="47.25" x14ac:dyDescent="0.25">
      <c r="A589" s="12" t="s">
        <v>146</v>
      </c>
      <c r="B589" s="12" t="s">
        <v>146</v>
      </c>
      <c r="C589" s="52" t="s">
        <v>42</v>
      </c>
      <c r="D589" s="12" t="s">
        <v>309</v>
      </c>
      <c r="E589" s="36" t="s">
        <v>310</v>
      </c>
      <c r="F589" s="13">
        <v>15</v>
      </c>
      <c r="G589" s="13">
        <v>0</v>
      </c>
      <c r="H589" s="13">
        <f t="shared" si="95"/>
        <v>0</v>
      </c>
    </row>
    <row r="590" spans="1:8" ht="63" x14ac:dyDescent="0.25">
      <c r="A590" s="12" t="s">
        <v>146</v>
      </c>
      <c r="B590" s="12" t="s">
        <v>146</v>
      </c>
      <c r="C590" s="39" t="s">
        <v>285</v>
      </c>
      <c r="D590" s="12"/>
      <c r="E590" s="36" t="s">
        <v>0</v>
      </c>
      <c r="F590" s="13">
        <f>F591</f>
        <v>6723.5</v>
      </c>
      <c r="G590" s="13">
        <f>G591</f>
        <v>5148.8</v>
      </c>
      <c r="H590" s="13">
        <f t="shared" si="95"/>
        <v>76.599999999999994</v>
      </c>
    </row>
    <row r="591" spans="1:8" x14ac:dyDescent="0.25">
      <c r="A591" s="12" t="s">
        <v>146</v>
      </c>
      <c r="B591" s="12" t="s">
        <v>146</v>
      </c>
      <c r="C591" s="39" t="s">
        <v>285</v>
      </c>
      <c r="D591" s="12" t="s">
        <v>325</v>
      </c>
      <c r="E591" s="36" t="s">
        <v>326</v>
      </c>
      <c r="F591" s="13">
        <v>6723.5</v>
      </c>
      <c r="G591" s="13">
        <v>5148.8</v>
      </c>
      <c r="H591" s="13">
        <f t="shared" si="95"/>
        <v>76.599999999999994</v>
      </c>
    </row>
    <row r="592" spans="1:8" x14ac:dyDescent="0.25">
      <c r="A592" s="12" t="s">
        <v>146</v>
      </c>
      <c r="B592" s="12" t="s">
        <v>146</v>
      </c>
      <c r="C592" s="39" t="s">
        <v>609</v>
      </c>
      <c r="D592" s="12"/>
      <c r="E592" s="36" t="s">
        <v>610</v>
      </c>
      <c r="F592" s="13">
        <f>F593</f>
        <v>50</v>
      </c>
      <c r="G592" s="13">
        <f>G593</f>
        <v>0</v>
      </c>
      <c r="H592" s="13">
        <f t="shared" si="95"/>
        <v>0</v>
      </c>
    </row>
    <row r="593" spans="1:8" ht="47.25" x14ac:dyDescent="0.25">
      <c r="A593" s="12" t="s">
        <v>146</v>
      </c>
      <c r="B593" s="12" t="s">
        <v>146</v>
      </c>
      <c r="C593" s="39" t="s">
        <v>609</v>
      </c>
      <c r="D593" s="12" t="s">
        <v>309</v>
      </c>
      <c r="E593" s="36" t="s">
        <v>310</v>
      </c>
      <c r="F593" s="13">
        <v>50</v>
      </c>
      <c r="G593" s="11">
        <v>0</v>
      </c>
      <c r="H593" s="13">
        <f t="shared" si="95"/>
        <v>0</v>
      </c>
    </row>
    <row r="594" spans="1:8" ht="94.5" x14ac:dyDescent="0.25">
      <c r="A594" s="12" t="s">
        <v>146</v>
      </c>
      <c r="B594" s="12" t="s">
        <v>146</v>
      </c>
      <c r="C594" s="39">
        <v>240000000</v>
      </c>
      <c r="D594" s="12"/>
      <c r="E594" s="31" t="s">
        <v>232</v>
      </c>
      <c r="F594" s="13">
        <f t="shared" ref="F594:G594" si="105">F595+F597</f>
        <v>50</v>
      </c>
      <c r="G594" s="13">
        <f t="shared" si="105"/>
        <v>9.6</v>
      </c>
      <c r="H594" s="13">
        <f t="shared" si="95"/>
        <v>19.2</v>
      </c>
    </row>
    <row r="595" spans="1:8" ht="127.5" customHeight="1" x14ac:dyDescent="0.25">
      <c r="A595" s="12" t="s">
        <v>146</v>
      </c>
      <c r="B595" s="12" t="s">
        <v>146</v>
      </c>
      <c r="C595" s="39" t="s">
        <v>457</v>
      </c>
      <c r="D595" s="12"/>
      <c r="E595" s="36" t="s">
        <v>233</v>
      </c>
      <c r="F595" s="13">
        <f t="shared" ref="F595:G595" si="106">F596</f>
        <v>5</v>
      </c>
      <c r="G595" s="13">
        <f t="shared" si="106"/>
        <v>0</v>
      </c>
      <c r="H595" s="13">
        <f t="shared" si="95"/>
        <v>0</v>
      </c>
    </row>
    <row r="596" spans="1:8" ht="47.25" x14ac:dyDescent="0.25">
      <c r="A596" s="12" t="s">
        <v>146</v>
      </c>
      <c r="B596" s="12" t="s">
        <v>146</v>
      </c>
      <c r="C596" s="39" t="s">
        <v>457</v>
      </c>
      <c r="D596" s="12" t="s">
        <v>309</v>
      </c>
      <c r="E596" s="36" t="s">
        <v>310</v>
      </c>
      <c r="F596" s="13">
        <v>5</v>
      </c>
      <c r="G596" s="13">
        <v>0</v>
      </c>
      <c r="H596" s="13">
        <f t="shared" si="95"/>
        <v>0</v>
      </c>
    </row>
    <row r="597" spans="1:8" x14ac:dyDescent="0.25">
      <c r="A597" s="12" t="s">
        <v>146</v>
      </c>
      <c r="B597" s="12" t="s">
        <v>146</v>
      </c>
      <c r="C597" s="39" t="s">
        <v>458</v>
      </c>
      <c r="D597" s="12"/>
      <c r="E597" s="36" t="s">
        <v>235</v>
      </c>
      <c r="F597" s="13">
        <f t="shared" ref="F597:G597" si="107">F598</f>
        <v>45</v>
      </c>
      <c r="G597" s="13">
        <f t="shared" si="107"/>
        <v>9.6</v>
      </c>
      <c r="H597" s="13">
        <f t="shared" si="95"/>
        <v>21.3</v>
      </c>
    </row>
    <row r="598" spans="1:8" ht="47.25" x14ac:dyDescent="0.25">
      <c r="A598" s="12" t="s">
        <v>146</v>
      </c>
      <c r="B598" s="12" t="s">
        <v>146</v>
      </c>
      <c r="C598" s="39" t="s">
        <v>458</v>
      </c>
      <c r="D598" s="12" t="s">
        <v>309</v>
      </c>
      <c r="E598" s="36" t="s">
        <v>310</v>
      </c>
      <c r="F598" s="13">
        <v>45</v>
      </c>
      <c r="G598" s="13">
        <v>9.6</v>
      </c>
      <c r="H598" s="13">
        <f t="shared" si="95"/>
        <v>21.3</v>
      </c>
    </row>
    <row r="599" spans="1:8" ht="31.5" x14ac:dyDescent="0.25">
      <c r="A599" s="12" t="s">
        <v>146</v>
      </c>
      <c r="B599" s="12" t="s">
        <v>146</v>
      </c>
      <c r="C599" s="33">
        <v>9900000000</v>
      </c>
      <c r="D599" s="12"/>
      <c r="E599" s="37" t="s">
        <v>179</v>
      </c>
      <c r="F599" s="13">
        <f t="shared" ref="F599:G600" si="108">F600</f>
        <v>50</v>
      </c>
      <c r="G599" s="13">
        <f t="shared" si="108"/>
        <v>50</v>
      </c>
      <c r="H599" s="13">
        <f t="shared" si="95"/>
        <v>100</v>
      </c>
    </row>
    <row r="600" spans="1:8" ht="47.25" x14ac:dyDescent="0.25">
      <c r="A600" s="12" t="s">
        <v>146</v>
      </c>
      <c r="B600" s="12" t="s">
        <v>146</v>
      </c>
      <c r="C600" s="12" t="s">
        <v>34</v>
      </c>
      <c r="D600" s="12"/>
      <c r="E600" s="31" t="s">
        <v>55</v>
      </c>
      <c r="F600" s="13">
        <f t="shared" si="108"/>
        <v>50</v>
      </c>
      <c r="G600" s="13">
        <f t="shared" si="108"/>
        <v>50</v>
      </c>
      <c r="H600" s="13">
        <f t="shared" si="95"/>
        <v>100</v>
      </c>
    </row>
    <row r="601" spans="1:8" ht="63" x14ac:dyDescent="0.25">
      <c r="A601" s="12" t="s">
        <v>146</v>
      </c>
      <c r="B601" s="12" t="s">
        <v>146</v>
      </c>
      <c r="C601" s="12" t="s">
        <v>442</v>
      </c>
      <c r="D601" s="12"/>
      <c r="E601" s="35" t="s">
        <v>426</v>
      </c>
      <c r="F601" s="13">
        <f>SUM(F602:F602)</f>
        <v>50</v>
      </c>
      <c r="G601" s="13">
        <f>SUM(G602:G602)</f>
        <v>50</v>
      </c>
      <c r="H601" s="13">
        <f t="shared" si="95"/>
        <v>100</v>
      </c>
    </row>
    <row r="602" spans="1:8" x14ac:dyDescent="0.25">
      <c r="A602" s="12" t="s">
        <v>146</v>
      </c>
      <c r="B602" s="12" t="s">
        <v>146</v>
      </c>
      <c r="C602" s="12" t="s">
        <v>442</v>
      </c>
      <c r="D602" s="12" t="s">
        <v>325</v>
      </c>
      <c r="E602" s="36" t="s">
        <v>326</v>
      </c>
      <c r="F602" s="13">
        <v>50</v>
      </c>
      <c r="G602" s="13">
        <v>50</v>
      </c>
      <c r="H602" s="13">
        <f t="shared" si="95"/>
        <v>100</v>
      </c>
    </row>
    <row r="603" spans="1:8" ht="19.5" customHeight="1" x14ac:dyDescent="0.25">
      <c r="A603" s="12" t="s">
        <v>146</v>
      </c>
      <c r="B603" s="12" t="s">
        <v>141</v>
      </c>
      <c r="C603" s="12"/>
      <c r="D603" s="12"/>
      <c r="E603" s="31" t="s">
        <v>151</v>
      </c>
      <c r="F603" s="13">
        <f t="shared" ref="F603:G603" si="109">F604</f>
        <v>8310.6</v>
      </c>
      <c r="G603" s="13">
        <f t="shared" si="109"/>
        <v>6284</v>
      </c>
      <c r="H603" s="13">
        <f t="shared" si="95"/>
        <v>75.599999999999994</v>
      </c>
    </row>
    <row r="604" spans="1:8" ht="47.25" x14ac:dyDescent="0.25">
      <c r="A604" s="12" t="s">
        <v>146</v>
      </c>
      <c r="B604" s="12" t="s">
        <v>141</v>
      </c>
      <c r="C604" s="12" t="s">
        <v>116</v>
      </c>
      <c r="D604" s="12"/>
      <c r="E604" s="31" t="s">
        <v>459</v>
      </c>
      <c r="F604" s="13">
        <f>F605+F619+F626</f>
        <v>8310.6</v>
      </c>
      <c r="G604" s="13">
        <f>G605+G619+G626</f>
        <v>6284</v>
      </c>
      <c r="H604" s="13">
        <f t="shared" si="95"/>
        <v>75.599999999999994</v>
      </c>
    </row>
    <row r="605" spans="1:8" ht="31.5" x14ac:dyDescent="0.25">
      <c r="A605" s="12" t="s">
        <v>146</v>
      </c>
      <c r="B605" s="12" t="s">
        <v>141</v>
      </c>
      <c r="C605" s="12" t="s">
        <v>117</v>
      </c>
      <c r="D605" s="12"/>
      <c r="E605" s="31" t="s">
        <v>61</v>
      </c>
      <c r="F605" s="13">
        <f>F606+F608+F610+F613+F615+F617</f>
        <v>891.8</v>
      </c>
      <c r="G605" s="13">
        <f>G606+G608+G610+G613+G615+G617</f>
        <v>444.4</v>
      </c>
      <c r="H605" s="13">
        <f t="shared" si="95"/>
        <v>49.8</v>
      </c>
    </row>
    <row r="606" spans="1:8" ht="47.25" x14ac:dyDescent="0.25">
      <c r="A606" s="12" t="s">
        <v>146</v>
      </c>
      <c r="B606" s="12" t="s">
        <v>141</v>
      </c>
      <c r="C606" s="12" t="s">
        <v>460</v>
      </c>
      <c r="D606" s="12"/>
      <c r="E606" s="36" t="s">
        <v>73</v>
      </c>
      <c r="F606" s="13">
        <f t="shared" ref="F606:G606" si="110">F607</f>
        <v>176.1</v>
      </c>
      <c r="G606" s="13">
        <f t="shared" si="110"/>
        <v>151.4</v>
      </c>
      <c r="H606" s="13">
        <f t="shared" si="95"/>
        <v>86</v>
      </c>
    </row>
    <row r="607" spans="1:8" ht="47.25" x14ac:dyDescent="0.25">
      <c r="A607" s="12" t="s">
        <v>146</v>
      </c>
      <c r="B607" s="12" t="s">
        <v>141</v>
      </c>
      <c r="C607" s="12" t="s">
        <v>460</v>
      </c>
      <c r="D607" s="12" t="s">
        <v>309</v>
      </c>
      <c r="E607" s="36" t="s">
        <v>310</v>
      </c>
      <c r="F607" s="13">
        <v>176.1</v>
      </c>
      <c r="G607" s="13">
        <v>151.4</v>
      </c>
      <c r="H607" s="13">
        <f t="shared" si="95"/>
        <v>86</v>
      </c>
    </row>
    <row r="608" spans="1:8" ht="47.25" x14ac:dyDescent="0.25">
      <c r="A608" s="12" t="s">
        <v>146</v>
      </c>
      <c r="B608" s="12" t="s">
        <v>141</v>
      </c>
      <c r="C608" s="12" t="s">
        <v>461</v>
      </c>
      <c r="D608" s="12"/>
      <c r="E608" s="36" t="s">
        <v>367</v>
      </c>
      <c r="F608" s="13">
        <f t="shared" ref="F608:G608" si="111">F609</f>
        <v>68.3</v>
      </c>
      <c r="G608" s="13">
        <f t="shared" si="111"/>
        <v>0</v>
      </c>
      <c r="H608" s="13">
        <f t="shared" si="95"/>
        <v>0</v>
      </c>
    </row>
    <row r="609" spans="1:8" ht="31.5" x14ac:dyDescent="0.25">
      <c r="A609" s="12" t="s">
        <v>146</v>
      </c>
      <c r="B609" s="12" t="s">
        <v>141</v>
      </c>
      <c r="C609" s="12" t="s">
        <v>461</v>
      </c>
      <c r="D609" s="12" t="s">
        <v>103</v>
      </c>
      <c r="E609" s="34" t="s">
        <v>167</v>
      </c>
      <c r="F609" s="13">
        <v>68.3</v>
      </c>
      <c r="G609" s="11">
        <v>0</v>
      </c>
      <c r="H609" s="13">
        <f t="shared" si="95"/>
        <v>0</v>
      </c>
    </row>
    <row r="610" spans="1:8" ht="47.25" x14ac:dyDescent="0.25">
      <c r="A610" s="12" t="s">
        <v>146</v>
      </c>
      <c r="B610" s="12" t="s">
        <v>141</v>
      </c>
      <c r="C610" s="50" t="s">
        <v>462</v>
      </c>
      <c r="D610" s="12"/>
      <c r="E610" s="36" t="s">
        <v>171</v>
      </c>
      <c r="F610" s="13">
        <f t="shared" ref="F610:G610" si="112">SUM(F611:F612)</f>
        <v>140</v>
      </c>
      <c r="G610" s="13">
        <f t="shared" si="112"/>
        <v>47.099999999999994</v>
      </c>
      <c r="H610" s="13">
        <f t="shared" si="95"/>
        <v>33.6</v>
      </c>
    </row>
    <row r="611" spans="1:8" ht="31.5" x14ac:dyDescent="0.25">
      <c r="A611" s="12" t="s">
        <v>146</v>
      </c>
      <c r="B611" s="12" t="s">
        <v>141</v>
      </c>
      <c r="C611" s="50" t="s">
        <v>462</v>
      </c>
      <c r="D611" s="12" t="s">
        <v>103</v>
      </c>
      <c r="E611" s="34" t="s">
        <v>167</v>
      </c>
      <c r="F611" s="13">
        <v>54</v>
      </c>
      <c r="G611" s="11">
        <v>18.7</v>
      </c>
      <c r="H611" s="13">
        <f t="shared" si="95"/>
        <v>34.6</v>
      </c>
    </row>
    <row r="612" spans="1:8" ht="47.25" x14ac:dyDescent="0.25">
      <c r="A612" s="12" t="s">
        <v>146</v>
      </c>
      <c r="B612" s="12" t="s">
        <v>141</v>
      </c>
      <c r="C612" s="50" t="s">
        <v>462</v>
      </c>
      <c r="D612" s="12" t="s">
        <v>309</v>
      </c>
      <c r="E612" s="36" t="s">
        <v>310</v>
      </c>
      <c r="F612" s="13">
        <v>86</v>
      </c>
      <c r="G612" s="13">
        <v>28.4</v>
      </c>
      <c r="H612" s="13">
        <f t="shared" si="95"/>
        <v>33</v>
      </c>
    </row>
    <row r="613" spans="1:8" ht="78.75" x14ac:dyDescent="0.25">
      <c r="A613" s="12" t="s">
        <v>146</v>
      </c>
      <c r="B613" s="12" t="s">
        <v>141</v>
      </c>
      <c r="C613" s="50" t="s">
        <v>463</v>
      </c>
      <c r="D613" s="12"/>
      <c r="E613" s="36" t="s">
        <v>170</v>
      </c>
      <c r="F613" s="13">
        <f t="shared" ref="F613:G613" si="113">F614</f>
        <v>303.60000000000002</v>
      </c>
      <c r="G613" s="13">
        <f t="shared" si="113"/>
        <v>245.9</v>
      </c>
      <c r="H613" s="13">
        <f t="shared" si="95"/>
        <v>81</v>
      </c>
    </row>
    <row r="614" spans="1:8" ht="47.25" x14ac:dyDescent="0.25">
      <c r="A614" s="12" t="s">
        <v>146</v>
      </c>
      <c r="B614" s="12" t="s">
        <v>141</v>
      </c>
      <c r="C614" s="50" t="s">
        <v>463</v>
      </c>
      <c r="D614" s="12" t="s">
        <v>309</v>
      </c>
      <c r="E614" s="36" t="s">
        <v>310</v>
      </c>
      <c r="F614" s="13">
        <v>303.60000000000002</v>
      </c>
      <c r="G614" s="13">
        <v>245.9</v>
      </c>
      <c r="H614" s="13">
        <f t="shared" si="95"/>
        <v>81</v>
      </c>
    </row>
    <row r="615" spans="1:8" ht="78.75" x14ac:dyDescent="0.25">
      <c r="A615" s="12" t="s">
        <v>146</v>
      </c>
      <c r="B615" s="12" t="s">
        <v>141</v>
      </c>
      <c r="C615" s="50" t="s">
        <v>464</v>
      </c>
      <c r="D615" s="12"/>
      <c r="E615" s="14" t="s">
        <v>465</v>
      </c>
      <c r="F615" s="13">
        <f t="shared" ref="F615:G615" si="114">F616</f>
        <v>20.399999999999999</v>
      </c>
      <c r="G615" s="13">
        <f t="shared" si="114"/>
        <v>0</v>
      </c>
      <c r="H615" s="13">
        <f t="shared" si="95"/>
        <v>0</v>
      </c>
    </row>
    <row r="616" spans="1:8" ht="47.25" x14ac:dyDescent="0.25">
      <c r="A616" s="12" t="s">
        <v>146</v>
      </c>
      <c r="B616" s="12" t="s">
        <v>141</v>
      </c>
      <c r="C616" s="50" t="s">
        <v>464</v>
      </c>
      <c r="D616" s="12" t="s">
        <v>309</v>
      </c>
      <c r="E616" s="36" t="s">
        <v>310</v>
      </c>
      <c r="F616" s="13">
        <v>20.399999999999999</v>
      </c>
      <c r="G616" s="13">
        <v>0</v>
      </c>
      <c r="H616" s="13">
        <f t="shared" si="95"/>
        <v>0</v>
      </c>
    </row>
    <row r="617" spans="1:8" ht="47.25" x14ac:dyDescent="0.25">
      <c r="A617" s="12" t="s">
        <v>146</v>
      </c>
      <c r="B617" s="12" t="s">
        <v>141</v>
      </c>
      <c r="C617" s="50" t="s">
        <v>466</v>
      </c>
      <c r="D617" s="12"/>
      <c r="E617" s="14" t="s">
        <v>467</v>
      </c>
      <c r="F617" s="13">
        <f t="shared" ref="F617:G617" si="115">F618</f>
        <v>183.4</v>
      </c>
      <c r="G617" s="13">
        <f t="shared" si="115"/>
        <v>0</v>
      </c>
      <c r="H617" s="13">
        <f t="shared" si="95"/>
        <v>0</v>
      </c>
    </row>
    <row r="618" spans="1:8" ht="47.25" x14ac:dyDescent="0.25">
      <c r="A618" s="12" t="s">
        <v>146</v>
      </c>
      <c r="B618" s="12" t="s">
        <v>141</v>
      </c>
      <c r="C618" s="50" t="s">
        <v>466</v>
      </c>
      <c r="D618" s="12" t="s">
        <v>309</v>
      </c>
      <c r="E618" s="36" t="s">
        <v>310</v>
      </c>
      <c r="F618" s="13">
        <v>183.4</v>
      </c>
      <c r="G618" s="13">
        <v>0</v>
      </c>
      <c r="H618" s="13">
        <f t="shared" si="95"/>
        <v>0</v>
      </c>
    </row>
    <row r="619" spans="1:8" ht="47.25" x14ac:dyDescent="0.25">
      <c r="A619" s="12" t="s">
        <v>146</v>
      </c>
      <c r="B619" s="12" t="s">
        <v>141</v>
      </c>
      <c r="C619" s="12" t="s">
        <v>118</v>
      </c>
      <c r="D619" s="12"/>
      <c r="E619" s="31" t="s">
        <v>123</v>
      </c>
      <c r="F619" s="13">
        <f>F620+F622+F624</f>
        <v>379.1</v>
      </c>
      <c r="G619" s="13">
        <f>G620+G622+G624</f>
        <v>320.10000000000002</v>
      </c>
      <c r="H619" s="13">
        <f t="shared" si="95"/>
        <v>84.4</v>
      </c>
    </row>
    <row r="620" spans="1:8" ht="78.75" x14ac:dyDescent="0.25">
      <c r="A620" s="12" t="s">
        <v>146</v>
      </c>
      <c r="B620" s="12" t="s">
        <v>141</v>
      </c>
      <c r="C620" s="50" t="s">
        <v>468</v>
      </c>
      <c r="D620" s="12"/>
      <c r="E620" s="36" t="s">
        <v>70</v>
      </c>
      <c r="F620" s="13">
        <f t="shared" ref="F620:G620" si="116">F621</f>
        <v>161</v>
      </c>
      <c r="G620" s="13">
        <f t="shared" si="116"/>
        <v>141.1</v>
      </c>
      <c r="H620" s="13">
        <f t="shared" ref="H620:H680" si="117">ROUND((G620/F620*100),1)</f>
        <v>87.6</v>
      </c>
    </row>
    <row r="621" spans="1:8" ht="47.25" x14ac:dyDescent="0.25">
      <c r="A621" s="12" t="s">
        <v>146</v>
      </c>
      <c r="B621" s="12" t="s">
        <v>141</v>
      </c>
      <c r="C621" s="50" t="s">
        <v>468</v>
      </c>
      <c r="D621" s="12" t="s">
        <v>309</v>
      </c>
      <c r="E621" s="36" t="s">
        <v>310</v>
      </c>
      <c r="F621" s="13">
        <f>244.5-83.5</f>
        <v>161</v>
      </c>
      <c r="G621" s="13">
        <v>141.1</v>
      </c>
      <c r="H621" s="13">
        <f t="shared" si="117"/>
        <v>87.6</v>
      </c>
    </row>
    <row r="622" spans="1:8" ht="63" x14ac:dyDescent="0.25">
      <c r="A622" s="12" t="s">
        <v>146</v>
      </c>
      <c r="B622" s="12" t="s">
        <v>141</v>
      </c>
      <c r="C622" s="50" t="s">
        <v>120</v>
      </c>
      <c r="D622" s="12"/>
      <c r="E622" s="36" t="s">
        <v>172</v>
      </c>
      <c r="F622" s="13">
        <f t="shared" ref="F622:G622" si="118">F623</f>
        <v>168.1</v>
      </c>
      <c r="G622" s="13">
        <f t="shared" si="118"/>
        <v>129</v>
      </c>
      <c r="H622" s="13">
        <f t="shared" si="117"/>
        <v>76.7</v>
      </c>
    </row>
    <row r="623" spans="1:8" x14ac:dyDescent="0.25">
      <c r="A623" s="12" t="s">
        <v>146</v>
      </c>
      <c r="B623" s="12" t="s">
        <v>141</v>
      </c>
      <c r="C623" s="50" t="s">
        <v>120</v>
      </c>
      <c r="D623" s="12" t="s">
        <v>528</v>
      </c>
      <c r="E623" s="36" t="s">
        <v>529</v>
      </c>
      <c r="F623" s="13">
        <f>129.1+39</f>
        <v>168.1</v>
      </c>
      <c r="G623" s="13">
        <v>129</v>
      </c>
      <c r="H623" s="13">
        <f t="shared" si="117"/>
        <v>76.7</v>
      </c>
    </row>
    <row r="624" spans="1:8" ht="94.5" x14ac:dyDescent="0.25">
      <c r="A624" s="12" t="s">
        <v>146</v>
      </c>
      <c r="B624" s="12" t="s">
        <v>141</v>
      </c>
      <c r="C624" s="50" t="s">
        <v>704</v>
      </c>
      <c r="D624" s="12"/>
      <c r="E624" s="49" t="s">
        <v>705</v>
      </c>
      <c r="F624" s="13">
        <f>F625</f>
        <v>50</v>
      </c>
      <c r="G624" s="13">
        <f>G625</f>
        <v>50</v>
      </c>
      <c r="H624" s="13">
        <f t="shared" si="117"/>
        <v>100</v>
      </c>
    </row>
    <row r="625" spans="1:8" ht="47.25" x14ac:dyDescent="0.25">
      <c r="A625" s="12" t="s">
        <v>146</v>
      </c>
      <c r="B625" s="12" t="s">
        <v>141</v>
      </c>
      <c r="C625" s="50" t="s">
        <v>704</v>
      </c>
      <c r="D625" s="12" t="s">
        <v>309</v>
      </c>
      <c r="E625" s="41" t="s">
        <v>310</v>
      </c>
      <c r="F625" s="13">
        <v>50</v>
      </c>
      <c r="G625" s="13">
        <v>50</v>
      </c>
      <c r="H625" s="13">
        <f t="shared" si="117"/>
        <v>100</v>
      </c>
    </row>
    <row r="626" spans="1:8" x14ac:dyDescent="0.25">
      <c r="A626" s="12" t="s">
        <v>146</v>
      </c>
      <c r="B626" s="12" t="s">
        <v>141</v>
      </c>
      <c r="C626" s="12" t="s">
        <v>119</v>
      </c>
      <c r="D626" s="12"/>
      <c r="E626" s="35" t="s">
        <v>69</v>
      </c>
      <c r="F626" s="13">
        <f t="shared" ref="F626:G626" si="119">F627</f>
        <v>7039.7</v>
      </c>
      <c r="G626" s="13">
        <f t="shared" si="119"/>
        <v>5519.5</v>
      </c>
      <c r="H626" s="13">
        <f t="shared" si="117"/>
        <v>78.400000000000006</v>
      </c>
    </row>
    <row r="627" spans="1:8" ht="81" customHeight="1" x14ac:dyDescent="0.25">
      <c r="A627" s="12" t="s">
        <v>146</v>
      </c>
      <c r="B627" s="12" t="s">
        <v>141</v>
      </c>
      <c r="C627" s="39" t="s">
        <v>121</v>
      </c>
      <c r="D627" s="12"/>
      <c r="E627" s="36" t="s">
        <v>368</v>
      </c>
      <c r="F627" s="13">
        <f>SUM(F628:F629)</f>
        <v>7039.7</v>
      </c>
      <c r="G627" s="13">
        <f>SUM(G628:G629)</f>
        <v>5519.5</v>
      </c>
      <c r="H627" s="13">
        <f t="shared" si="117"/>
        <v>78.400000000000006</v>
      </c>
    </row>
    <row r="628" spans="1:8" ht="47.25" x14ac:dyDescent="0.25">
      <c r="A628" s="12" t="s">
        <v>146</v>
      </c>
      <c r="B628" s="12" t="s">
        <v>141</v>
      </c>
      <c r="C628" s="39" t="s">
        <v>121</v>
      </c>
      <c r="D628" s="12" t="s">
        <v>101</v>
      </c>
      <c r="E628" s="34" t="s">
        <v>102</v>
      </c>
      <c r="F628" s="13">
        <v>6631.5</v>
      </c>
      <c r="G628" s="13">
        <v>5252.5</v>
      </c>
      <c r="H628" s="13">
        <f t="shared" si="117"/>
        <v>79.2</v>
      </c>
    </row>
    <row r="629" spans="1:8" ht="47.25" x14ac:dyDescent="0.25">
      <c r="A629" s="12" t="s">
        <v>146</v>
      </c>
      <c r="B629" s="12" t="s">
        <v>141</v>
      </c>
      <c r="C629" s="39" t="s">
        <v>121</v>
      </c>
      <c r="D629" s="12" t="s">
        <v>309</v>
      </c>
      <c r="E629" s="36" t="s">
        <v>310</v>
      </c>
      <c r="F629" s="13">
        <f>406.6+1.6</f>
        <v>408.20000000000005</v>
      </c>
      <c r="G629" s="28">
        <v>267</v>
      </c>
      <c r="H629" s="13">
        <f t="shared" si="117"/>
        <v>65.400000000000006</v>
      </c>
    </row>
    <row r="630" spans="1:8" x14ac:dyDescent="0.25">
      <c r="A630" s="12" t="s">
        <v>143</v>
      </c>
      <c r="B630" s="11"/>
      <c r="C630" s="11"/>
      <c r="D630" s="11"/>
      <c r="E630" s="31" t="s">
        <v>30</v>
      </c>
      <c r="F630" s="13">
        <f>F631+F657</f>
        <v>62002.100000000006</v>
      </c>
      <c r="G630" s="13">
        <f>G631+G657</f>
        <v>50840</v>
      </c>
      <c r="H630" s="13">
        <f t="shared" si="117"/>
        <v>82</v>
      </c>
    </row>
    <row r="631" spans="1:8" x14ac:dyDescent="0.25">
      <c r="A631" s="12" t="s">
        <v>143</v>
      </c>
      <c r="B631" s="12" t="s">
        <v>132</v>
      </c>
      <c r="C631" s="12"/>
      <c r="D631" s="12"/>
      <c r="E631" s="11" t="s">
        <v>148</v>
      </c>
      <c r="F631" s="13">
        <f>F632+F651</f>
        <v>58615.3</v>
      </c>
      <c r="G631" s="13">
        <f>G632+G651</f>
        <v>48598.9</v>
      </c>
      <c r="H631" s="13">
        <f t="shared" si="117"/>
        <v>82.9</v>
      </c>
    </row>
    <row r="632" spans="1:8" ht="63" x14ac:dyDescent="0.25">
      <c r="A632" s="12" t="s">
        <v>143</v>
      </c>
      <c r="B632" s="12" t="s">
        <v>132</v>
      </c>
      <c r="C632" s="12" t="s">
        <v>97</v>
      </c>
      <c r="D632" s="12"/>
      <c r="E632" s="31" t="s">
        <v>394</v>
      </c>
      <c r="F632" s="13">
        <f t="shared" ref="F632:G632" si="120">F633</f>
        <v>58415.3</v>
      </c>
      <c r="G632" s="13">
        <f t="shared" si="120"/>
        <v>48398.9</v>
      </c>
      <c r="H632" s="13">
        <f t="shared" si="117"/>
        <v>82.9</v>
      </c>
    </row>
    <row r="633" spans="1:8" ht="31.5" x14ac:dyDescent="0.25">
      <c r="A633" s="12" t="s">
        <v>143</v>
      </c>
      <c r="B633" s="12" t="s">
        <v>132</v>
      </c>
      <c r="C633" s="12" t="s">
        <v>98</v>
      </c>
      <c r="D633" s="12"/>
      <c r="E633" s="31" t="s">
        <v>223</v>
      </c>
      <c r="F633" s="13">
        <f>F634+F637+F639+F642+F645+F647+F649</f>
        <v>58415.3</v>
      </c>
      <c r="G633" s="13">
        <f>G634+G637+G639+G642+G645+G647+G649</f>
        <v>48398.9</v>
      </c>
      <c r="H633" s="13">
        <f t="shared" si="117"/>
        <v>82.9</v>
      </c>
    </row>
    <row r="634" spans="1:8" ht="32.25" customHeight="1" x14ac:dyDescent="0.25">
      <c r="A634" s="12" t="s">
        <v>143</v>
      </c>
      <c r="B634" s="12" t="s">
        <v>132</v>
      </c>
      <c r="C634" s="39" t="s">
        <v>99</v>
      </c>
      <c r="D634" s="12"/>
      <c r="E634" s="31" t="s">
        <v>222</v>
      </c>
      <c r="F634" s="13">
        <f>F635+F636</f>
        <v>10964.2</v>
      </c>
      <c r="G634" s="13">
        <f>G635+G636</f>
        <v>8418</v>
      </c>
      <c r="H634" s="13">
        <f t="shared" si="117"/>
        <v>76.8</v>
      </c>
    </row>
    <row r="635" spans="1:8" ht="31.5" x14ac:dyDescent="0.25">
      <c r="A635" s="12" t="s">
        <v>143</v>
      </c>
      <c r="B635" s="12" t="s">
        <v>132</v>
      </c>
      <c r="C635" s="39" t="s">
        <v>99</v>
      </c>
      <c r="D635" s="12" t="s">
        <v>103</v>
      </c>
      <c r="E635" s="34" t="s">
        <v>167</v>
      </c>
      <c r="F635" s="13">
        <v>5635.6</v>
      </c>
      <c r="G635" s="13">
        <v>4596.7</v>
      </c>
      <c r="H635" s="13">
        <f t="shared" si="117"/>
        <v>81.599999999999994</v>
      </c>
    </row>
    <row r="636" spans="1:8" ht="47.25" x14ac:dyDescent="0.25">
      <c r="A636" s="12" t="s">
        <v>143</v>
      </c>
      <c r="B636" s="12" t="s">
        <v>132</v>
      </c>
      <c r="C636" s="39" t="s">
        <v>99</v>
      </c>
      <c r="D636" s="12" t="s">
        <v>309</v>
      </c>
      <c r="E636" s="36" t="s">
        <v>310</v>
      </c>
      <c r="F636" s="13">
        <f>5463.6+2.1-137.1</f>
        <v>5328.6</v>
      </c>
      <c r="G636" s="13">
        <v>3821.3</v>
      </c>
      <c r="H636" s="13">
        <f t="shared" si="117"/>
        <v>71.7</v>
      </c>
    </row>
    <row r="637" spans="1:8" ht="63" x14ac:dyDescent="0.25">
      <c r="A637" s="12" t="s">
        <v>143</v>
      </c>
      <c r="B637" s="12" t="s">
        <v>132</v>
      </c>
      <c r="C637" s="39" t="s">
        <v>62</v>
      </c>
      <c r="D637" s="12"/>
      <c r="E637" s="31" t="s">
        <v>224</v>
      </c>
      <c r="F637" s="13">
        <f t="shared" ref="F637:G637" si="121">F638</f>
        <v>30125.599999999999</v>
      </c>
      <c r="G637" s="13">
        <f t="shared" si="121"/>
        <v>25019</v>
      </c>
      <c r="H637" s="13">
        <f t="shared" si="117"/>
        <v>83</v>
      </c>
    </row>
    <row r="638" spans="1:8" x14ac:dyDescent="0.25">
      <c r="A638" s="12" t="s">
        <v>143</v>
      </c>
      <c r="B638" s="12" t="s">
        <v>132</v>
      </c>
      <c r="C638" s="39" t="s">
        <v>62</v>
      </c>
      <c r="D638" s="12" t="s">
        <v>325</v>
      </c>
      <c r="E638" s="36" t="s">
        <v>326</v>
      </c>
      <c r="F638" s="11">
        <f>30425.6-300</f>
        <v>30125.599999999999</v>
      </c>
      <c r="G638" s="13">
        <v>25019</v>
      </c>
      <c r="H638" s="13">
        <f t="shared" si="117"/>
        <v>83</v>
      </c>
    </row>
    <row r="639" spans="1:8" ht="63" x14ac:dyDescent="0.25">
      <c r="A639" s="12" t="s">
        <v>143</v>
      </c>
      <c r="B639" s="12" t="s">
        <v>132</v>
      </c>
      <c r="C639" s="39" t="s">
        <v>469</v>
      </c>
      <c r="D639" s="12"/>
      <c r="E639" s="36" t="s">
        <v>369</v>
      </c>
      <c r="F639" s="13">
        <f t="shared" ref="F639:G639" si="122">SUM(F640:F641)</f>
        <v>200</v>
      </c>
      <c r="G639" s="13">
        <f t="shared" si="122"/>
        <v>150</v>
      </c>
      <c r="H639" s="13">
        <f t="shared" si="117"/>
        <v>75</v>
      </c>
    </row>
    <row r="640" spans="1:8" ht="31.5" x14ac:dyDescent="0.25">
      <c r="A640" s="12" t="s">
        <v>143</v>
      </c>
      <c r="B640" s="12" t="s">
        <v>132</v>
      </c>
      <c r="C640" s="39" t="s">
        <v>469</v>
      </c>
      <c r="D640" s="12" t="s">
        <v>103</v>
      </c>
      <c r="E640" s="34" t="s">
        <v>167</v>
      </c>
      <c r="F640" s="13">
        <v>50</v>
      </c>
      <c r="G640" s="13"/>
      <c r="H640" s="13">
        <f t="shared" si="117"/>
        <v>0</v>
      </c>
    </row>
    <row r="641" spans="1:8" x14ac:dyDescent="0.25">
      <c r="A641" s="12" t="s">
        <v>143</v>
      </c>
      <c r="B641" s="12" t="s">
        <v>132</v>
      </c>
      <c r="C641" s="39" t="s">
        <v>469</v>
      </c>
      <c r="D641" s="12" t="s">
        <v>325</v>
      </c>
      <c r="E641" s="36" t="s">
        <v>326</v>
      </c>
      <c r="F641" s="13">
        <v>150</v>
      </c>
      <c r="G641" s="13">
        <v>150</v>
      </c>
      <c r="H641" s="13">
        <f t="shared" si="117"/>
        <v>100</v>
      </c>
    </row>
    <row r="642" spans="1:8" ht="66" customHeight="1" x14ac:dyDescent="0.25">
      <c r="A642" s="12" t="s">
        <v>143</v>
      </c>
      <c r="B642" s="12" t="s">
        <v>132</v>
      </c>
      <c r="C642" s="39">
        <v>210110680</v>
      </c>
      <c r="D642" s="12"/>
      <c r="E642" s="36" t="s">
        <v>530</v>
      </c>
      <c r="F642" s="13">
        <f t="shared" ref="F642:G642" si="123">SUM(F643:F644)</f>
        <v>14365.4</v>
      </c>
      <c r="G642" s="13">
        <f t="shared" si="123"/>
        <v>12351.800000000001</v>
      </c>
      <c r="H642" s="13">
        <f t="shared" si="117"/>
        <v>86</v>
      </c>
    </row>
    <row r="643" spans="1:8" ht="31.5" x14ac:dyDescent="0.25">
      <c r="A643" s="12" t="s">
        <v>143</v>
      </c>
      <c r="B643" s="12" t="s">
        <v>132</v>
      </c>
      <c r="C643" s="39">
        <v>210110680</v>
      </c>
      <c r="D643" s="12" t="s">
        <v>103</v>
      </c>
      <c r="E643" s="34" t="s">
        <v>167</v>
      </c>
      <c r="F643" s="13">
        <v>4287.3999999999996</v>
      </c>
      <c r="G643" s="13">
        <v>3281.6</v>
      </c>
      <c r="H643" s="13">
        <f t="shared" si="117"/>
        <v>76.5</v>
      </c>
    </row>
    <row r="644" spans="1:8" x14ac:dyDescent="0.25">
      <c r="A644" s="12" t="s">
        <v>143</v>
      </c>
      <c r="B644" s="12" t="s">
        <v>132</v>
      </c>
      <c r="C644" s="39">
        <v>210110680</v>
      </c>
      <c r="D644" s="12" t="s">
        <v>325</v>
      </c>
      <c r="E644" s="36" t="s">
        <v>326</v>
      </c>
      <c r="F644" s="13">
        <v>10078</v>
      </c>
      <c r="G644" s="13">
        <v>9070.2000000000007</v>
      </c>
      <c r="H644" s="13">
        <f t="shared" si="117"/>
        <v>90</v>
      </c>
    </row>
    <row r="645" spans="1:8" ht="31.5" x14ac:dyDescent="0.25">
      <c r="A645" s="12" t="s">
        <v>143</v>
      </c>
      <c r="B645" s="12" t="s">
        <v>132</v>
      </c>
      <c r="C645" s="39" t="s">
        <v>611</v>
      </c>
      <c r="D645" s="12"/>
      <c r="E645" s="38" t="s">
        <v>612</v>
      </c>
      <c r="F645" s="13">
        <f>F646</f>
        <v>1145.9000000000001</v>
      </c>
      <c r="G645" s="13">
        <f t="shared" ref="G645" si="124">G646</f>
        <v>845.9</v>
      </c>
      <c r="H645" s="13">
        <f t="shared" si="117"/>
        <v>73.8</v>
      </c>
    </row>
    <row r="646" spans="1:8" x14ac:dyDescent="0.25">
      <c r="A646" s="12" t="s">
        <v>143</v>
      </c>
      <c r="B646" s="12" t="s">
        <v>132</v>
      </c>
      <c r="C646" s="39" t="s">
        <v>611</v>
      </c>
      <c r="D646" s="12" t="s">
        <v>325</v>
      </c>
      <c r="E646" s="36" t="s">
        <v>326</v>
      </c>
      <c r="F646" s="13">
        <f>845.9+300</f>
        <v>1145.9000000000001</v>
      </c>
      <c r="G646" s="13">
        <v>845.9</v>
      </c>
      <c r="H646" s="13">
        <f t="shared" si="117"/>
        <v>73.8</v>
      </c>
    </row>
    <row r="647" spans="1:8" ht="63" x14ac:dyDescent="0.25">
      <c r="A647" s="12" t="s">
        <v>143</v>
      </c>
      <c r="B647" s="12" t="s">
        <v>132</v>
      </c>
      <c r="C647" s="23" t="s">
        <v>531</v>
      </c>
      <c r="D647" s="12"/>
      <c r="E647" s="38" t="s">
        <v>532</v>
      </c>
      <c r="F647" s="13">
        <f>F648</f>
        <v>1513.2</v>
      </c>
      <c r="G647" s="13">
        <f t="shared" ref="G647:G649" si="125">G648</f>
        <v>1513.2</v>
      </c>
      <c r="H647" s="13">
        <f t="shared" si="117"/>
        <v>100</v>
      </c>
    </row>
    <row r="648" spans="1:8" x14ac:dyDescent="0.25">
      <c r="A648" s="12" t="s">
        <v>143</v>
      </c>
      <c r="B648" s="12" t="s">
        <v>132</v>
      </c>
      <c r="C648" s="10" t="s">
        <v>531</v>
      </c>
      <c r="D648" s="12" t="s">
        <v>325</v>
      </c>
      <c r="E648" s="36" t="s">
        <v>326</v>
      </c>
      <c r="F648" s="13">
        <f>36+1483.2-6</f>
        <v>1513.2</v>
      </c>
      <c r="G648" s="13">
        <f>36+1483.2-6</f>
        <v>1513.2</v>
      </c>
      <c r="H648" s="13">
        <f t="shared" si="117"/>
        <v>100</v>
      </c>
    </row>
    <row r="649" spans="1:8" ht="63" x14ac:dyDescent="0.25">
      <c r="A649" s="12" t="s">
        <v>143</v>
      </c>
      <c r="B649" s="12" t="s">
        <v>132</v>
      </c>
      <c r="C649" s="10" t="s">
        <v>613</v>
      </c>
      <c r="D649" s="12"/>
      <c r="E649" s="38" t="s">
        <v>706</v>
      </c>
      <c r="F649" s="13">
        <f>F650</f>
        <v>101</v>
      </c>
      <c r="G649" s="13">
        <f t="shared" si="125"/>
        <v>101</v>
      </c>
      <c r="H649" s="13">
        <f t="shared" si="117"/>
        <v>100</v>
      </c>
    </row>
    <row r="650" spans="1:8" x14ac:dyDescent="0.25">
      <c r="A650" s="12" t="s">
        <v>143</v>
      </c>
      <c r="B650" s="12" t="s">
        <v>132</v>
      </c>
      <c r="C650" s="10" t="s">
        <v>613</v>
      </c>
      <c r="D650" s="12" t="s">
        <v>325</v>
      </c>
      <c r="E650" s="36" t="s">
        <v>326</v>
      </c>
      <c r="F650" s="13">
        <f>1+100</f>
        <v>101</v>
      </c>
      <c r="G650" s="13">
        <f>1+100</f>
        <v>101</v>
      </c>
      <c r="H650" s="13">
        <f t="shared" si="117"/>
        <v>100</v>
      </c>
    </row>
    <row r="651" spans="1:8" ht="31.5" x14ac:dyDescent="0.25">
      <c r="A651" s="12" t="s">
        <v>143</v>
      </c>
      <c r="B651" s="12" t="s">
        <v>132</v>
      </c>
      <c r="C651" s="33">
        <v>9900000000</v>
      </c>
      <c r="D651" s="12"/>
      <c r="E651" s="37" t="s">
        <v>179</v>
      </c>
      <c r="F651" s="13">
        <f t="shared" ref="F651:G651" si="126">F652</f>
        <v>200</v>
      </c>
      <c r="G651" s="13">
        <f t="shared" si="126"/>
        <v>200</v>
      </c>
      <c r="H651" s="13">
        <f t="shared" si="117"/>
        <v>100</v>
      </c>
    </row>
    <row r="652" spans="1:8" ht="47.25" x14ac:dyDescent="0.25">
      <c r="A652" s="12" t="s">
        <v>143</v>
      </c>
      <c r="B652" s="12" t="s">
        <v>132</v>
      </c>
      <c r="C652" s="12" t="s">
        <v>34</v>
      </c>
      <c r="D652" s="12"/>
      <c r="E652" s="31" t="s">
        <v>55</v>
      </c>
      <c r="F652" s="13">
        <f t="shared" ref="F652:G652" si="127">F653+F655</f>
        <v>200</v>
      </c>
      <c r="G652" s="13">
        <f t="shared" si="127"/>
        <v>200</v>
      </c>
      <c r="H652" s="13">
        <f t="shared" si="117"/>
        <v>100</v>
      </c>
    </row>
    <row r="653" spans="1:8" ht="63" x14ac:dyDescent="0.25">
      <c r="A653" s="12" t="s">
        <v>143</v>
      </c>
      <c r="B653" s="12" t="s">
        <v>132</v>
      </c>
      <c r="C653" s="12" t="s">
        <v>425</v>
      </c>
      <c r="D653" s="12"/>
      <c r="E653" s="35" t="s">
        <v>426</v>
      </c>
      <c r="F653" s="13">
        <f t="shared" ref="F653:G653" si="128">F654</f>
        <v>75</v>
      </c>
      <c r="G653" s="13">
        <f t="shared" si="128"/>
        <v>75</v>
      </c>
      <c r="H653" s="13">
        <f t="shared" si="117"/>
        <v>100</v>
      </c>
    </row>
    <row r="654" spans="1:8" ht="47.25" x14ac:dyDescent="0.25">
      <c r="A654" s="12" t="s">
        <v>143</v>
      </c>
      <c r="B654" s="12" t="s">
        <v>132</v>
      </c>
      <c r="C654" s="12" t="s">
        <v>425</v>
      </c>
      <c r="D654" s="12" t="s">
        <v>309</v>
      </c>
      <c r="E654" s="36" t="s">
        <v>310</v>
      </c>
      <c r="F654" s="13">
        <v>75</v>
      </c>
      <c r="G654" s="13">
        <v>75</v>
      </c>
      <c r="H654" s="13">
        <f t="shared" si="117"/>
        <v>100</v>
      </c>
    </row>
    <row r="655" spans="1:8" ht="63" x14ac:dyDescent="0.25">
      <c r="A655" s="12" t="s">
        <v>143</v>
      </c>
      <c r="B655" s="12" t="s">
        <v>132</v>
      </c>
      <c r="C655" s="12" t="s">
        <v>442</v>
      </c>
      <c r="D655" s="12"/>
      <c r="E655" s="35" t="s">
        <v>426</v>
      </c>
      <c r="F655" s="13">
        <f>F656</f>
        <v>125</v>
      </c>
      <c r="G655" s="13">
        <f>G656</f>
        <v>125</v>
      </c>
      <c r="H655" s="13">
        <f t="shared" si="117"/>
        <v>100</v>
      </c>
    </row>
    <row r="656" spans="1:8" x14ac:dyDescent="0.25">
      <c r="A656" s="12" t="s">
        <v>143</v>
      </c>
      <c r="B656" s="12" t="s">
        <v>132</v>
      </c>
      <c r="C656" s="12" t="s">
        <v>442</v>
      </c>
      <c r="D656" s="12" t="s">
        <v>325</v>
      </c>
      <c r="E656" s="36" t="s">
        <v>326</v>
      </c>
      <c r="F656" s="13">
        <v>125</v>
      </c>
      <c r="G656" s="13">
        <v>125</v>
      </c>
      <c r="H656" s="13">
        <f t="shared" si="117"/>
        <v>100</v>
      </c>
    </row>
    <row r="657" spans="1:8" ht="31.5" x14ac:dyDescent="0.25">
      <c r="A657" s="12" t="s">
        <v>143</v>
      </c>
      <c r="B657" s="12" t="s">
        <v>136</v>
      </c>
      <c r="C657" s="12"/>
      <c r="D657" s="12"/>
      <c r="E657" s="31" t="s">
        <v>15</v>
      </c>
      <c r="F657" s="13">
        <f>F658</f>
        <v>3386.8</v>
      </c>
      <c r="G657" s="13">
        <f>G658</f>
        <v>2241.1000000000004</v>
      </c>
      <c r="H657" s="13">
        <f t="shared" si="117"/>
        <v>66.2</v>
      </c>
    </row>
    <row r="658" spans="1:8" ht="63" x14ac:dyDescent="0.25">
      <c r="A658" s="12" t="s">
        <v>143</v>
      </c>
      <c r="B658" s="12" t="s">
        <v>136</v>
      </c>
      <c r="C658" s="12" t="s">
        <v>97</v>
      </c>
      <c r="D658" s="12"/>
      <c r="E658" s="31" t="s">
        <v>394</v>
      </c>
      <c r="F658" s="13">
        <f>F659+F664</f>
        <v>3386.8</v>
      </c>
      <c r="G658" s="13">
        <f>G659+G664</f>
        <v>2241.1000000000004</v>
      </c>
      <c r="H658" s="13">
        <f t="shared" si="117"/>
        <v>66.2</v>
      </c>
    </row>
    <row r="659" spans="1:8" ht="31.5" x14ac:dyDescent="0.25">
      <c r="A659" s="12" t="s">
        <v>143</v>
      </c>
      <c r="B659" s="12" t="s">
        <v>136</v>
      </c>
      <c r="C659" s="12" t="s">
        <v>98</v>
      </c>
      <c r="D659" s="12"/>
      <c r="E659" s="31" t="s">
        <v>223</v>
      </c>
      <c r="F659" s="13">
        <f>F660+F662</f>
        <v>590</v>
      </c>
      <c r="G659" s="13">
        <f>G660+G662</f>
        <v>199</v>
      </c>
      <c r="H659" s="13">
        <f t="shared" si="117"/>
        <v>33.700000000000003</v>
      </c>
    </row>
    <row r="660" spans="1:8" ht="63" x14ac:dyDescent="0.25">
      <c r="A660" s="12" t="s">
        <v>143</v>
      </c>
      <c r="B660" s="12" t="s">
        <v>136</v>
      </c>
      <c r="C660" s="12" t="s">
        <v>370</v>
      </c>
      <c r="D660" s="12"/>
      <c r="E660" s="36" t="s">
        <v>227</v>
      </c>
      <c r="F660" s="13">
        <f t="shared" ref="F660:G660" si="129">F661</f>
        <v>490</v>
      </c>
      <c r="G660" s="13">
        <f t="shared" si="129"/>
        <v>99</v>
      </c>
      <c r="H660" s="13">
        <f t="shared" si="117"/>
        <v>20.2</v>
      </c>
    </row>
    <row r="661" spans="1:8" ht="47.25" x14ac:dyDescent="0.25">
      <c r="A661" s="12" t="s">
        <v>143</v>
      </c>
      <c r="B661" s="12" t="s">
        <v>136</v>
      </c>
      <c r="C661" s="12" t="s">
        <v>370</v>
      </c>
      <c r="D661" s="12" t="s">
        <v>309</v>
      </c>
      <c r="E661" s="36" t="s">
        <v>310</v>
      </c>
      <c r="F661" s="13">
        <f>200+90+200</f>
        <v>490</v>
      </c>
      <c r="G661" s="13">
        <v>99</v>
      </c>
      <c r="H661" s="13">
        <f t="shared" si="117"/>
        <v>20.2</v>
      </c>
    </row>
    <row r="662" spans="1:8" ht="47.25" x14ac:dyDescent="0.25">
      <c r="A662" s="12" t="s">
        <v>143</v>
      </c>
      <c r="B662" s="12" t="s">
        <v>136</v>
      </c>
      <c r="C662" s="12" t="s">
        <v>707</v>
      </c>
      <c r="D662" s="12"/>
      <c r="E662" s="36" t="s">
        <v>708</v>
      </c>
      <c r="F662" s="13">
        <f>SUM(F663)</f>
        <v>100</v>
      </c>
      <c r="G662" s="13">
        <f>SUM(G663)</f>
        <v>100</v>
      </c>
      <c r="H662" s="13">
        <f t="shared" si="117"/>
        <v>100</v>
      </c>
    </row>
    <row r="663" spans="1:8" ht="47.25" x14ac:dyDescent="0.25">
      <c r="A663" s="12" t="s">
        <v>143</v>
      </c>
      <c r="B663" s="12" t="s">
        <v>136</v>
      </c>
      <c r="C663" s="12" t="s">
        <v>707</v>
      </c>
      <c r="D663" s="12" t="s">
        <v>309</v>
      </c>
      <c r="E663" s="36" t="s">
        <v>310</v>
      </c>
      <c r="F663" s="13">
        <v>100</v>
      </c>
      <c r="G663" s="13">
        <v>100</v>
      </c>
      <c r="H663" s="13">
        <f t="shared" si="117"/>
        <v>100</v>
      </c>
    </row>
    <row r="664" spans="1:8" x14ac:dyDescent="0.25">
      <c r="A664" s="54" t="s">
        <v>143</v>
      </c>
      <c r="B664" s="54" t="s">
        <v>136</v>
      </c>
      <c r="C664" s="54" t="s">
        <v>43</v>
      </c>
      <c r="D664" s="54"/>
      <c r="E664" s="35" t="s">
        <v>69</v>
      </c>
      <c r="F664" s="28">
        <f t="shared" ref="F664:G664" si="130">F665</f>
        <v>2796.8</v>
      </c>
      <c r="G664" s="28">
        <f t="shared" si="130"/>
        <v>2042.1000000000001</v>
      </c>
      <c r="H664" s="13">
        <f t="shared" si="117"/>
        <v>73</v>
      </c>
    </row>
    <row r="665" spans="1:8" ht="94.5" x14ac:dyDescent="0.25">
      <c r="A665" s="12" t="s">
        <v>143</v>
      </c>
      <c r="B665" s="12" t="s">
        <v>136</v>
      </c>
      <c r="C665" s="55" t="s">
        <v>234</v>
      </c>
      <c r="D665" s="12"/>
      <c r="E665" s="36" t="s">
        <v>371</v>
      </c>
      <c r="F665" s="13">
        <f>SUM(F666:F667)</f>
        <v>2796.8</v>
      </c>
      <c r="G665" s="13">
        <f>SUM(G666:G667)</f>
        <v>2042.1000000000001</v>
      </c>
      <c r="H665" s="13">
        <f t="shared" si="117"/>
        <v>73</v>
      </c>
    </row>
    <row r="666" spans="1:8" ht="47.25" x14ac:dyDescent="0.25">
      <c r="A666" s="12" t="s">
        <v>143</v>
      </c>
      <c r="B666" s="12" t="s">
        <v>136</v>
      </c>
      <c r="C666" s="55" t="s">
        <v>234</v>
      </c>
      <c r="D666" s="12" t="s">
        <v>101</v>
      </c>
      <c r="E666" s="34" t="s">
        <v>102</v>
      </c>
      <c r="F666" s="13">
        <v>2762.5</v>
      </c>
      <c r="G666" s="13">
        <v>2026.4</v>
      </c>
      <c r="H666" s="13">
        <f t="shared" si="117"/>
        <v>73.400000000000006</v>
      </c>
    </row>
    <row r="667" spans="1:8" ht="47.25" x14ac:dyDescent="0.25">
      <c r="A667" s="12" t="s">
        <v>143</v>
      </c>
      <c r="B667" s="12" t="s">
        <v>136</v>
      </c>
      <c r="C667" s="55" t="s">
        <v>234</v>
      </c>
      <c r="D667" s="12" t="s">
        <v>309</v>
      </c>
      <c r="E667" s="36" t="s">
        <v>310</v>
      </c>
      <c r="F667" s="13">
        <v>34.299999999999997</v>
      </c>
      <c r="G667" s="13">
        <v>15.7</v>
      </c>
      <c r="H667" s="13">
        <f t="shared" si="117"/>
        <v>45.8</v>
      </c>
    </row>
    <row r="668" spans="1:8" x14ac:dyDescent="0.25">
      <c r="A668" s="12" t="s">
        <v>152</v>
      </c>
      <c r="B668" s="11"/>
      <c r="C668" s="11"/>
      <c r="D668" s="11"/>
      <c r="E668" s="31" t="s">
        <v>153</v>
      </c>
      <c r="F668" s="13">
        <f>F669+F674+F693</f>
        <v>44030.299999999996</v>
      </c>
      <c r="G668" s="13">
        <f>G669+G674+G693</f>
        <v>26736.400000000001</v>
      </c>
      <c r="H668" s="13">
        <f t="shared" si="117"/>
        <v>60.7</v>
      </c>
    </row>
    <row r="669" spans="1:8" x14ac:dyDescent="0.25">
      <c r="A669" s="12" t="s">
        <v>152</v>
      </c>
      <c r="B669" s="12" t="s">
        <v>132</v>
      </c>
      <c r="C669" s="12"/>
      <c r="D669" s="12"/>
      <c r="E669" s="11" t="s">
        <v>154</v>
      </c>
      <c r="F669" s="13">
        <f t="shared" ref="F669:G672" si="131">F670</f>
        <v>2892.2</v>
      </c>
      <c r="G669" s="13">
        <f t="shared" si="131"/>
        <v>2015.5</v>
      </c>
      <c r="H669" s="13">
        <f t="shared" si="117"/>
        <v>69.7</v>
      </c>
    </row>
    <row r="670" spans="1:8" ht="63" x14ac:dyDescent="0.25">
      <c r="A670" s="12" t="s">
        <v>152</v>
      </c>
      <c r="B670" s="12" t="s">
        <v>132</v>
      </c>
      <c r="C670" s="12" t="s">
        <v>47</v>
      </c>
      <c r="D670" s="11"/>
      <c r="E670" s="31" t="s">
        <v>470</v>
      </c>
      <c r="F670" s="13">
        <f t="shared" si="131"/>
        <v>2892.2</v>
      </c>
      <c r="G670" s="13">
        <f t="shared" si="131"/>
        <v>2015.5</v>
      </c>
      <c r="H670" s="13">
        <f t="shared" si="117"/>
        <v>69.7</v>
      </c>
    </row>
    <row r="671" spans="1:8" ht="31.5" x14ac:dyDescent="0.25">
      <c r="A671" s="12" t="s">
        <v>152</v>
      </c>
      <c r="B671" s="12" t="s">
        <v>132</v>
      </c>
      <c r="C671" s="12" t="s">
        <v>49</v>
      </c>
      <c r="D671" s="11"/>
      <c r="E671" s="31" t="s">
        <v>126</v>
      </c>
      <c r="F671" s="13">
        <f t="shared" si="131"/>
        <v>2892.2</v>
      </c>
      <c r="G671" s="13">
        <f t="shared" si="131"/>
        <v>2015.5</v>
      </c>
      <c r="H671" s="13">
        <f t="shared" si="117"/>
        <v>69.7</v>
      </c>
    </row>
    <row r="672" spans="1:8" ht="31.5" x14ac:dyDescent="0.25">
      <c r="A672" s="12" t="s">
        <v>152</v>
      </c>
      <c r="B672" s="12" t="s">
        <v>132</v>
      </c>
      <c r="C672" s="33" t="s">
        <v>195</v>
      </c>
      <c r="D672" s="11"/>
      <c r="E672" s="31" t="s">
        <v>533</v>
      </c>
      <c r="F672" s="13">
        <f t="shared" si="131"/>
        <v>2892.2</v>
      </c>
      <c r="G672" s="13">
        <f t="shared" si="131"/>
        <v>2015.5</v>
      </c>
      <c r="H672" s="13">
        <f t="shared" si="117"/>
        <v>69.7</v>
      </c>
    </row>
    <row r="673" spans="1:8" ht="31.5" x14ac:dyDescent="0.25">
      <c r="A673" s="12" t="s">
        <v>152</v>
      </c>
      <c r="B673" s="12" t="s">
        <v>132</v>
      </c>
      <c r="C673" s="33" t="s">
        <v>195</v>
      </c>
      <c r="D673" s="12" t="s">
        <v>372</v>
      </c>
      <c r="E673" s="36" t="s">
        <v>373</v>
      </c>
      <c r="F673" s="13">
        <v>2892.2</v>
      </c>
      <c r="G673" s="13">
        <v>2015.5</v>
      </c>
      <c r="H673" s="13">
        <f t="shared" si="117"/>
        <v>69.7</v>
      </c>
    </row>
    <row r="674" spans="1:8" x14ac:dyDescent="0.25">
      <c r="A674" s="12" t="s">
        <v>152</v>
      </c>
      <c r="B674" s="12" t="s">
        <v>135</v>
      </c>
      <c r="C674" s="12"/>
      <c r="D674" s="12"/>
      <c r="E674" s="11" t="s">
        <v>157</v>
      </c>
      <c r="F674" s="13">
        <f>F675+F679+F685+F689</f>
        <v>2727.5</v>
      </c>
      <c r="G674" s="13">
        <f t="shared" ref="G674" si="132">G675+G679+G685+G689</f>
        <v>2267.6</v>
      </c>
      <c r="H674" s="13">
        <f t="shared" si="117"/>
        <v>83.1</v>
      </c>
    </row>
    <row r="675" spans="1:8" ht="47.25" x14ac:dyDescent="0.25">
      <c r="A675" s="12" t="s">
        <v>152</v>
      </c>
      <c r="B675" s="12" t="s">
        <v>135</v>
      </c>
      <c r="C675" s="12" t="s">
        <v>116</v>
      </c>
      <c r="D675" s="12"/>
      <c r="E675" s="31" t="s">
        <v>439</v>
      </c>
      <c r="F675" s="13">
        <f t="shared" ref="F675:G677" si="133">F676</f>
        <v>1116</v>
      </c>
      <c r="G675" s="13">
        <f t="shared" si="133"/>
        <v>714.1</v>
      </c>
      <c r="H675" s="13">
        <f t="shared" si="117"/>
        <v>64</v>
      </c>
    </row>
    <row r="676" spans="1:8" ht="31.5" x14ac:dyDescent="0.25">
      <c r="A676" s="12" t="s">
        <v>152</v>
      </c>
      <c r="B676" s="12" t="s">
        <v>135</v>
      </c>
      <c r="C676" s="12" t="s">
        <v>117</v>
      </c>
      <c r="D676" s="12"/>
      <c r="E676" s="31" t="s">
        <v>61</v>
      </c>
      <c r="F676" s="13">
        <f t="shared" si="133"/>
        <v>1116</v>
      </c>
      <c r="G676" s="13">
        <f t="shared" si="133"/>
        <v>714.1</v>
      </c>
      <c r="H676" s="13">
        <f t="shared" si="117"/>
        <v>64</v>
      </c>
    </row>
    <row r="677" spans="1:8" ht="123" customHeight="1" x14ac:dyDescent="0.25">
      <c r="A677" s="12" t="s">
        <v>152</v>
      </c>
      <c r="B677" s="12" t="s">
        <v>135</v>
      </c>
      <c r="C677" s="12" t="s">
        <v>471</v>
      </c>
      <c r="D677" s="12"/>
      <c r="E677" s="36" t="s">
        <v>236</v>
      </c>
      <c r="F677" s="13">
        <f t="shared" si="133"/>
        <v>1116</v>
      </c>
      <c r="G677" s="13">
        <f t="shared" si="133"/>
        <v>714.1</v>
      </c>
      <c r="H677" s="13">
        <f t="shared" si="117"/>
        <v>64</v>
      </c>
    </row>
    <row r="678" spans="1:8" ht="31.5" x14ac:dyDescent="0.25">
      <c r="A678" s="12" t="s">
        <v>152</v>
      </c>
      <c r="B678" s="12" t="s">
        <v>135</v>
      </c>
      <c r="C678" s="12" t="s">
        <v>471</v>
      </c>
      <c r="D678" s="12" t="s">
        <v>372</v>
      </c>
      <c r="E678" s="36" t="s">
        <v>373</v>
      </c>
      <c r="F678" s="13">
        <v>1116</v>
      </c>
      <c r="G678" s="13">
        <v>714.1</v>
      </c>
      <c r="H678" s="13">
        <f t="shared" si="117"/>
        <v>64</v>
      </c>
    </row>
    <row r="679" spans="1:8" ht="63" x14ac:dyDescent="0.25">
      <c r="A679" s="12" t="s">
        <v>152</v>
      </c>
      <c r="B679" s="12" t="s">
        <v>135</v>
      </c>
      <c r="C679" s="12" t="s">
        <v>47</v>
      </c>
      <c r="D679" s="11"/>
      <c r="E679" s="31" t="s">
        <v>470</v>
      </c>
      <c r="F679" s="13">
        <f t="shared" ref="F679:G679" si="134">F680</f>
        <v>858</v>
      </c>
      <c r="G679" s="13">
        <f t="shared" si="134"/>
        <v>750</v>
      </c>
      <c r="H679" s="13">
        <f t="shared" si="117"/>
        <v>87.4</v>
      </c>
    </row>
    <row r="680" spans="1:8" ht="31.5" x14ac:dyDescent="0.25">
      <c r="A680" s="12" t="s">
        <v>152</v>
      </c>
      <c r="B680" s="12" t="s">
        <v>135</v>
      </c>
      <c r="C680" s="12" t="s">
        <v>49</v>
      </c>
      <c r="D680" s="12"/>
      <c r="E680" s="31" t="s">
        <v>126</v>
      </c>
      <c r="F680" s="13">
        <f t="shared" ref="F680:G680" si="135">F681+F683</f>
        <v>858</v>
      </c>
      <c r="G680" s="13">
        <f t="shared" si="135"/>
        <v>750</v>
      </c>
      <c r="H680" s="13">
        <f t="shared" si="117"/>
        <v>87.4</v>
      </c>
    </row>
    <row r="681" spans="1:8" ht="47.25" x14ac:dyDescent="0.25">
      <c r="A681" s="12" t="s">
        <v>152</v>
      </c>
      <c r="B681" s="12" t="s">
        <v>135</v>
      </c>
      <c r="C681" s="33" t="s">
        <v>196</v>
      </c>
      <c r="D681" s="12"/>
      <c r="E681" s="36" t="s">
        <v>218</v>
      </c>
      <c r="F681" s="13">
        <f t="shared" ref="F681:G681" si="136">F682</f>
        <v>190</v>
      </c>
      <c r="G681" s="13">
        <f t="shared" si="136"/>
        <v>190</v>
      </c>
      <c r="H681" s="13">
        <f t="shared" ref="H681:H746" si="137">ROUND((G681/F681*100),1)</f>
        <v>100</v>
      </c>
    </row>
    <row r="682" spans="1:8" x14ac:dyDescent="0.25">
      <c r="A682" s="12" t="s">
        <v>152</v>
      </c>
      <c r="B682" s="12" t="s">
        <v>135</v>
      </c>
      <c r="C682" s="33" t="s">
        <v>196</v>
      </c>
      <c r="D682" s="12" t="s">
        <v>127</v>
      </c>
      <c r="E682" s="36" t="s">
        <v>128</v>
      </c>
      <c r="F682" s="13">
        <f>200+200-200-10</f>
        <v>190</v>
      </c>
      <c r="G682" s="13">
        <f>200+200-200-10</f>
        <v>190</v>
      </c>
      <c r="H682" s="13">
        <f t="shared" si="137"/>
        <v>100</v>
      </c>
    </row>
    <row r="683" spans="1:8" ht="78" customHeight="1" x14ac:dyDescent="0.25">
      <c r="A683" s="12" t="s">
        <v>152</v>
      </c>
      <c r="B683" s="12" t="s">
        <v>135</v>
      </c>
      <c r="C683" s="33" t="s">
        <v>197</v>
      </c>
      <c r="D683" s="12"/>
      <c r="E683" s="36" t="s">
        <v>11</v>
      </c>
      <c r="F683" s="13">
        <f t="shared" ref="F683:G683" si="138">F684</f>
        <v>668</v>
      </c>
      <c r="G683" s="13">
        <f t="shared" si="138"/>
        <v>560</v>
      </c>
      <c r="H683" s="13">
        <f t="shared" si="137"/>
        <v>83.8</v>
      </c>
    </row>
    <row r="684" spans="1:8" ht="94.5" x14ac:dyDescent="0.25">
      <c r="A684" s="12" t="s">
        <v>152</v>
      </c>
      <c r="B684" s="12" t="s">
        <v>135</v>
      </c>
      <c r="C684" s="33" t="s">
        <v>197</v>
      </c>
      <c r="D684" s="12" t="s">
        <v>376</v>
      </c>
      <c r="E684" s="31" t="s">
        <v>534</v>
      </c>
      <c r="F684" s="13">
        <f>638+30</f>
        <v>668</v>
      </c>
      <c r="G684" s="13">
        <v>560</v>
      </c>
      <c r="H684" s="13">
        <f t="shared" si="137"/>
        <v>83.8</v>
      </c>
    </row>
    <row r="685" spans="1:8" ht="62.25" customHeight="1" x14ac:dyDescent="0.25">
      <c r="A685" s="12" t="s">
        <v>152</v>
      </c>
      <c r="B685" s="12" t="s">
        <v>135</v>
      </c>
      <c r="C685" s="39">
        <v>400000000</v>
      </c>
      <c r="D685" s="12"/>
      <c r="E685" s="31" t="s">
        <v>395</v>
      </c>
      <c r="F685" s="13">
        <f t="shared" ref="F685:G687" si="139">F686</f>
        <v>703.5</v>
      </c>
      <c r="G685" s="13">
        <f t="shared" si="139"/>
        <v>703.5</v>
      </c>
      <c r="H685" s="13">
        <f t="shared" si="137"/>
        <v>100</v>
      </c>
    </row>
    <row r="686" spans="1:8" ht="157.5" x14ac:dyDescent="0.25">
      <c r="A686" s="12" t="s">
        <v>152</v>
      </c>
      <c r="B686" s="12" t="s">
        <v>135</v>
      </c>
      <c r="C686" s="39">
        <v>430000000</v>
      </c>
      <c r="D686" s="12"/>
      <c r="E686" s="31" t="s">
        <v>346</v>
      </c>
      <c r="F686" s="13">
        <f t="shared" si="139"/>
        <v>703.5</v>
      </c>
      <c r="G686" s="13">
        <f t="shared" si="139"/>
        <v>703.5</v>
      </c>
      <c r="H686" s="13">
        <f t="shared" si="137"/>
        <v>100</v>
      </c>
    </row>
    <row r="687" spans="1:8" ht="126" x14ac:dyDescent="0.25">
      <c r="A687" s="12" t="s">
        <v>152</v>
      </c>
      <c r="B687" s="12" t="s">
        <v>135</v>
      </c>
      <c r="C687" s="33" t="s">
        <v>214</v>
      </c>
      <c r="D687" s="12"/>
      <c r="E687" s="36" t="s">
        <v>474</v>
      </c>
      <c r="F687" s="13">
        <f t="shared" si="139"/>
        <v>703.5</v>
      </c>
      <c r="G687" s="13">
        <f t="shared" si="139"/>
        <v>703.5</v>
      </c>
      <c r="H687" s="13">
        <f t="shared" si="137"/>
        <v>100</v>
      </c>
    </row>
    <row r="688" spans="1:8" ht="78.75" x14ac:dyDescent="0.25">
      <c r="A688" s="12" t="s">
        <v>152</v>
      </c>
      <c r="B688" s="12" t="s">
        <v>135</v>
      </c>
      <c r="C688" s="33" t="s">
        <v>214</v>
      </c>
      <c r="D688" s="12" t="s">
        <v>327</v>
      </c>
      <c r="E688" s="36" t="s">
        <v>488</v>
      </c>
      <c r="F688" s="13">
        <f>600+103.5</f>
        <v>703.5</v>
      </c>
      <c r="G688" s="13">
        <f>600+103.5</f>
        <v>703.5</v>
      </c>
      <c r="H688" s="13">
        <f t="shared" si="137"/>
        <v>100</v>
      </c>
    </row>
    <row r="689" spans="1:8" ht="31.5" x14ac:dyDescent="0.25">
      <c r="A689" s="12" t="s">
        <v>152</v>
      </c>
      <c r="B689" s="12" t="s">
        <v>135</v>
      </c>
      <c r="C689" s="33">
        <v>9900000000</v>
      </c>
      <c r="D689" s="12"/>
      <c r="E689" s="34" t="s">
        <v>178</v>
      </c>
      <c r="F689" s="13">
        <f>F690</f>
        <v>50</v>
      </c>
      <c r="G689" s="13">
        <f>G690</f>
        <v>100</v>
      </c>
      <c r="H689" s="13">
        <f t="shared" si="137"/>
        <v>200</v>
      </c>
    </row>
    <row r="690" spans="1:8" x14ac:dyDescent="0.25">
      <c r="A690" s="12" t="s">
        <v>152</v>
      </c>
      <c r="B690" s="12" t="s">
        <v>135</v>
      </c>
      <c r="C690" s="33">
        <v>9920000000</v>
      </c>
      <c r="D690" s="12"/>
      <c r="E690" s="17" t="s">
        <v>13</v>
      </c>
      <c r="F690" s="13">
        <f t="shared" ref="F690:G691" si="140">F691</f>
        <v>50</v>
      </c>
      <c r="G690" s="13">
        <f t="shared" si="140"/>
        <v>100</v>
      </c>
      <c r="H690" s="13">
        <f t="shared" si="137"/>
        <v>200</v>
      </c>
    </row>
    <row r="691" spans="1:8" ht="31.5" x14ac:dyDescent="0.25">
      <c r="A691" s="12" t="s">
        <v>152</v>
      </c>
      <c r="B691" s="12" t="s">
        <v>135</v>
      </c>
      <c r="C691" s="33" t="s">
        <v>53</v>
      </c>
      <c r="D691" s="12"/>
      <c r="E691" s="31" t="s">
        <v>20</v>
      </c>
      <c r="F691" s="13">
        <f t="shared" si="140"/>
        <v>50</v>
      </c>
      <c r="G691" s="13">
        <f t="shared" si="140"/>
        <v>100</v>
      </c>
      <c r="H691" s="13">
        <f t="shared" si="137"/>
        <v>200</v>
      </c>
    </row>
    <row r="692" spans="1:8" x14ac:dyDescent="0.25">
      <c r="A692" s="12" t="s">
        <v>152</v>
      </c>
      <c r="B692" s="12" t="s">
        <v>135</v>
      </c>
      <c r="C692" s="33" t="s">
        <v>53</v>
      </c>
      <c r="D692" s="12" t="s">
        <v>127</v>
      </c>
      <c r="E692" s="36" t="s">
        <v>128</v>
      </c>
      <c r="F692" s="13">
        <v>50</v>
      </c>
      <c r="G692" s="13">
        <v>100</v>
      </c>
      <c r="H692" s="13">
        <f t="shared" si="137"/>
        <v>200</v>
      </c>
    </row>
    <row r="693" spans="1:8" x14ac:dyDescent="0.25">
      <c r="A693" s="12" t="s">
        <v>152</v>
      </c>
      <c r="B693" s="12" t="s">
        <v>136</v>
      </c>
      <c r="C693" s="12"/>
      <c r="D693" s="12"/>
      <c r="E693" s="31" t="s">
        <v>22</v>
      </c>
      <c r="F693" s="13">
        <f t="shared" ref="F693:G693" si="141">F694+F699</f>
        <v>38410.6</v>
      </c>
      <c r="G693" s="13">
        <f t="shared" si="141"/>
        <v>22453.3</v>
      </c>
      <c r="H693" s="13">
        <f t="shared" si="137"/>
        <v>58.5</v>
      </c>
    </row>
    <row r="694" spans="1:8" ht="47.25" x14ac:dyDescent="0.25">
      <c r="A694" s="12" t="s">
        <v>152</v>
      </c>
      <c r="B694" s="12" t="s">
        <v>136</v>
      </c>
      <c r="C694" s="12" t="s">
        <v>116</v>
      </c>
      <c r="D694" s="12"/>
      <c r="E694" s="31" t="s">
        <v>439</v>
      </c>
      <c r="F694" s="13">
        <f t="shared" ref="F694:G695" si="142">F695</f>
        <v>11425.4</v>
      </c>
      <c r="G694" s="13">
        <f t="shared" si="142"/>
        <v>5268.5</v>
      </c>
      <c r="H694" s="13">
        <f t="shared" si="137"/>
        <v>46.1</v>
      </c>
    </row>
    <row r="695" spans="1:8" ht="31.5" x14ac:dyDescent="0.25">
      <c r="A695" s="12" t="s">
        <v>152</v>
      </c>
      <c r="B695" s="12" t="s">
        <v>136</v>
      </c>
      <c r="C695" s="12" t="s">
        <v>117</v>
      </c>
      <c r="D695" s="12"/>
      <c r="E695" s="31" t="s">
        <v>61</v>
      </c>
      <c r="F695" s="13">
        <f t="shared" si="142"/>
        <v>11425.4</v>
      </c>
      <c r="G695" s="13">
        <f t="shared" si="142"/>
        <v>5268.5</v>
      </c>
      <c r="H695" s="13">
        <f t="shared" si="137"/>
        <v>46.1</v>
      </c>
    </row>
    <row r="696" spans="1:8" ht="63" x14ac:dyDescent="0.25">
      <c r="A696" s="12" t="s">
        <v>152</v>
      </c>
      <c r="B696" s="12" t="s">
        <v>136</v>
      </c>
      <c r="C696" s="12" t="s">
        <v>475</v>
      </c>
      <c r="D696" s="12"/>
      <c r="E696" s="36" t="s">
        <v>377</v>
      </c>
      <c r="F696" s="13">
        <f t="shared" ref="F696:G696" si="143">SUM(F697:F698)</f>
        <v>11425.4</v>
      </c>
      <c r="G696" s="13">
        <f t="shared" si="143"/>
        <v>5268.5</v>
      </c>
      <c r="H696" s="13">
        <f t="shared" si="137"/>
        <v>46.1</v>
      </c>
    </row>
    <row r="697" spans="1:8" ht="47.25" x14ac:dyDescent="0.25">
      <c r="A697" s="12" t="s">
        <v>152</v>
      </c>
      <c r="B697" s="12" t="s">
        <v>136</v>
      </c>
      <c r="C697" s="12" t="s">
        <v>475</v>
      </c>
      <c r="D697" s="12" t="s">
        <v>309</v>
      </c>
      <c r="E697" s="36" t="s">
        <v>310</v>
      </c>
      <c r="F697" s="13">
        <v>260</v>
      </c>
      <c r="G697" s="13">
        <v>153.69999999999999</v>
      </c>
      <c r="H697" s="13">
        <f t="shared" si="137"/>
        <v>59.1</v>
      </c>
    </row>
    <row r="698" spans="1:8" ht="47.25" x14ac:dyDescent="0.25">
      <c r="A698" s="12" t="s">
        <v>152</v>
      </c>
      <c r="B698" s="12" t="s">
        <v>136</v>
      </c>
      <c r="C698" s="12" t="s">
        <v>475</v>
      </c>
      <c r="D698" s="12" t="s">
        <v>342</v>
      </c>
      <c r="E698" s="36" t="s">
        <v>343</v>
      </c>
      <c r="F698" s="13">
        <v>11165.4</v>
      </c>
      <c r="G698" s="13">
        <v>5114.8</v>
      </c>
      <c r="H698" s="13">
        <f t="shared" si="137"/>
        <v>45.8</v>
      </c>
    </row>
    <row r="699" spans="1:8" ht="63" x14ac:dyDescent="0.25">
      <c r="A699" s="12" t="s">
        <v>152</v>
      </c>
      <c r="B699" s="12" t="s">
        <v>136</v>
      </c>
      <c r="C699" s="12" t="s">
        <v>47</v>
      </c>
      <c r="D699" s="11"/>
      <c r="E699" s="31" t="s">
        <v>470</v>
      </c>
      <c r="F699" s="13">
        <f t="shared" ref="F699:G699" si="144">F700</f>
        <v>26985.200000000001</v>
      </c>
      <c r="G699" s="13">
        <f t="shared" si="144"/>
        <v>17184.8</v>
      </c>
      <c r="H699" s="13">
        <f t="shared" si="137"/>
        <v>63.7</v>
      </c>
    </row>
    <row r="700" spans="1:8" ht="31.5" x14ac:dyDescent="0.25">
      <c r="A700" s="12" t="s">
        <v>152</v>
      </c>
      <c r="B700" s="12" t="s">
        <v>136</v>
      </c>
      <c r="C700" s="12" t="s">
        <v>48</v>
      </c>
      <c r="D700" s="12"/>
      <c r="E700" s="31" t="s">
        <v>129</v>
      </c>
      <c r="F700" s="13">
        <f>F701+F703+F705+F707+F709</f>
        <v>26985.200000000001</v>
      </c>
      <c r="G700" s="13">
        <f>G701+G703+G705+G707+G709</f>
        <v>17184.8</v>
      </c>
      <c r="H700" s="13">
        <f t="shared" si="137"/>
        <v>63.7</v>
      </c>
    </row>
    <row r="701" spans="1:8" ht="47.25" x14ac:dyDescent="0.25">
      <c r="A701" s="12" t="s">
        <v>152</v>
      </c>
      <c r="B701" s="12" t="s">
        <v>136</v>
      </c>
      <c r="C701" s="12" t="s">
        <v>374</v>
      </c>
      <c r="D701" s="11"/>
      <c r="E701" s="30" t="s">
        <v>278</v>
      </c>
      <c r="F701" s="13">
        <f t="shared" ref="F701:G701" si="145">F702</f>
        <v>629.20000000000005</v>
      </c>
      <c r="G701" s="13">
        <f t="shared" si="145"/>
        <v>626.6</v>
      </c>
      <c r="H701" s="13">
        <f t="shared" si="137"/>
        <v>99.6</v>
      </c>
    </row>
    <row r="702" spans="1:8" x14ac:dyDescent="0.25">
      <c r="A702" s="12" t="s">
        <v>152</v>
      </c>
      <c r="B702" s="12" t="s">
        <v>136</v>
      </c>
      <c r="C702" s="12" t="s">
        <v>374</v>
      </c>
      <c r="D702" s="12" t="s">
        <v>344</v>
      </c>
      <c r="E702" s="37" t="s">
        <v>375</v>
      </c>
      <c r="F702" s="13">
        <v>629.20000000000005</v>
      </c>
      <c r="G702" s="13">
        <v>626.6</v>
      </c>
      <c r="H702" s="13">
        <f t="shared" si="137"/>
        <v>99.6</v>
      </c>
    </row>
    <row r="703" spans="1:8" ht="47.25" x14ac:dyDescent="0.25">
      <c r="A703" s="12" t="s">
        <v>152</v>
      </c>
      <c r="B703" s="12" t="s">
        <v>136</v>
      </c>
      <c r="C703" s="12" t="s">
        <v>709</v>
      </c>
      <c r="D703" s="12"/>
      <c r="E703" s="35" t="s">
        <v>710</v>
      </c>
      <c r="F703" s="13">
        <f>F704</f>
        <v>2516.8000000000002</v>
      </c>
      <c r="G703" s="13">
        <f>G704</f>
        <v>2506.6999999999998</v>
      </c>
      <c r="H703" s="13">
        <f t="shared" si="137"/>
        <v>99.6</v>
      </c>
    </row>
    <row r="704" spans="1:8" x14ac:dyDescent="0.25">
      <c r="A704" s="12" t="s">
        <v>152</v>
      </c>
      <c r="B704" s="12" t="s">
        <v>136</v>
      </c>
      <c r="C704" s="12" t="s">
        <v>709</v>
      </c>
      <c r="D704" s="12" t="s">
        <v>344</v>
      </c>
      <c r="E704" s="37" t="s">
        <v>375</v>
      </c>
      <c r="F704" s="13">
        <v>2516.8000000000002</v>
      </c>
      <c r="G704" s="13">
        <v>2506.6999999999998</v>
      </c>
      <c r="H704" s="13">
        <f t="shared" si="137"/>
        <v>99.6</v>
      </c>
    </row>
    <row r="705" spans="1:8" ht="66.75" customHeight="1" x14ac:dyDescent="0.25">
      <c r="A705" s="12" t="s">
        <v>152</v>
      </c>
      <c r="B705" s="12" t="s">
        <v>136</v>
      </c>
      <c r="C705" s="33">
        <v>1310210820</v>
      </c>
      <c r="D705" s="12"/>
      <c r="E705" s="36" t="s">
        <v>217</v>
      </c>
      <c r="F705" s="13">
        <f t="shared" ref="F705:G705" si="146">F706</f>
        <v>2936.3</v>
      </c>
      <c r="G705" s="13">
        <f t="shared" si="146"/>
        <v>0</v>
      </c>
      <c r="H705" s="13">
        <f t="shared" si="137"/>
        <v>0</v>
      </c>
    </row>
    <row r="706" spans="1:8" x14ac:dyDescent="0.25">
      <c r="A706" s="12" t="s">
        <v>152</v>
      </c>
      <c r="B706" s="12" t="s">
        <v>136</v>
      </c>
      <c r="C706" s="33">
        <v>1310210820</v>
      </c>
      <c r="D706" s="12" t="s">
        <v>344</v>
      </c>
      <c r="E706" s="37" t="s">
        <v>375</v>
      </c>
      <c r="F706" s="13">
        <v>2936.3</v>
      </c>
      <c r="G706" s="13">
        <v>0</v>
      </c>
      <c r="H706" s="13">
        <f t="shared" si="137"/>
        <v>0</v>
      </c>
    </row>
    <row r="707" spans="1:8" ht="47.25" x14ac:dyDescent="0.25">
      <c r="A707" s="12" t="s">
        <v>152</v>
      </c>
      <c r="B707" s="12" t="s">
        <v>136</v>
      </c>
      <c r="C707" s="33" t="s">
        <v>476</v>
      </c>
      <c r="D707" s="12"/>
      <c r="E707" s="36" t="s">
        <v>378</v>
      </c>
      <c r="F707" s="13">
        <f t="shared" ref="F707:G707" si="147">F708</f>
        <v>6851.4</v>
      </c>
      <c r="G707" s="13">
        <f t="shared" si="147"/>
        <v>0</v>
      </c>
      <c r="H707" s="13">
        <f t="shared" si="137"/>
        <v>0</v>
      </c>
    </row>
    <row r="708" spans="1:8" x14ac:dyDescent="0.25">
      <c r="A708" s="12" t="s">
        <v>152</v>
      </c>
      <c r="B708" s="12" t="s">
        <v>136</v>
      </c>
      <c r="C708" s="33" t="s">
        <v>476</v>
      </c>
      <c r="D708" s="12" t="s">
        <v>344</v>
      </c>
      <c r="E708" s="37" t="s">
        <v>375</v>
      </c>
      <c r="F708" s="13">
        <v>6851.4</v>
      </c>
      <c r="G708" s="13">
        <v>0</v>
      </c>
      <c r="H708" s="13">
        <f t="shared" si="137"/>
        <v>0</v>
      </c>
    </row>
    <row r="709" spans="1:8" ht="63" x14ac:dyDescent="0.25">
      <c r="A709" s="12" t="s">
        <v>152</v>
      </c>
      <c r="B709" s="12" t="s">
        <v>136</v>
      </c>
      <c r="C709" s="39" t="s">
        <v>472</v>
      </c>
      <c r="D709" s="12"/>
      <c r="E709" s="36" t="s">
        <v>473</v>
      </c>
      <c r="F709" s="13">
        <f t="shared" ref="F709:G709" si="148">F710</f>
        <v>14051.5</v>
      </c>
      <c r="G709" s="13">
        <f t="shared" si="148"/>
        <v>14051.5</v>
      </c>
      <c r="H709" s="13">
        <f t="shared" si="137"/>
        <v>100</v>
      </c>
    </row>
    <row r="710" spans="1:8" ht="47.25" x14ac:dyDescent="0.25">
      <c r="A710" s="12" t="s">
        <v>152</v>
      </c>
      <c r="B710" s="12" t="s">
        <v>136</v>
      </c>
      <c r="C710" s="39" t="s">
        <v>472</v>
      </c>
      <c r="D710" s="12" t="s">
        <v>342</v>
      </c>
      <c r="E710" s="36" t="s">
        <v>343</v>
      </c>
      <c r="F710" s="13">
        <f>2810.3+11241.2</f>
        <v>14051.5</v>
      </c>
      <c r="G710" s="13">
        <f>2810.3+11241.2</f>
        <v>14051.5</v>
      </c>
      <c r="H710" s="13">
        <f t="shared" si="137"/>
        <v>100</v>
      </c>
    </row>
    <row r="711" spans="1:8" x14ac:dyDescent="0.25">
      <c r="A711" s="12" t="s">
        <v>144</v>
      </c>
      <c r="B711" s="11"/>
      <c r="C711" s="11"/>
      <c r="D711" s="11"/>
      <c r="E711" s="31" t="s">
        <v>162</v>
      </c>
      <c r="F711" s="13">
        <f t="shared" ref="F711:G713" si="149">F712</f>
        <v>918.7</v>
      </c>
      <c r="G711" s="13">
        <f t="shared" si="149"/>
        <v>250.9</v>
      </c>
      <c r="H711" s="13">
        <f t="shared" si="137"/>
        <v>27.3</v>
      </c>
    </row>
    <row r="712" spans="1:8" x14ac:dyDescent="0.25">
      <c r="A712" s="12" t="s">
        <v>144</v>
      </c>
      <c r="B712" s="12" t="s">
        <v>133</v>
      </c>
      <c r="C712" s="12"/>
      <c r="D712" s="12"/>
      <c r="E712" s="31" t="s">
        <v>14</v>
      </c>
      <c r="F712" s="13">
        <f t="shared" si="149"/>
        <v>918.7</v>
      </c>
      <c r="G712" s="13">
        <f t="shared" si="149"/>
        <v>250.9</v>
      </c>
      <c r="H712" s="13">
        <f t="shared" si="137"/>
        <v>27.3</v>
      </c>
    </row>
    <row r="713" spans="1:8" ht="63" x14ac:dyDescent="0.25">
      <c r="A713" s="12" t="s">
        <v>144</v>
      </c>
      <c r="B713" s="12" t="s">
        <v>133</v>
      </c>
      <c r="C713" s="12" t="s">
        <v>97</v>
      </c>
      <c r="D713" s="12"/>
      <c r="E713" s="31" t="s">
        <v>394</v>
      </c>
      <c r="F713" s="13">
        <f t="shared" si="149"/>
        <v>918.7</v>
      </c>
      <c r="G713" s="13">
        <f t="shared" si="149"/>
        <v>250.9</v>
      </c>
      <c r="H713" s="13">
        <f t="shared" si="137"/>
        <v>27.3</v>
      </c>
    </row>
    <row r="714" spans="1:8" ht="47.25" x14ac:dyDescent="0.25">
      <c r="A714" s="12" t="s">
        <v>144</v>
      </c>
      <c r="B714" s="12" t="s">
        <v>133</v>
      </c>
      <c r="C714" s="12" t="s">
        <v>64</v>
      </c>
      <c r="D714" s="12"/>
      <c r="E714" s="31" t="s">
        <v>277</v>
      </c>
      <c r="F714" s="13">
        <f>F715+F717+F720</f>
        <v>918.7</v>
      </c>
      <c r="G714" s="13">
        <f>G715+G717+G720</f>
        <v>250.9</v>
      </c>
      <c r="H714" s="13">
        <f t="shared" si="137"/>
        <v>27.3</v>
      </c>
    </row>
    <row r="715" spans="1:8" ht="110.25" x14ac:dyDescent="0.25">
      <c r="A715" s="12" t="s">
        <v>144</v>
      </c>
      <c r="B715" s="12" t="s">
        <v>133</v>
      </c>
      <c r="C715" s="12" t="s">
        <v>65</v>
      </c>
      <c r="D715" s="12"/>
      <c r="E715" s="31" t="s">
        <v>228</v>
      </c>
      <c r="F715" s="13">
        <f t="shared" ref="F715:G715" si="150">F716</f>
        <v>282.2</v>
      </c>
      <c r="G715" s="13">
        <f t="shared" si="150"/>
        <v>222.9</v>
      </c>
      <c r="H715" s="13">
        <f t="shared" si="137"/>
        <v>79</v>
      </c>
    </row>
    <row r="716" spans="1:8" ht="47.25" x14ac:dyDescent="0.25">
      <c r="A716" s="12" t="s">
        <v>144</v>
      </c>
      <c r="B716" s="12" t="s">
        <v>133</v>
      </c>
      <c r="C716" s="12" t="s">
        <v>65</v>
      </c>
      <c r="D716" s="12" t="s">
        <v>309</v>
      </c>
      <c r="E716" s="36" t="s">
        <v>310</v>
      </c>
      <c r="F716" s="13">
        <v>282.2</v>
      </c>
      <c r="G716" s="11">
        <v>222.9</v>
      </c>
      <c r="H716" s="13">
        <f t="shared" si="137"/>
        <v>79</v>
      </c>
    </row>
    <row r="717" spans="1:8" ht="78.75" x14ac:dyDescent="0.25">
      <c r="A717" s="12" t="s">
        <v>144</v>
      </c>
      <c r="B717" s="12" t="s">
        <v>133</v>
      </c>
      <c r="C717" s="12" t="s">
        <v>66</v>
      </c>
      <c r="D717" s="12"/>
      <c r="E717" s="31" t="s">
        <v>100</v>
      </c>
      <c r="F717" s="13">
        <f t="shared" ref="F717:G717" si="151">SUM(F718:F719)</f>
        <v>52.4</v>
      </c>
      <c r="G717" s="13">
        <f t="shared" si="151"/>
        <v>28</v>
      </c>
      <c r="H717" s="13">
        <f t="shared" si="137"/>
        <v>53.4</v>
      </c>
    </row>
    <row r="718" spans="1:8" ht="31.5" x14ac:dyDescent="0.25">
      <c r="A718" s="12" t="s">
        <v>144</v>
      </c>
      <c r="B718" s="12" t="s">
        <v>133</v>
      </c>
      <c r="C718" s="12" t="s">
        <v>66</v>
      </c>
      <c r="D718" s="12" t="s">
        <v>103</v>
      </c>
      <c r="E718" s="34" t="s">
        <v>167</v>
      </c>
      <c r="F718" s="13">
        <v>27.4</v>
      </c>
      <c r="G718" s="11">
        <v>11.2</v>
      </c>
      <c r="H718" s="13">
        <f t="shared" si="137"/>
        <v>40.9</v>
      </c>
    </row>
    <row r="719" spans="1:8" ht="47.25" x14ac:dyDescent="0.25">
      <c r="A719" s="12" t="s">
        <v>144</v>
      </c>
      <c r="B719" s="12" t="s">
        <v>133</v>
      </c>
      <c r="C719" s="12" t="s">
        <v>66</v>
      </c>
      <c r="D719" s="12" t="s">
        <v>309</v>
      </c>
      <c r="E719" s="36" t="s">
        <v>310</v>
      </c>
      <c r="F719" s="13">
        <v>25</v>
      </c>
      <c r="G719" s="11">
        <v>16.8</v>
      </c>
      <c r="H719" s="13">
        <f t="shared" si="137"/>
        <v>67.2</v>
      </c>
    </row>
    <row r="720" spans="1:8" ht="38.25" customHeight="1" x14ac:dyDescent="0.25">
      <c r="A720" s="12" t="s">
        <v>144</v>
      </c>
      <c r="B720" s="12" t="s">
        <v>133</v>
      </c>
      <c r="C720" s="12" t="s">
        <v>711</v>
      </c>
      <c r="D720" s="12"/>
      <c r="E720" s="36" t="s">
        <v>712</v>
      </c>
      <c r="F720" s="13">
        <f>F721</f>
        <v>584.1</v>
      </c>
      <c r="G720" s="13">
        <f>G721</f>
        <v>0</v>
      </c>
      <c r="H720" s="13">
        <f t="shared" si="137"/>
        <v>0</v>
      </c>
    </row>
    <row r="721" spans="1:8" ht="47.25" x14ac:dyDescent="0.25">
      <c r="A721" s="12" t="s">
        <v>144</v>
      </c>
      <c r="B721" s="12" t="s">
        <v>133</v>
      </c>
      <c r="C721" s="12" t="s">
        <v>711</v>
      </c>
      <c r="D721" s="12" t="s">
        <v>309</v>
      </c>
      <c r="E721" s="36" t="s">
        <v>310</v>
      </c>
      <c r="F721" s="13">
        <v>584.1</v>
      </c>
      <c r="G721" s="11">
        <v>0</v>
      </c>
      <c r="H721" s="13">
        <f t="shared" si="137"/>
        <v>0</v>
      </c>
    </row>
    <row r="722" spans="1:8" x14ac:dyDescent="0.25">
      <c r="A722" s="12" t="s">
        <v>161</v>
      </c>
      <c r="B722" s="11"/>
      <c r="C722" s="11"/>
      <c r="D722" s="11"/>
      <c r="E722" s="31" t="s">
        <v>16</v>
      </c>
      <c r="F722" s="13">
        <f t="shared" ref="F722:G724" si="152">F723</f>
        <v>3591.5</v>
      </c>
      <c r="G722" s="13">
        <f t="shared" si="152"/>
        <v>2663.5</v>
      </c>
      <c r="H722" s="13">
        <f t="shared" si="137"/>
        <v>74.2</v>
      </c>
    </row>
    <row r="723" spans="1:8" ht="31.5" x14ac:dyDescent="0.25">
      <c r="A723" s="12" t="s">
        <v>161</v>
      </c>
      <c r="B723" s="12" t="s">
        <v>136</v>
      </c>
      <c r="C723" s="12"/>
      <c r="D723" s="12"/>
      <c r="E723" s="31" t="s">
        <v>25</v>
      </c>
      <c r="F723" s="13">
        <f t="shared" si="152"/>
        <v>3591.5</v>
      </c>
      <c r="G723" s="13">
        <f t="shared" si="152"/>
        <v>2663.5</v>
      </c>
      <c r="H723" s="13">
        <f t="shared" si="137"/>
        <v>74.2</v>
      </c>
    </row>
    <row r="724" spans="1:8" ht="60" customHeight="1" x14ac:dyDescent="0.25">
      <c r="A724" s="12" t="s">
        <v>161</v>
      </c>
      <c r="B724" s="12" t="s">
        <v>136</v>
      </c>
      <c r="C724" s="39">
        <v>400000000</v>
      </c>
      <c r="D724" s="12"/>
      <c r="E724" s="31" t="s">
        <v>395</v>
      </c>
      <c r="F724" s="13">
        <f t="shared" si="152"/>
        <v>3591.5</v>
      </c>
      <c r="G724" s="13">
        <f t="shared" si="152"/>
        <v>2663.5</v>
      </c>
      <c r="H724" s="13">
        <f t="shared" si="137"/>
        <v>74.2</v>
      </c>
    </row>
    <row r="725" spans="1:8" ht="63" x14ac:dyDescent="0.25">
      <c r="A725" s="12" t="s">
        <v>161</v>
      </c>
      <c r="B725" s="12" t="s">
        <v>136</v>
      </c>
      <c r="C725" s="39">
        <v>420000000</v>
      </c>
      <c r="D725" s="12"/>
      <c r="E725" s="31" t="s">
        <v>211</v>
      </c>
      <c r="F725" s="13">
        <f>F726+F728+F730+F732+F734+F736+F738</f>
        <v>3591.5</v>
      </c>
      <c r="G725" s="13">
        <f>G726+G728+G730+G732+G734+G736+G738</f>
        <v>2663.5</v>
      </c>
      <c r="H725" s="13">
        <f t="shared" si="137"/>
        <v>74.2</v>
      </c>
    </row>
    <row r="726" spans="1:8" ht="63" x14ac:dyDescent="0.25">
      <c r="A726" s="12" t="s">
        <v>161</v>
      </c>
      <c r="B726" s="12" t="s">
        <v>136</v>
      </c>
      <c r="C726" s="39" t="s">
        <v>379</v>
      </c>
      <c r="D726" s="12"/>
      <c r="E726" s="36" t="s">
        <v>535</v>
      </c>
      <c r="F726" s="13">
        <f t="shared" ref="F726:G726" si="153">F727</f>
        <v>300</v>
      </c>
      <c r="G726" s="13">
        <f t="shared" si="153"/>
        <v>300</v>
      </c>
      <c r="H726" s="13">
        <f t="shared" si="137"/>
        <v>100</v>
      </c>
    </row>
    <row r="727" spans="1:8" ht="96" customHeight="1" x14ac:dyDescent="0.25">
      <c r="A727" s="12" t="s">
        <v>161</v>
      </c>
      <c r="B727" s="12" t="s">
        <v>136</v>
      </c>
      <c r="C727" s="39" t="s">
        <v>379</v>
      </c>
      <c r="D727" s="12" t="s">
        <v>376</v>
      </c>
      <c r="E727" s="56" t="s">
        <v>536</v>
      </c>
      <c r="F727" s="13">
        <v>300</v>
      </c>
      <c r="G727" s="13">
        <v>300</v>
      </c>
      <c r="H727" s="13">
        <f t="shared" si="137"/>
        <v>100</v>
      </c>
    </row>
    <row r="728" spans="1:8" ht="110.25" x14ac:dyDescent="0.25">
      <c r="A728" s="12" t="s">
        <v>161</v>
      </c>
      <c r="B728" s="12" t="s">
        <v>136</v>
      </c>
      <c r="C728" s="39" t="s">
        <v>122</v>
      </c>
      <c r="D728" s="12"/>
      <c r="E728" s="36" t="s">
        <v>220</v>
      </c>
      <c r="F728" s="13">
        <f t="shared" ref="F728:G728" si="154">F729</f>
        <v>575.29999999999995</v>
      </c>
      <c r="G728" s="13">
        <f t="shared" si="154"/>
        <v>355.6</v>
      </c>
      <c r="H728" s="13">
        <f t="shared" si="137"/>
        <v>61.8</v>
      </c>
    </row>
    <row r="729" spans="1:8" ht="47.25" x14ac:dyDescent="0.25">
      <c r="A729" s="12" t="s">
        <v>161</v>
      </c>
      <c r="B729" s="12" t="s">
        <v>136</v>
      </c>
      <c r="C729" s="39" t="s">
        <v>122</v>
      </c>
      <c r="D729" s="12" t="s">
        <v>309</v>
      </c>
      <c r="E729" s="36" t="s">
        <v>310</v>
      </c>
      <c r="F729" s="13">
        <v>575.29999999999995</v>
      </c>
      <c r="G729" s="11">
        <v>355.6</v>
      </c>
      <c r="H729" s="13">
        <f t="shared" si="137"/>
        <v>61.8</v>
      </c>
    </row>
    <row r="730" spans="1:8" ht="100.5" customHeight="1" x14ac:dyDescent="0.25">
      <c r="A730" s="12" t="s">
        <v>161</v>
      </c>
      <c r="B730" s="12" t="s">
        <v>136</v>
      </c>
      <c r="C730" s="39" t="s">
        <v>212</v>
      </c>
      <c r="D730" s="12"/>
      <c r="E730" s="36" t="s">
        <v>282</v>
      </c>
      <c r="F730" s="13">
        <f t="shared" ref="F730:G730" si="155">F731</f>
        <v>436.8</v>
      </c>
      <c r="G730" s="13">
        <f t="shared" si="155"/>
        <v>244.8</v>
      </c>
      <c r="H730" s="13">
        <f t="shared" si="137"/>
        <v>56</v>
      </c>
    </row>
    <row r="731" spans="1:8" ht="47.25" x14ac:dyDescent="0.25">
      <c r="A731" s="12" t="s">
        <v>161</v>
      </c>
      <c r="B731" s="12" t="s">
        <v>136</v>
      </c>
      <c r="C731" s="39" t="s">
        <v>212</v>
      </c>
      <c r="D731" s="12" t="s">
        <v>309</v>
      </c>
      <c r="E731" s="36" t="s">
        <v>310</v>
      </c>
      <c r="F731" s="13">
        <v>436.8</v>
      </c>
      <c r="G731" s="11">
        <v>244.8</v>
      </c>
      <c r="H731" s="13">
        <f t="shared" si="137"/>
        <v>56</v>
      </c>
    </row>
    <row r="732" spans="1:8" ht="94.5" x14ac:dyDescent="0.25">
      <c r="A732" s="12" t="s">
        <v>161</v>
      </c>
      <c r="B732" s="12" t="s">
        <v>136</v>
      </c>
      <c r="C732" s="39" t="s">
        <v>213</v>
      </c>
      <c r="D732" s="12"/>
      <c r="E732" s="36" t="s">
        <v>63</v>
      </c>
      <c r="F732" s="13">
        <f t="shared" ref="F732:G732" si="156">F733</f>
        <v>1300</v>
      </c>
      <c r="G732" s="13">
        <f t="shared" si="156"/>
        <v>1004.8</v>
      </c>
      <c r="H732" s="13">
        <f t="shared" si="137"/>
        <v>77.3</v>
      </c>
    </row>
    <row r="733" spans="1:8" ht="47.25" x14ac:dyDescent="0.25">
      <c r="A733" s="12" t="s">
        <v>161</v>
      </c>
      <c r="B733" s="12" t="s">
        <v>136</v>
      </c>
      <c r="C733" s="39" t="s">
        <v>213</v>
      </c>
      <c r="D733" s="12" t="s">
        <v>309</v>
      </c>
      <c r="E733" s="36" t="s">
        <v>310</v>
      </c>
      <c r="F733" s="13">
        <v>1300</v>
      </c>
      <c r="G733" s="11">
        <v>1004.8</v>
      </c>
      <c r="H733" s="13">
        <f t="shared" si="137"/>
        <v>77.3</v>
      </c>
    </row>
    <row r="734" spans="1:8" ht="47.25" x14ac:dyDescent="0.25">
      <c r="A734" s="12" t="s">
        <v>161</v>
      </c>
      <c r="B734" s="12" t="s">
        <v>136</v>
      </c>
      <c r="C734" s="39">
        <v>420110320</v>
      </c>
      <c r="D734" s="12"/>
      <c r="E734" s="36" t="s">
        <v>537</v>
      </c>
      <c r="F734" s="13">
        <f t="shared" ref="F734:G734" si="157">F735</f>
        <v>884.4</v>
      </c>
      <c r="G734" s="13">
        <f t="shared" si="157"/>
        <v>663.3</v>
      </c>
      <c r="H734" s="13">
        <f t="shared" si="137"/>
        <v>75</v>
      </c>
    </row>
    <row r="735" spans="1:8" ht="94.5" x14ac:dyDescent="0.25">
      <c r="A735" s="12" t="s">
        <v>161</v>
      </c>
      <c r="B735" s="12" t="s">
        <v>136</v>
      </c>
      <c r="C735" s="39">
        <v>420110320</v>
      </c>
      <c r="D735" s="12" t="s">
        <v>376</v>
      </c>
      <c r="E735" s="31" t="s">
        <v>534</v>
      </c>
      <c r="F735" s="13">
        <v>884.4</v>
      </c>
      <c r="G735" s="11">
        <v>663.3</v>
      </c>
      <c r="H735" s="13">
        <f t="shared" si="137"/>
        <v>75</v>
      </c>
    </row>
    <row r="736" spans="1:8" ht="49.5" customHeight="1" x14ac:dyDescent="0.25">
      <c r="A736" s="12" t="s">
        <v>161</v>
      </c>
      <c r="B736" s="12" t="s">
        <v>136</v>
      </c>
      <c r="C736" s="39" t="s">
        <v>614</v>
      </c>
      <c r="D736" s="12"/>
      <c r="E736" s="36" t="s">
        <v>615</v>
      </c>
      <c r="F736" s="13">
        <f>F737</f>
        <v>10</v>
      </c>
      <c r="G736" s="13">
        <f>G737</f>
        <v>10</v>
      </c>
      <c r="H736" s="13">
        <f t="shared" si="137"/>
        <v>100</v>
      </c>
    </row>
    <row r="737" spans="1:8" ht="94.5" x14ac:dyDescent="0.25">
      <c r="A737" s="12" t="s">
        <v>161</v>
      </c>
      <c r="B737" s="12" t="s">
        <v>136</v>
      </c>
      <c r="C737" s="39" t="s">
        <v>614</v>
      </c>
      <c r="D737" s="12" t="s">
        <v>376</v>
      </c>
      <c r="E737" s="31" t="s">
        <v>534</v>
      </c>
      <c r="F737" s="13">
        <v>10</v>
      </c>
      <c r="G737" s="13">
        <v>10</v>
      </c>
      <c r="H737" s="13">
        <f t="shared" si="137"/>
        <v>100</v>
      </c>
    </row>
    <row r="738" spans="1:8" ht="62.25" customHeight="1" x14ac:dyDescent="0.25">
      <c r="A738" s="12" t="s">
        <v>161</v>
      </c>
      <c r="B738" s="12" t="s">
        <v>136</v>
      </c>
      <c r="C738" s="39">
        <v>420110490</v>
      </c>
      <c r="D738" s="12"/>
      <c r="E738" s="38" t="s">
        <v>713</v>
      </c>
      <c r="F738" s="13">
        <f>F739</f>
        <v>85</v>
      </c>
      <c r="G738" s="13">
        <f>G739</f>
        <v>85</v>
      </c>
      <c r="H738" s="13">
        <f t="shared" si="137"/>
        <v>100</v>
      </c>
    </row>
    <row r="739" spans="1:8" ht="94.5" x14ac:dyDescent="0.25">
      <c r="A739" s="12" t="s">
        <v>161</v>
      </c>
      <c r="B739" s="12" t="s">
        <v>136</v>
      </c>
      <c r="C739" s="39">
        <v>420110490</v>
      </c>
      <c r="D739" s="12" t="s">
        <v>376</v>
      </c>
      <c r="E739" s="31" t="s">
        <v>534</v>
      </c>
      <c r="F739" s="13">
        <v>85</v>
      </c>
      <c r="G739" s="13">
        <v>85</v>
      </c>
      <c r="H739" s="13">
        <f t="shared" si="137"/>
        <v>100</v>
      </c>
    </row>
    <row r="740" spans="1:8" ht="31.5" x14ac:dyDescent="0.25">
      <c r="A740" s="12" t="s">
        <v>17</v>
      </c>
      <c r="B740" s="11"/>
      <c r="C740" s="31"/>
      <c r="D740" s="12"/>
      <c r="E740" s="31" t="s">
        <v>18</v>
      </c>
      <c r="F740" s="13">
        <f t="shared" ref="F740:G744" si="158">F741</f>
        <v>35</v>
      </c>
      <c r="G740" s="13">
        <f t="shared" si="158"/>
        <v>6.5</v>
      </c>
      <c r="H740" s="13">
        <f t="shared" si="137"/>
        <v>18.600000000000001</v>
      </c>
    </row>
    <row r="741" spans="1:8" ht="31.5" x14ac:dyDescent="0.25">
      <c r="A741" s="12" t="s">
        <v>17</v>
      </c>
      <c r="B741" s="12" t="s">
        <v>132</v>
      </c>
      <c r="C741" s="31"/>
      <c r="D741" s="12"/>
      <c r="E741" s="31" t="s">
        <v>271</v>
      </c>
      <c r="F741" s="13">
        <f t="shared" si="158"/>
        <v>35</v>
      </c>
      <c r="G741" s="13">
        <f t="shared" si="158"/>
        <v>6.5</v>
      </c>
      <c r="H741" s="13">
        <f t="shared" si="137"/>
        <v>18.600000000000001</v>
      </c>
    </row>
    <row r="742" spans="1:8" ht="31.5" x14ac:dyDescent="0.25">
      <c r="A742" s="12" t="s">
        <v>17</v>
      </c>
      <c r="B742" s="12" t="s">
        <v>132</v>
      </c>
      <c r="C742" s="33">
        <v>9900000000</v>
      </c>
      <c r="D742" s="12"/>
      <c r="E742" s="34" t="s">
        <v>179</v>
      </c>
      <c r="F742" s="13">
        <f t="shared" si="158"/>
        <v>35</v>
      </c>
      <c r="G742" s="13">
        <f t="shared" si="158"/>
        <v>6.5</v>
      </c>
      <c r="H742" s="13">
        <f t="shared" si="137"/>
        <v>18.600000000000001</v>
      </c>
    </row>
    <row r="743" spans="1:8" ht="47.25" x14ac:dyDescent="0.25">
      <c r="A743" s="12" t="s">
        <v>17</v>
      </c>
      <c r="B743" s="12" t="s">
        <v>132</v>
      </c>
      <c r="C743" s="33">
        <v>9940000000</v>
      </c>
      <c r="D743" s="12"/>
      <c r="E743" s="31" t="s">
        <v>55</v>
      </c>
      <c r="F743" s="13">
        <f t="shared" si="158"/>
        <v>35</v>
      </c>
      <c r="G743" s="13">
        <f t="shared" si="158"/>
        <v>6.5</v>
      </c>
      <c r="H743" s="13">
        <f t="shared" si="137"/>
        <v>18.600000000000001</v>
      </c>
    </row>
    <row r="744" spans="1:8" ht="31.5" x14ac:dyDescent="0.25">
      <c r="A744" s="12" t="s">
        <v>17</v>
      </c>
      <c r="B744" s="12" t="s">
        <v>132</v>
      </c>
      <c r="C744" s="33" t="s">
        <v>380</v>
      </c>
      <c r="D744" s="12"/>
      <c r="E744" s="31" t="s">
        <v>19</v>
      </c>
      <c r="F744" s="13">
        <f t="shared" si="158"/>
        <v>35</v>
      </c>
      <c r="G744" s="13">
        <f t="shared" si="158"/>
        <v>6.5</v>
      </c>
      <c r="H744" s="13">
        <f t="shared" si="137"/>
        <v>18.600000000000001</v>
      </c>
    </row>
    <row r="745" spans="1:8" ht="31.5" x14ac:dyDescent="0.25">
      <c r="A745" s="12" t="s">
        <v>17</v>
      </c>
      <c r="B745" s="12" t="s">
        <v>132</v>
      </c>
      <c r="C745" s="33" t="s">
        <v>380</v>
      </c>
      <c r="D745" s="12" t="s">
        <v>23</v>
      </c>
      <c r="E745" s="36" t="s">
        <v>24</v>
      </c>
      <c r="F745" s="13">
        <v>35</v>
      </c>
      <c r="G745" s="11">
        <v>6.5</v>
      </c>
      <c r="H745" s="13">
        <f t="shared" si="137"/>
        <v>18.600000000000001</v>
      </c>
    </row>
    <row r="746" spans="1:8" x14ac:dyDescent="0.25">
      <c r="A746" s="61" t="s">
        <v>538</v>
      </c>
      <c r="B746" s="61"/>
      <c r="C746" s="61"/>
      <c r="D746" s="61"/>
      <c r="E746" s="61"/>
      <c r="F746" s="13">
        <f>F12+F106+F152+F290+F480+F630+F668+F711+F722+F740</f>
        <v>1189657.4000000001</v>
      </c>
      <c r="G746" s="13">
        <f>G12+G106+G152+G290+G480+G630+G668+G711+G722+G740</f>
        <v>730980.2</v>
      </c>
      <c r="H746" s="13">
        <f t="shared" si="137"/>
        <v>61.4</v>
      </c>
    </row>
  </sheetData>
  <mergeCells count="3">
    <mergeCell ref="A7:H7"/>
    <mergeCell ref="A10:B10"/>
    <mergeCell ref="A746:E746"/>
  </mergeCells>
  <phoneticPr fontId="1" type="noConversion"/>
  <pageMargins left="0.75" right="0.75" top="0.81" bottom="0.71" header="0.5" footer="0.5"/>
  <pageSetup paperSize="9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19"/>
  <sheetViews>
    <sheetView workbookViewId="0">
      <selection activeCell="B9" sqref="B9"/>
    </sheetView>
  </sheetViews>
  <sheetFormatPr defaultRowHeight="12.75" x14ac:dyDescent="0.2"/>
  <cols>
    <col min="1" max="1" width="28" customWidth="1"/>
    <col min="2" max="2" width="47.28515625" customWidth="1"/>
    <col min="3" max="3" width="12.28515625" customWidth="1"/>
    <col min="4" max="4" width="10" hidden="1" customWidth="1"/>
    <col min="5" max="5" width="0.28515625" hidden="1" customWidth="1"/>
    <col min="6" max="6" width="10.28515625" customWidth="1"/>
  </cols>
  <sheetData>
    <row r="1" spans="1:6" ht="15.75" x14ac:dyDescent="0.25">
      <c r="A1" s="1"/>
      <c r="B1" s="15" t="s">
        <v>295</v>
      </c>
      <c r="C1" s="15"/>
      <c r="D1" s="15"/>
      <c r="E1" s="15"/>
      <c r="F1" s="6"/>
    </row>
    <row r="2" spans="1:6" ht="15.75" x14ac:dyDescent="0.25">
      <c r="A2" s="1"/>
      <c r="B2" s="15" t="s">
        <v>287</v>
      </c>
      <c r="C2" s="15"/>
      <c r="D2" s="15"/>
      <c r="E2" s="15"/>
      <c r="F2" s="6"/>
    </row>
    <row r="3" spans="1:6" ht="15.75" x14ac:dyDescent="0.25">
      <c r="A3" s="1"/>
      <c r="B3" s="15" t="s">
        <v>288</v>
      </c>
      <c r="C3" s="15"/>
      <c r="D3" s="15"/>
      <c r="E3" s="15"/>
      <c r="F3" s="6"/>
    </row>
    <row r="4" spans="1:6" ht="15.75" x14ac:dyDescent="0.25">
      <c r="A4" s="1"/>
      <c r="B4" s="15" t="s">
        <v>733</v>
      </c>
      <c r="C4" s="15"/>
      <c r="D4" s="15"/>
      <c r="E4" s="15"/>
      <c r="F4" s="6"/>
    </row>
    <row r="5" spans="1:6" s="7" customFormat="1" x14ac:dyDescent="0.2">
      <c r="A5" s="1"/>
      <c r="B5" s="5"/>
      <c r="C5" s="5"/>
      <c r="D5" s="6"/>
      <c r="E5" s="6"/>
      <c r="F5" s="6"/>
    </row>
    <row r="6" spans="1:6" s="7" customFormat="1" x14ac:dyDescent="0.2">
      <c r="A6" s="1"/>
    </row>
    <row r="7" spans="1:6" ht="57" customHeight="1" x14ac:dyDescent="0.3">
      <c r="A7" s="62" t="s">
        <v>714</v>
      </c>
      <c r="B7" s="62"/>
      <c r="C7" s="62"/>
      <c r="D7" s="62"/>
      <c r="E7" s="63"/>
      <c r="F7" s="63"/>
    </row>
    <row r="8" spans="1:6" x14ac:dyDescent="0.2">
      <c r="C8" s="4"/>
    </row>
    <row r="9" spans="1:6" ht="173.25" x14ac:dyDescent="0.25">
      <c r="A9" s="9" t="s">
        <v>296</v>
      </c>
      <c r="B9" s="9" t="s">
        <v>297</v>
      </c>
      <c r="C9" s="9" t="s">
        <v>308</v>
      </c>
      <c r="D9" s="8" t="s">
        <v>293</v>
      </c>
      <c r="E9" s="11" t="s">
        <v>177</v>
      </c>
      <c r="F9" s="8" t="s">
        <v>293</v>
      </c>
    </row>
    <row r="10" spans="1:6" s="3" customFormat="1" ht="31.5" customHeight="1" x14ac:dyDescent="0.25">
      <c r="A10" s="12" t="s">
        <v>1</v>
      </c>
      <c r="B10" s="26" t="s">
        <v>2</v>
      </c>
      <c r="C10" s="13">
        <f>C11</f>
        <v>-34245</v>
      </c>
      <c r="D10" s="13">
        <f t="shared" ref="D10:F10" si="0">D11</f>
        <v>0</v>
      </c>
      <c r="E10" s="13">
        <f t="shared" si="0"/>
        <v>0</v>
      </c>
      <c r="F10" s="13">
        <f t="shared" si="0"/>
        <v>-31245</v>
      </c>
    </row>
    <row r="11" spans="1:6" s="3" customFormat="1" ht="60" customHeight="1" x14ac:dyDescent="0.25">
      <c r="A11" s="12" t="s">
        <v>3</v>
      </c>
      <c r="B11" s="26" t="s">
        <v>4</v>
      </c>
      <c r="C11" s="13">
        <f>C12</f>
        <v>-34245</v>
      </c>
      <c r="D11" s="13">
        <f t="shared" ref="D11:F11" si="1">D12</f>
        <v>0</v>
      </c>
      <c r="E11" s="13">
        <f t="shared" si="1"/>
        <v>0</v>
      </c>
      <c r="F11" s="13">
        <f t="shared" si="1"/>
        <v>-31245</v>
      </c>
    </row>
    <row r="12" spans="1:6" s="3" customFormat="1" ht="63" x14ac:dyDescent="0.25">
      <c r="A12" s="12" t="s">
        <v>263</v>
      </c>
      <c r="B12" s="14" t="s">
        <v>262</v>
      </c>
      <c r="C12" s="13">
        <v>-34245</v>
      </c>
      <c r="D12" s="13">
        <v>0</v>
      </c>
      <c r="E12" s="13">
        <v>0</v>
      </c>
      <c r="F12" s="13">
        <v>-31245</v>
      </c>
    </row>
    <row r="13" spans="1:6" s="3" customFormat="1" ht="31.5" x14ac:dyDescent="0.25">
      <c r="A13" s="11" t="s">
        <v>5</v>
      </c>
      <c r="B13" s="26" t="s">
        <v>6</v>
      </c>
      <c r="C13" s="13">
        <f>C14+C16</f>
        <v>96644.299999999814</v>
      </c>
      <c r="D13" s="13">
        <f t="shared" ref="D13:F13" si="2">D14+D16</f>
        <v>0</v>
      </c>
      <c r="E13" s="13">
        <f t="shared" si="2"/>
        <v>0</v>
      </c>
      <c r="F13" s="13">
        <f t="shared" si="2"/>
        <v>36337.399999999907</v>
      </c>
    </row>
    <row r="14" spans="1:6" s="3" customFormat="1" ht="15.75" x14ac:dyDescent="0.25">
      <c r="A14" s="11" t="s">
        <v>7</v>
      </c>
      <c r="B14" s="26" t="s">
        <v>158</v>
      </c>
      <c r="C14" s="27">
        <f>C15</f>
        <v>-1127258.1000000001</v>
      </c>
      <c r="D14" s="13">
        <f t="shared" ref="D14:F14" si="3">D15</f>
        <v>0</v>
      </c>
      <c r="E14" s="13">
        <f t="shared" si="3"/>
        <v>0</v>
      </c>
      <c r="F14" s="13">
        <f t="shared" si="3"/>
        <v>-725887.8</v>
      </c>
    </row>
    <row r="15" spans="1:6" s="3" customFormat="1" ht="31.5" x14ac:dyDescent="0.25">
      <c r="A15" s="11" t="s">
        <v>265</v>
      </c>
      <c r="B15" s="14" t="s">
        <v>264</v>
      </c>
      <c r="C15" s="27">
        <v>-1127258.1000000001</v>
      </c>
      <c r="D15" s="11"/>
      <c r="E15" s="11"/>
      <c r="F15" s="13">
        <v>-725887.8</v>
      </c>
    </row>
    <row r="16" spans="1:6" s="3" customFormat="1" ht="15.75" x14ac:dyDescent="0.25">
      <c r="A16" s="11" t="s">
        <v>8</v>
      </c>
      <c r="B16" s="26" t="s">
        <v>159</v>
      </c>
      <c r="C16" s="27">
        <f>C17</f>
        <v>1223902.3999999999</v>
      </c>
      <c r="D16" s="13">
        <f t="shared" ref="D16:F16" si="4">D17</f>
        <v>0</v>
      </c>
      <c r="E16" s="13">
        <f t="shared" si="4"/>
        <v>0</v>
      </c>
      <c r="F16" s="13">
        <f t="shared" si="4"/>
        <v>762225.2</v>
      </c>
    </row>
    <row r="17" spans="1:6" s="3" customFormat="1" ht="31.5" x14ac:dyDescent="0.25">
      <c r="A17" s="16" t="s">
        <v>267</v>
      </c>
      <c r="B17" s="26" t="s">
        <v>266</v>
      </c>
      <c r="C17" s="27">
        <v>1223902.3999999999</v>
      </c>
      <c r="D17" s="11"/>
      <c r="E17" s="11"/>
      <c r="F17" s="13">
        <f>730980.2+31245</f>
        <v>762225.2</v>
      </c>
    </row>
    <row r="18" spans="1:6" s="3" customFormat="1" ht="15.75" x14ac:dyDescent="0.25">
      <c r="A18" s="64" t="s">
        <v>270</v>
      </c>
      <c r="B18" s="61"/>
      <c r="C18" s="13">
        <f>C10+C14+C16</f>
        <v>62399.299999999814</v>
      </c>
      <c r="D18" s="13">
        <f>D10+D14+D16</f>
        <v>0</v>
      </c>
      <c r="E18" s="13">
        <f>E10+E14+E16</f>
        <v>0</v>
      </c>
      <c r="F18" s="13">
        <f>F10+F14+F16</f>
        <v>5092.3999999999069</v>
      </c>
    </row>
    <row r="19" spans="1:6" s="2" customFormat="1" ht="14.25" x14ac:dyDescent="0.2"/>
  </sheetData>
  <mergeCells count="2">
    <mergeCell ref="A7:F7"/>
    <mergeCell ref="A18:B18"/>
  </mergeCells>
  <phoneticPr fontId="1" type="noConversion"/>
  <pageMargins left="0.75" right="0.75" top="1" bottom="1" header="0.5" footer="0.5"/>
  <pageSetup paperSize="9" scale="9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E10" sqref="E10"/>
    </sheetView>
  </sheetViews>
  <sheetFormatPr defaultRowHeight="15.75" x14ac:dyDescent="0.25"/>
  <cols>
    <col min="1" max="1" width="9.28515625" style="17" customWidth="1"/>
    <col min="2" max="2" width="12.28515625" style="17" customWidth="1"/>
    <col min="3" max="3" width="5.7109375" style="17" customWidth="1"/>
    <col min="4" max="4" width="22" style="17" customWidth="1"/>
    <col min="5" max="5" width="13.5703125" style="17" customWidth="1"/>
    <col min="6" max="6" width="13.28515625" style="17" customWidth="1"/>
    <col min="7" max="7" width="11.5703125" style="17" customWidth="1"/>
    <col min="8" max="256" width="9.140625" style="7"/>
    <col min="257" max="257" width="9.28515625" style="7" customWidth="1"/>
    <col min="258" max="258" width="9.140625" style="7"/>
    <col min="259" max="259" width="5.7109375" style="7" customWidth="1"/>
    <col min="260" max="260" width="22" style="7" customWidth="1"/>
    <col min="261" max="261" width="11" style="7" customWidth="1"/>
    <col min="262" max="262" width="19" style="7" customWidth="1"/>
    <col min="263" max="263" width="10.5703125" style="7" customWidth="1"/>
    <col min="264" max="512" width="9.140625" style="7"/>
    <col min="513" max="513" width="9.28515625" style="7" customWidth="1"/>
    <col min="514" max="514" width="9.140625" style="7"/>
    <col min="515" max="515" width="5.7109375" style="7" customWidth="1"/>
    <col min="516" max="516" width="22" style="7" customWidth="1"/>
    <col min="517" max="517" width="11" style="7" customWidth="1"/>
    <col min="518" max="518" width="19" style="7" customWidth="1"/>
    <col min="519" max="519" width="10.5703125" style="7" customWidth="1"/>
    <col min="520" max="768" width="9.140625" style="7"/>
    <col min="769" max="769" width="9.28515625" style="7" customWidth="1"/>
    <col min="770" max="770" width="9.140625" style="7"/>
    <col min="771" max="771" width="5.7109375" style="7" customWidth="1"/>
    <col min="772" max="772" width="22" style="7" customWidth="1"/>
    <col min="773" max="773" width="11" style="7" customWidth="1"/>
    <col min="774" max="774" width="19" style="7" customWidth="1"/>
    <col min="775" max="775" width="10.5703125" style="7" customWidth="1"/>
    <col min="776" max="1024" width="9.140625" style="7"/>
    <col min="1025" max="1025" width="9.28515625" style="7" customWidth="1"/>
    <col min="1026" max="1026" width="9.140625" style="7"/>
    <col min="1027" max="1027" width="5.7109375" style="7" customWidth="1"/>
    <col min="1028" max="1028" width="22" style="7" customWidth="1"/>
    <col min="1029" max="1029" width="11" style="7" customWidth="1"/>
    <col min="1030" max="1030" width="19" style="7" customWidth="1"/>
    <col min="1031" max="1031" width="10.5703125" style="7" customWidth="1"/>
    <col min="1032" max="1280" width="9.140625" style="7"/>
    <col min="1281" max="1281" width="9.28515625" style="7" customWidth="1"/>
    <col min="1282" max="1282" width="9.140625" style="7"/>
    <col min="1283" max="1283" width="5.7109375" style="7" customWidth="1"/>
    <col min="1284" max="1284" width="22" style="7" customWidth="1"/>
    <col min="1285" max="1285" width="11" style="7" customWidth="1"/>
    <col min="1286" max="1286" width="19" style="7" customWidth="1"/>
    <col min="1287" max="1287" width="10.5703125" style="7" customWidth="1"/>
    <col min="1288" max="1536" width="9.140625" style="7"/>
    <col min="1537" max="1537" width="9.28515625" style="7" customWidth="1"/>
    <col min="1538" max="1538" width="9.140625" style="7"/>
    <col min="1539" max="1539" width="5.7109375" style="7" customWidth="1"/>
    <col min="1540" max="1540" width="22" style="7" customWidth="1"/>
    <col min="1541" max="1541" width="11" style="7" customWidth="1"/>
    <col min="1542" max="1542" width="19" style="7" customWidth="1"/>
    <col min="1543" max="1543" width="10.5703125" style="7" customWidth="1"/>
    <col min="1544" max="1792" width="9.140625" style="7"/>
    <col min="1793" max="1793" width="9.28515625" style="7" customWidth="1"/>
    <col min="1794" max="1794" width="9.140625" style="7"/>
    <col min="1795" max="1795" width="5.7109375" style="7" customWidth="1"/>
    <col min="1796" max="1796" width="22" style="7" customWidth="1"/>
    <col min="1797" max="1797" width="11" style="7" customWidth="1"/>
    <col min="1798" max="1798" width="19" style="7" customWidth="1"/>
    <col min="1799" max="1799" width="10.5703125" style="7" customWidth="1"/>
    <col min="1800" max="2048" width="9.140625" style="7"/>
    <col min="2049" max="2049" width="9.28515625" style="7" customWidth="1"/>
    <col min="2050" max="2050" width="9.140625" style="7"/>
    <col min="2051" max="2051" width="5.7109375" style="7" customWidth="1"/>
    <col min="2052" max="2052" width="22" style="7" customWidth="1"/>
    <col min="2053" max="2053" width="11" style="7" customWidth="1"/>
    <col min="2054" max="2054" width="19" style="7" customWidth="1"/>
    <col min="2055" max="2055" width="10.5703125" style="7" customWidth="1"/>
    <col min="2056" max="2304" width="9.140625" style="7"/>
    <col min="2305" max="2305" width="9.28515625" style="7" customWidth="1"/>
    <col min="2306" max="2306" width="9.140625" style="7"/>
    <col min="2307" max="2307" width="5.7109375" style="7" customWidth="1"/>
    <col min="2308" max="2308" width="22" style="7" customWidth="1"/>
    <col min="2309" max="2309" width="11" style="7" customWidth="1"/>
    <col min="2310" max="2310" width="19" style="7" customWidth="1"/>
    <col min="2311" max="2311" width="10.5703125" style="7" customWidth="1"/>
    <col min="2312" max="2560" width="9.140625" style="7"/>
    <col min="2561" max="2561" width="9.28515625" style="7" customWidth="1"/>
    <col min="2562" max="2562" width="9.140625" style="7"/>
    <col min="2563" max="2563" width="5.7109375" style="7" customWidth="1"/>
    <col min="2564" max="2564" width="22" style="7" customWidth="1"/>
    <col min="2565" max="2565" width="11" style="7" customWidth="1"/>
    <col min="2566" max="2566" width="19" style="7" customWidth="1"/>
    <col min="2567" max="2567" width="10.5703125" style="7" customWidth="1"/>
    <col min="2568" max="2816" width="9.140625" style="7"/>
    <col min="2817" max="2817" width="9.28515625" style="7" customWidth="1"/>
    <col min="2818" max="2818" width="9.140625" style="7"/>
    <col min="2819" max="2819" width="5.7109375" style="7" customWidth="1"/>
    <col min="2820" max="2820" width="22" style="7" customWidth="1"/>
    <col min="2821" max="2821" width="11" style="7" customWidth="1"/>
    <col min="2822" max="2822" width="19" style="7" customWidth="1"/>
    <col min="2823" max="2823" width="10.5703125" style="7" customWidth="1"/>
    <col min="2824" max="3072" width="9.140625" style="7"/>
    <col min="3073" max="3073" width="9.28515625" style="7" customWidth="1"/>
    <col min="3074" max="3074" width="9.140625" style="7"/>
    <col min="3075" max="3075" width="5.7109375" style="7" customWidth="1"/>
    <col min="3076" max="3076" width="22" style="7" customWidth="1"/>
    <col min="3077" max="3077" width="11" style="7" customWidth="1"/>
    <col min="3078" max="3078" width="19" style="7" customWidth="1"/>
    <col min="3079" max="3079" width="10.5703125" style="7" customWidth="1"/>
    <col min="3080" max="3328" width="9.140625" style="7"/>
    <col min="3329" max="3329" width="9.28515625" style="7" customWidth="1"/>
    <col min="3330" max="3330" width="9.140625" style="7"/>
    <col min="3331" max="3331" width="5.7109375" style="7" customWidth="1"/>
    <col min="3332" max="3332" width="22" style="7" customWidth="1"/>
    <col min="3333" max="3333" width="11" style="7" customWidth="1"/>
    <col min="3334" max="3334" width="19" style="7" customWidth="1"/>
    <col min="3335" max="3335" width="10.5703125" style="7" customWidth="1"/>
    <col min="3336" max="3584" width="9.140625" style="7"/>
    <col min="3585" max="3585" width="9.28515625" style="7" customWidth="1"/>
    <col min="3586" max="3586" width="9.140625" style="7"/>
    <col min="3587" max="3587" width="5.7109375" style="7" customWidth="1"/>
    <col min="3588" max="3588" width="22" style="7" customWidth="1"/>
    <col min="3589" max="3589" width="11" style="7" customWidth="1"/>
    <col min="3590" max="3590" width="19" style="7" customWidth="1"/>
    <col min="3591" max="3591" width="10.5703125" style="7" customWidth="1"/>
    <col min="3592" max="3840" width="9.140625" style="7"/>
    <col min="3841" max="3841" width="9.28515625" style="7" customWidth="1"/>
    <col min="3842" max="3842" width="9.140625" style="7"/>
    <col min="3843" max="3843" width="5.7109375" style="7" customWidth="1"/>
    <col min="3844" max="3844" width="22" style="7" customWidth="1"/>
    <col min="3845" max="3845" width="11" style="7" customWidth="1"/>
    <col min="3846" max="3846" width="19" style="7" customWidth="1"/>
    <col min="3847" max="3847" width="10.5703125" style="7" customWidth="1"/>
    <col min="3848" max="4096" width="9.140625" style="7"/>
    <col min="4097" max="4097" width="9.28515625" style="7" customWidth="1"/>
    <col min="4098" max="4098" width="9.140625" style="7"/>
    <col min="4099" max="4099" width="5.7109375" style="7" customWidth="1"/>
    <col min="4100" max="4100" width="22" style="7" customWidth="1"/>
    <col min="4101" max="4101" width="11" style="7" customWidth="1"/>
    <col min="4102" max="4102" width="19" style="7" customWidth="1"/>
    <col min="4103" max="4103" width="10.5703125" style="7" customWidth="1"/>
    <col min="4104" max="4352" width="9.140625" style="7"/>
    <col min="4353" max="4353" width="9.28515625" style="7" customWidth="1"/>
    <col min="4354" max="4354" width="9.140625" style="7"/>
    <col min="4355" max="4355" width="5.7109375" style="7" customWidth="1"/>
    <col min="4356" max="4356" width="22" style="7" customWidth="1"/>
    <col min="4357" max="4357" width="11" style="7" customWidth="1"/>
    <col min="4358" max="4358" width="19" style="7" customWidth="1"/>
    <col min="4359" max="4359" width="10.5703125" style="7" customWidth="1"/>
    <col min="4360" max="4608" width="9.140625" style="7"/>
    <col min="4609" max="4609" width="9.28515625" style="7" customWidth="1"/>
    <col min="4610" max="4610" width="9.140625" style="7"/>
    <col min="4611" max="4611" width="5.7109375" style="7" customWidth="1"/>
    <col min="4612" max="4612" width="22" style="7" customWidth="1"/>
    <col min="4613" max="4613" width="11" style="7" customWidth="1"/>
    <col min="4614" max="4614" width="19" style="7" customWidth="1"/>
    <col min="4615" max="4615" width="10.5703125" style="7" customWidth="1"/>
    <col min="4616" max="4864" width="9.140625" style="7"/>
    <col min="4865" max="4865" width="9.28515625" style="7" customWidth="1"/>
    <col min="4866" max="4866" width="9.140625" style="7"/>
    <col min="4867" max="4867" width="5.7109375" style="7" customWidth="1"/>
    <col min="4868" max="4868" width="22" style="7" customWidth="1"/>
    <col min="4869" max="4869" width="11" style="7" customWidth="1"/>
    <col min="4870" max="4870" width="19" style="7" customWidth="1"/>
    <col min="4871" max="4871" width="10.5703125" style="7" customWidth="1"/>
    <col min="4872" max="5120" width="9.140625" style="7"/>
    <col min="5121" max="5121" width="9.28515625" style="7" customWidth="1"/>
    <col min="5122" max="5122" width="9.140625" style="7"/>
    <col min="5123" max="5123" width="5.7109375" style="7" customWidth="1"/>
    <col min="5124" max="5124" width="22" style="7" customWidth="1"/>
    <col min="5125" max="5125" width="11" style="7" customWidth="1"/>
    <col min="5126" max="5126" width="19" style="7" customWidth="1"/>
    <col min="5127" max="5127" width="10.5703125" style="7" customWidth="1"/>
    <col min="5128" max="5376" width="9.140625" style="7"/>
    <col min="5377" max="5377" width="9.28515625" style="7" customWidth="1"/>
    <col min="5378" max="5378" width="9.140625" style="7"/>
    <col min="5379" max="5379" width="5.7109375" style="7" customWidth="1"/>
    <col min="5380" max="5380" width="22" style="7" customWidth="1"/>
    <col min="5381" max="5381" width="11" style="7" customWidth="1"/>
    <col min="5382" max="5382" width="19" style="7" customWidth="1"/>
    <col min="5383" max="5383" width="10.5703125" style="7" customWidth="1"/>
    <col min="5384" max="5632" width="9.140625" style="7"/>
    <col min="5633" max="5633" width="9.28515625" style="7" customWidth="1"/>
    <col min="5634" max="5634" width="9.140625" style="7"/>
    <col min="5635" max="5635" width="5.7109375" style="7" customWidth="1"/>
    <col min="5636" max="5636" width="22" style="7" customWidth="1"/>
    <col min="5637" max="5637" width="11" style="7" customWidth="1"/>
    <col min="5638" max="5638" width="19" style="7" customWidth="1"/>
    <col min="5639" max="5639" width="10.5703125" style="7" customWidth="1"/>
    <col min="5640" max="5888" width="9.140625" style="7"/>
    <col min="5889" max="5889" width="9.28515625" style="7" customWidth="1"/>
    <col min="5890" max="5890" width="9.140625" style="7"/>
    <col min="5891" max="5891" width="5.7109375" style="7" customWidth="1"/>
    <col min="5892" max="5892" width="22" style="7" customWidth="1"/>
    <col min="5893" max="5893" width="11" style="7" customWidth="1"/>
    <col min="5894" max="5894" width="19" style="7" customWidth="1"/>
    <col min="5895" max="5895" width="10.5703125" style="7" customWidth="1"/>
    <col min="5896" max="6144" width="9.140625" style="7"/>
    <col min="6145" max="6145" width="9.28515625" style="7" customWidth="1"/>
    <col min="6146" max="6146" width="9.140625" style="7"/>
    <col min="6147" max="6147" width="5.7109375" style="7" customWidth="1"/>
    <col min="6148" max="6148" width="22" style="7" customWidth="1"/>
    <col min="6149" max="6149" width="11" style="7" customWidth="1"/>
    <col min="6150" max="6150" width="19" style="7" customWidth="1"/>
    <col min="6151" max="6151" width="10.5703125" style="7" customWidth="1"/>
    <col min="6152" max="6400" width="9.140625" style="7"/>
    <col min="6401" max="6401" width="9.28515625" style="7" customWidth="1"/>
    <col min="6402" max="6402" width="9.140625" style="7"/>
    <col min="6403" max="6403" width="5.7109375" style="7" customWidth="1"/>
    <col min="6404" max="6404" width="22" style="7" customWidth="1"/>
    <col min="6405" max="6405" width="11" style="7" customWidth="1"/>
    <col min="6406" max="6406" width="19" style="7" customWidth="1"/>
    <col min="6407" max="6407" width="10.5703125" style="7" customWidth="1"/>
    <col min="6408" max="6656" width="9.140625" style="7"/>
    <col min="6657" max="6657" width="9.28515625" style="7" customWidth="1"/>
    <col min="6658" max="6658" width="9.140625" style="7"/>
    <col min="6659" max="6659" width="5.7109375" style="7" customWidth="1"/>
    <col min="6660" max="6660" width="22" style="7" customWidth="1"/>
    <col min="6661" max="6661" width="11" style="7" customWidth="1"/>
    <col min="6662" max="6662" width="19" style="7" customWidth="1"/>
    <col min="6663" max="6663" width="10.5703125" style="7" customWidth="1"/>
    <col min="6664" max="6912" width="9.140625" style="7"/>
    <col min="6913" max="6913" width="9.28515625" style="7" customWidth="1"/>
    <col min="6914" max="6914" width="9.140625" style="7"/>
    <col min="6915" max="6915" width="5.7109375" style="7" customWidth="1"/>
    <col min="6916" max="6916" width="22" style="7" customWidth="1"/>
    <col min="6917" max="6917" width="11" style="7" customWidth="1"/>
    <col min="6918" max="6918" width="19" style="7" customWidth="1"/>
    <col min="6919" max="6919" width="10.5703125" style="7" customWidth="1"/>
    <col min="6920" max="7168" width="9.140625" style="7"/>
    <col min="7169" max="7169" width="9.28515625" style="7" customWidth="1"/>
    <col min="7170" max="7170" width="9.140625" style="7"/>
    <col min="7171" max="7171" width="5.7109375" style="7" customWidth="1"/>
    <col min="7172" max="7172" width="22" style="7" customWidth="1"/>
    <col min="7173" max="7173" width="11" style="7" customWidth="1"/>
    <col min="7174" max="7174" width="19" style="7" customWidth="1"/>
    <col min="7175" max="7175" width="10.5703125" style="7" customWidth="1"/>
    <col min="7176" max="7424" width="9.140625" style="7"/>
    <col min="7425" max="7425" width="9.28515625" style="7" customWidth="1"/>
    <col min="7426" max="7426" width="9.140625" style="7"/>
    <col min="7427" max="7427" width="5.7109375" style="7" customWidth="1"/>
    <col min="7428" max="7428" width="22" style="7" customWidth="1"/>
    <col min="7429" max="7429" width="11" style="7" customWidth="1"/>
    <col min="7430" max="7430" width="19" style="7" customWidth="1"/>
    <col min="7431" max="7431" width="10.5703125" style="7" customWidth="1"/>
    <col min="7432" max="7680" width="9.140625" style="7"/>
    <col min="7681" max="7681" width="9.28515625" style="7" customWidth="1"/>
    <col min="7682" max="7682" width="9.140625" style="7"/>
    <col min="7683" max="7683" width="5.7109375" style="7" customWidth="1"/>
    <col min="7684" max="7684" width="22" style="7" customWidth="1"/>
    <col min="7685" max="7685" width="11" style="7" customWidth="1"/>
    <col min="7686" max="7686" width="19" style="7" customWidth="1"/>
    <col min="7687" max="7687" width="10.5703125" style="7" customWidth="1"/>
    <col min="7688" max="7936" width="9.140625" style="7"/>
    <col min="7937" max="7937" width="9.28515625" style="7" customWidth="1"/>
    <col min="7938" max="7938" width="9.140625" style="7"/>
    <col min="7939" max="7939" width="5.7109375" style="7" customWidth="1"/>
    <col min="7940" max="7940" width="22" style="7" customWidth="1"/>
    <col min="7941" max="7941" width="11" style="7" customWidth="1"/>
    <col min="7942" max="7942" width="19" style="7" customWidth="1"/>
    <col min="7943" max="7943" width="10.5703125" style="7" customWidth="1"/>
    <col min="7944" max="8192" width="9.140625" style="7"/>
    <col min="8193" max="8193" width="9.28515625" style="7" customWidth="1"/>
    <col min="8194" max="8194" width="9.140625" style="7"/>
    <col min="8195" max="8195" width="5.7109375" style="7" customWidth="1"/>
    <col min="8196" max="8196" width="22" style="7" customWidth="1"/>
    <col min="8197" max="8197" width="11" style="7" customWidth="1"/>
    <col min="8198" max="8198" width="19" style="7" customWidth="1"/>
    <col min="8199" max="8199" width="10.5703125" style="7" customWidth="1"/>
    <col min="8200" max="8448" width="9.140625" style="7"/>
    <col min="8449" max="8449" width="9.28515625" style="7" customWidth="1"/>
    <col min="8450" max="8450" width="9.140625" style="7"/>
    <col min="8451" max="8451" width="5.7109375" style="7" customWidth="1"/>
    <col min="8452" max="8452" width="22" style="7" customWidth="1"/>
    <col min="8453" max="8453" width="11" style="7" customWidth="1"/>
    <col min="8454" max="8454" width="19" style="7" customWidth="1"/>
    <col min="8455" max="8455" width="10.5703125" style="7" customWidth="1"/>
    <col min="8456" max="8704" width="9.140625" style="7"/>
    <col min="8705" max="8705" width="9.28515625" style="7" customWidth="1"/>
    <col min="8706" max="8706" width="9.140625" style="7"/>
    <col min="8707" max="8707" width="5.7109375" style="7" customWidth="1"/>
    <col min="8708" max="8708" width="22" style="7" customWidth="1"/>
    <col min="8709" max="8709" width="11" style="7" customWidth="1"/>
    <col min="8710" max="8710" width="19" style="7" customWidth="1"/>
    <col min="8711" max="8711" width="10.5703125" style="7" customWidth="1"/>
    <col min="8712" max="8960" width="9.140625" style="7"/>
    <col min="8961" max="8961" width="9.28515625" style="7" customWidth="1"/>
    <col min="8962" max="8962" width="9.140625" style="7"/>
    <col min="8963" max="8963" width="5.7109375" style="7" customWidth="1"/>
    <col min="8964" max="8964" width="22" style="7" customWidth="1"/>
    <col min="8965" max="8965" width="11" style="7" customWidth="1"/>
    <col min="8966" max="8966" width="19" style="7" customWidth="1"/>
    <col min="8967" max="8967" width="10.5703125" style="7" customWidth="1"/>
    <col min="8968" max="9216" width="9.140625" style="7"/>
    <col min="9217" max="9217" width="9.28515625" style="7" customWidth="1"/>
    <col min="9218" max="9218" width="9.140625" style="7"/>
    <col min="9219" max="9219" width="5.7109375" style="7" customWidth="1"/>
    <col min="9220" max="9220" width="22" style="7" customWidth="1"/>
    <col min="9221" max="9221" width="11" style="7" customWidth="1"/>
    <col min="9222" max="9222" width="19" style="7" customWidth="1"/>
    <col min="9223" max="9223" width="10.5703125" style="7" customWidth="1"/>
    <col min="9224" max="9472" width="9.140625" style="7"/>
    <col min="9473" max="9473" width="9.28515625" style="7" customWidth="1"/>
    <col min="9474" max="9474" width="9.140625" style="7"/>
    <col min="9475" max="9475" width="5.7109375" style="7" customWidth="1"/>
    <col min="9476" max="9476" width="22" style="7" customWidth="1"/>
    <col min="9477" max="9477" width="11" style="7" customWidth="1"/>
    <col min="9478" max="9478" width="19" style="7" customWidth="1"/>
    <col min="9479" max="9479" width="10.5703125" style="7" customWidth="1"/>
    <col min="9480" max="9728" width="9.140625" style="7"/>
    <col min="9729" max="9729" width="9.28515625" style="7" customWidth="1"/>
    <col min="9730" max="9730" width="9.140625" style="7"/>
    <col min="9731" max="9731" width="5.7109375" style="7" customWidth="1"/>
    <col min="9732" max="9732" width="22" style="7" customWidth="1"/>
    <col min="9733" max="9733" width="11" style="7" customWidth="1"/>
    <col min="9734" max="9734" width="19" style="7" customWidth="1"/>
    <col min="9735" max="9735" width="10.5703125" style="7" customWidth="1"/>
    <col min="9736" max="9984" width="9.140625" style="7"/>
    <col min="9985" max="9985" width="9.28515625" style="7" customWidth="1"/>
    <col min="9986" max="9986" width="9.140625" style="7"/>
    <col min="9987" max="9987" width="5.7109375" style="7" customWidth="1"/>
    <col min="9988" max="9988" width="22" style="7" customWidth="1"/>
    <col min="9989" max="9989" width="11" style="7" customWidth="1"/>
    <col min="9990" max="9990" width="19" style="7" customWidth="1"/>
    <col min="9991" max="9991" width="10.5703125" style="7" customWidth="1"/>
    <col min="9992" max="10240" width="9.140625" style="7"/>
    <col min="10241" max="10241" width="9.28515625" style="7" customWidth="1"/>
    <col min="10242" max="10242" width="9.140625" style="7"/>
    <col min="10243" max="10243" width="5.7109375" style="7" customWidth="1"/>
    <col min="10244" max="10244" width="22" style="7" customWidth="1"/>
    <col min="10245" max="10245" width="11" style="7" customWidth="1"/>
    <col min="10246" max="10246" width="19" style="7" customWidth="1"/>
    <col min="10247" max="10247" width="10.5703125" style="7" customWidth="1"/>
    <col min="10248" max="10496" width="9.140625" style="7"/>
    <col min="10497" max="10497" width="9.28515625" style="7" customWidth="1"/>
    <col min="10498" max="10498" width="9.140625" style="7"/>
    <col min="10499" max="10499" width="5.7109375" style="7" customWidth="1"/>
    <col min="10500" max="10500" width="22" style="7" customWidth="1"/>
    <col min="10501" max="10501" width="11" style="7" customWidth="1"/>
    <col min="10502" max="10502" width="19" style="7" customWidth="1"/>
    <col min="10503" max="10503" width="10.5703125" style="7" customWidth="1"/>
    <col min="10504" max="10752" width="9.140625" style="7"/>
    <col min="10753" max="10753" width="9.28515625" style="7" customWidth="1"/>
    <col min="10754" max="10754" width="9.140625" style="7"/>
    <col min="10755" max="10755" width="5.7109375" style="7" customWidth="1"/>
    <col min="10756" max="10756" width="22" style="7" customWidth="1"/>
    <col min="10757" max="10757" width="11" style="7" customWidth="1"/>
    <col min="10758" max="10758" width="19" style="7" customWidth="1"/>
    <col min="10759" max="10759" width="10.5703125" style="7" customWidth="1"/>
    <col min="10760" max="11008" width="9.140625" style="7"/>
    <col min="11009" max="11009" width="9.28515625" style="7" customWidth="1"/>
    <col min="11010" max="11010" width="9.140625" style="7"/>
    <col min="11011" max="11011" width="5.7109375" style="7" customWidth="1"/>
    <col min="11012" max="11012" width="22" style="7" customWidth="1"/>
    <col min="11013" max="11013" width="11" style="7" customWidth="1"/>
    <col min="11014" max="11014" width="19" style="7" customWidth="1"/>
    <col min="11015" max="11015" width="10.5703125" style="7" customWidth="1"/>
    <col min="11016" max="11264" width="9.140625" style="7"/>
    <col min="11265" max="11265" width="9.28515625" style="7" customWidth="1"/>
    <col min="11266" max="11266" width="9.140625" style="7"/>
    <col min="11267" max="11267" width="5.7109375" style="7" customWidth="1"/>
    <col min="11268" max="11268" width="22" style="7" customWidth="1"/>
    <col min="11269" max="11269" width="11" style="7" customWidth="1"/>
    <col min="11270" max="11270" width="19" style="7" customWidth="1"/>
    <col min="11271" max="11271" width="10.5703125" style="7" customWidth="1"/>
    <col min="11272" max="11520" width="9.140625" style="7"/>
    <col min="11521" max="11521" width="9.28515625" style="7" customWidth="1"/>
    <col min="11522" max="11522" width="9.140625" style="7"/>
    <col min="11523" max="11523" width="5.7109375" style="7" customWidth="1"/>
    <col min="11524" max="11524" width="22" style="7" customWidth="1"/>
    <col min="11525" max="11525" width="11" style="7" customWidth="1"/>
    <col min="11526" max="11526" width="19" style="7" customWidth="1"/>
    <col min="11527" max="11527" width="10.5703125" style="7" customWidth="1"/>
    <col min="11528" max="11776" width="9.140625" style="7"/>
    <col min="11777" max="11777" width="9.28515625" style="7" customWidth="1"/>
    <col min="11778" max="11778" width="9.140625" style="7"/>
    <col min="11779" max="11779" width="5.7109375" style="7" customWidth="1"/>
    <col min="11780" max="11780" width="22" style="7" customWidth="1"/>
    <col min="11781" max="11781" width="11" style="7" customWidth="1"/>
    <col min="11782" max="11782" width="19" style="7" customWidth="1"/>
    <col min="11783" max="11783" width="10.5703125" style="7" customWidth="1"/>
    <col min="11784" max="12032" width="9.140625" style="7"/>
    <col min="12033" max="12033" width="9.28515625" style="7" customWidth="1"/>
    <col min="12034" max="12034" width="9.140625" style="7"/>
    <col min="12035" max="12035" width="5.7109375" style="7" customWidth="1"/>
    <col min="12036" max="12036" width="22" style="7" customWidth="1"/>
    <col min="12037" max="12037" width="11" style="7" customWidth="1"/>
    <col min="12038" max="12038" width="19" style="7" customWidth="1"/>
    <col min="12039" max="12039" width="10.5703125" style="7" customWidth="1"/>
    <col min="12040" max="12288" width="9.140625" style="7"/>
    <col min="12289" max="12289" width="9.28515625" style="7" customWidth="1"/>
    <col min="12290" max="12290" width="9.140625" style="7"/>
    <col min="12291" max="12291" width="5.7109375" style="7" customWidth="1"/>
    <col min="12292" max="12292" width="22" style="7" customWidth="1"/>
    <col min="12293" max="12293" width="11" style="7" customWidth="1"/>
    <col min="12294" max="12294" width="19" style="7" customWidth="1"/>
    <col min="12295" max="12295" width="10.5703125" style="7" customWidth="1"/>
    <col min="12296" max="12544" width="9.140625" style="7"/>
    <col min="12545" max="12545" width="9.28515625" style="7" customWidth="1"/>
    <col min="12546" max="12546" width="9.140625" style="7"/>
    <col min="12547" max="12547" width="5.7109375" style="7" customWidth="1"/>
    <col min="12548" max="12548" width="22" style="7" customWidth="1"/>
    <col min="12549" max="12549" width="11" style="7" customWidth="1"/>
    <col min="12550" max="12550" width="19" style="7" customWidth="1"/>
    <col min="12551" max="12551" width="10.5703125" style="7" customWidth="1"/>
    <col min="12552" max="12800" width="9.140625" style="7"/>
    <col min="12801" max="12801" width="9.28515625" style="7" customWidth="1"/>
    <col min="12802" max="12802" width="9.140625" style="7"/>
    <col min="12803" max="12803" width="5.7109375" style="7" customWidth="1"/>
    <col min="12804" max="12804" width="22" style="7" customWidth="1"/>
    <col min="12805" max="12805" width="11" style="7" customWidth="1"/>
    <col min="12806" max="12806" width="19" style="7" customWidth="1"/>
    <col min="12807" max="12807" width="10.5703125" style="7" customWidth="1"/>
    <col min="12808" max="13056" width="9.140625" style="7"/>
    <col min="13057" max="13057" width="9.28515625" style="7" customWidth="1"/>
    <col min="13058" max="13058" width="9.140625" style="7"/>
    <col min="13059" max="13059" width="5.7109375" style="7" customWidth="1"/>
    <col min="13060" max="13060" width="22" style="7" customWidth="1"/>
    <col min="13061" max="13061" width="11" style="7" customWidth="1"/>
    <col min="13062" max="13062" width="19" style="7" customWidth="1"/>
    <col min="13063" max="13063" width="10.5703125" style="7" customWidth="1"/>
    <col min="13064" max="13312" width="9.140625" style="7"/>
    <col min="13313" max="13313" width="9.28515625" style="7" customWidth="1"/>
    <col min="13314" max="13314" width="9.140625" style="7"/>
    <col min="13315" max="13315" width="5.7109375" style="7" customWidth="1"/>
    <col min="13316" max="13316" width="22" style="7" customWidth="1"/>
    <col min="13317" max="13317" width="11" style="7" customWidth="1"/>
    <col min="13318" max="13318" width="19" style="7" customWidth="1"/>
    <col min="13319" max="13319" width="10.5703125" style="7" customWidth="1"/>
    <col min="13320" max="13568" width="9.140625" style="7"/>
    <col min="13569" max="13569" width="9.28515625" style="7" customWidth="1"/>
    <col min="13570" max="13570" width="9.140625" style="7"/>
    <col min="13571" max="13571" width="5.7109375" style="7" customWidth="1"/>
    <col min="13572" max="13572" width="22" style="7" customWidth="1"/>
    <col min="13573" max="13573" width="11" style="7" customWidth="1"/>
    <col min="13574" max="13574" width="19" style="7" customWidth="1"/>
    <col min="13575" max="13575" width="10.5703125" style="7" customWidth="1"/>
    <col min="13576" max="13824" width="9.140625" style="7"/>
    <col min="13825" max="13825" width="9.28515625" style="7" customWidth="1"/>
    <col min="13826" max="13826" width="9.140625" style="7"/>
    <col min="13827" max="13827" width="5.7109375" style="7" customWidth="1"/>
    <col min="13828" max="13828" width="22" style="7" customWidth="1"/>
    <col min="13829" max="13829" width="11" style="7" customWidth="1"/>
    <col min="13830" max="13830" width="19" style="7" customWidth="1"/>
    <col min="13831" max="13831" width="10.5703125" style="7" customWidth="1"/>
    <col min="13832" max="14080" width="9.140625" style="7"/>
    <col min="14081" max="14081" width="9.28515625" style="7" customWidth="1"/>
    <col min="14082" max="14082" width="9.140625" style="7"/>
    <col min="14083" max="14083" width="5.7109375" style="7" customWidth="1"/>
    <col min="14084" max="14084" width="22" style="7" customWidth="1"/>
    <col min="14085" max="14085" width="11" style="7" customWidth="1"/>
    <col min="14086" max="14086" width="19" style="7" customWidth="1"/>
    <col min="14087" max="14087" width="10.5703125" style="7" customWidth="1"/>
    <col min="14088" max="14336" width="9.140625" style="7"/>
    <col min="14337" max="14337" width="9.28515625" style="7" customWidth="1"/>
    <col min="14338" max="14338" width="9.140625" style="7"/>
    <col min="14339" max="14339" width="5.7109375" style="7" customWidth="1"/>
    <col min="14340" max="14340" width="22" style="7" customWidth="1"/>
    <col min="14341" max="14341" width="11" style="7" customWidth="1"/>
    <col min="14342" max="14342" width="19" style="7" customWidth="1"/>
    <col min="14343" max="14343" width="10.5703125" style="7" customWidth="1"/>
    <col min="14344" max="14592" width="9.140625" style="7"/>
    <col min="14593" max="14593" width="9.28515625" style="7" customWidth="1"/>
    <col min="14594" max="14594" width="9.140625" style="7"/>
    <col min="14595" max="14595" width="5.7109375" style="7" customWidth="1"/>
    <col min="14596" max="14596" width="22" style="7" customWidth="1"/>
    <col min="14597" max="14597" width="11" style="7" customWidth="1"/>
    <col min="14598" max="14598" width="19" style="7" customWidth="1"/>
    <col min="14599" max="14599" width="10.5703125" style="7" customWidth="1"/>
    <col min="14600" max="14848" width="9.140625" style="7"/>
    <col min="14849" max="14849" width="9.28515625" style="7" customWidth="1"/>
    <col min="14850" max="14850" width="9.140625" style="7"/>
    <col min="14851" max="14851" width="5.7109375" style="7" customWidth="1"/>
    <col min="14852" max="14852" width="22" style="7" customWidth="1"/>
    <col min="14853" max="14853" width="11" style="7" customWidth="1"/>
    <col min="14854" max="14854" width="19" style="7" customWidth="1"/>
    <col min="14855" max="14855" width="10.5703125" style="7" customWidth="1"/>
    <col min="14856" max="15104" width="9.140625" style="7"/>
    <col min="15105" max="15105" width="9.28515625" style="7" customWidth="1"/>
    <col min="15106" max="15106" width="9.140625" style="7"/>
    <col min="15107" max="15107" width="5.7109375" style="7" customWidth="1"/>
    <col min="15108" max="15108" width="22" style="7" customWidth="1"/>
    <col min="15109" max="15109" width="11" style="7" customWidth="1"/>
    <col min="15110" max="15110" width="19" style="7" customWidth="1"/>
    <col min="15111" max="15111" width="10.5703125" style="7" customWidth="1"/>
    <col min="15112" max="15360" width="9.140625" style="7"/>
    <col min="15361" max="15361" width="9.28515625" style="7" customWidth="1"/>
    <col min="15362" max="15362" width="9.140625" style="7"/>
    <col min="15363" max="15363" width="5.7109375" style="7" customWidth="1"/>
    <col min="15364" max="15364" width="22" style="7" customWidth="1"/>
    <col min="15365" max="15365" width="11" style="7" customWidth="1"/>
    <col min="15366" max="15366" width="19" style="7" customWidth="1"/>
    <col min="15367" max="15367" width="10.5703125" style="7" customWidth="1"/>
    <col min="15368" max="15616" width="9.140625" style="7"/>
    <col min="15617" max="15617" width="9.28515625" style="7" customWidth="1"/>
    <col min="15618" max="15618" width="9.140625" style="7"/>
    <col min="15619" max="15619" width="5.7109375" style="7" customWidth="1"/>
    <col min="15620" max="15620" width="22" style="7" customWidth="1"/>
    <col min="15621" max="15621" width="11" style="7" customWidth="1"/>
    <col min="15622" max="15622" width="19" style="7" customWidth="1"/>
    <col min="15623" max="15623" width="10.5703125" style="7" customWidth="1"/>
    <col min="15624" max="15872" width="9.140625" style="7"/>
    <col min="15873" max="15873" width="9.28515625" style="7" customWidth="1"/>
    <col min="15874" max="15874" width="9.140625" style="7"/>
    <col min="15875" max="15875" width="5.7109375" style="7" customWidth="1"/>
    <col min="15876" max="15876" width="22" style="7" customWidth="1"/>
    <col min="15877" max="15877" width="11" style="7" customWidth="1"/>
    <col min="15878" max="15878" width="19" style="7" customWidth="1"/>
    <col min="15879" max="15879" width="10.5703125" style="7" customWidth="1"/>
    <col min="15880" max="16128" width="9.140625" style="7"/>
    <col min="16129" max="16129" width="9.28515625" style="7" customWidth="1"/>
    <col min="16130" max="16130" width="9.140625" style="7"/>
    <col min="16131" max="16131" width="5.7109375" style="7" customWidth="1"/>
    <col min="16132" max="16132" width="22" style="7" customWidth="1"/>
    <col min="16133" max="16133" width="11" style="7" customWidth="1"/>
    <col min="16134" max="16134" width="19" style="7" customWidth="1"/>
    <col min="16135" max="16135" width="10.5703125" style="7" customWidth="1"/>
    <col min="16136" max="16384" width="9.140625" style="7"/>
  </cols>
  <sheetData>
    <row r="1" spans="1:7" x14ac:dyDescent="0.25">
      <c r="E1" s="18" t="s">
        <v>298</v>
      </c>
      <c r="F1" s="18"/>
      <c r="G1" s="18"/>
    </row>
    <row r="2" spans="1:7" x14ac:dyDescent="0.25">
      <c r="E2" s="18" t="s">
        <v>299</v>
      </c>
      <c r="F2" s="18"/>
      <c r="G2" s="18"/>
    </row>
    <row r="3" spans="1:7" x14ac:dyDescent="0.25">
      <c r="E3" s="18" t="s">
        <v>307</v>
      </c>
      <c r="F3" s="18"/>
      <c r="G3" s="18"/>
    </row>
    <row r="4" spans="1:7" x14ac:dyDescent="0.25">
      <c r="E4" s="18" t="s">
        <v>734</v>
      </c>
      <c r="F4" s="18"/>
      <c r="G4" s="18"/>
    </row>
    <row r="5" spans="1:7" x14ac:dyDescent="0.25">
      <c r="E5" s="19"/>
      <c r="F5" s="14"/>
      <c r="G5" s="14"/>
    </row>
    <row r="7" spans="1:7" ht="37.5" customHeight="1" x14ac:dyDescent="0.3">
      <c r="A7" s="62" t="s">
        <v>731</v>
      </c>
      <c r="B7" s="62"/>
      <c r="C7" s="62"/>
      <c r="D7" s="62"/>
      <c r="E7" s="58"/>
      <c r="F7" s="58"/>
      <c r="G7" s="58"/>
    </row>
    <row r="10" spans="1:7" ht="94.5" x14ac:dyDescent="0.25">
      <c r="A10" s="8" t="s">
        <v>300</v>
      </c>
      <c r="B10" s="8" t="s">
        <v>301</v>
      </c>
      <c r="C10" s="8" t="s">
        <v>291</v>
      </c>
      <c r="D10" s="8" t="s">
        <v>302</v>
      </c>
      <c r="E10" s="8" t="s">
        <v>303</v>
      </c>
      <c r="F10" s="8" t="s">
        <v>304</v>
      </c>
      <c r="G10" s="8" t="s">
        <v>305</v>
      </c>
    </row>
    <row r="11" spans="1:7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</row>
    <row r="12" spans="1:7" ht="146.25" customHeight="1" x14ac:dyDescent="0.25">
      <c r="A12" s="11">
        <v>1003</v>
      </c>
      <c r="B12" s="11" t="s">
        <v>53</v>
      </c>
      <c r="C12" s="11">
        <v>360</v>
      </c>
      <c r="D12" s="29" t="s">
        <v>729</v>
      </c>
      <c r="E12" s="29" t="s">
        <v>730</v>
      </c>
      <c r="F12" s="13">
        <v>100000</v>
      </c>
      <c r="G12" s="13">
        <v>100000</v>
      </c>
    </row>
    <row r="13" spans="1:7" x14ac:dyDescent="0.25">
      <c r="A13" s="59" t="s">
        <v>306</v>
      </c>
      <c r="B13" s="65"/>
      <c r="C13" s="65"/>
      <c r="D13" s="65"/>
      <c r="E13" s="60"/>
      <c r="F13" s="13">
        <f>SUM(F12)</f>
        <v>100000</v>
      </c>
      <c r="G13" s="13">
        <f>SUM(G12)</f>
        <v>100000</v>
      </c>
    </row>
    <row r="14" spans="1:7" x14ac:dyDescent="0.25">
      <c r="A14" s="20"/>
      <c r="B14" s="20"/>
      <c r="C14" s="20"/>
      <c r="D14" s="20"/>
      <c r="E14" s="21"/>
      <c r="F14" s="21"/>
      <c r="G14" s="21"/>
    </row>
    <row r="17" spans="1:7" x14ac:dyDescent="0.25">
      <c r="A17" s="66"/>
      <c r="B17" s="67"/>
      <c r="C17" s="67"/>
      <c r="D17" s="67"/>
      <c r="E17" s="67"/>
      <c r="F17" s="68"/>
      <c r="G17" s="68"/>
    </row>
    <row r="18" spans="1:7" x14ac:dyDescent="0.25">
      <c r="A18" s="66"/>
      <c r="B18" s="67"/>
      <c r="C18" s="67"/>
      <c r="D18" s="67"/>
      <c r="E18" s="67"/>
    </row>
  </sheetData>
  <mergeCells count="5">
    <mergeCell ref="A7:G7"/>
    <mergeCell ref="A13:E13"/>
    <mergeCell ref="A17:E17"/>
    <mergeCell ref="F17:G17"/>
    <mergeCell ref="A18:E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прил.2</vt:lpstr>
      <vt:lpstr>прил.3</vt:lpstr>
      <vt:lpstr>прил.4</vt:lpstr>
    </vt:vector>
  </TitlesOfParts>
  <Company>***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RePack by Diakov</cp:lastModifiedBy>
  <cp:lastPrinted>2021-10-22T11:22:55Z</cp:lastPrinted>
  <dcterms:created xsi:type="dcterms:W3CDTF">2007-02-27T13:35:41Z</dcterms:created>
  <dcterms:modified xsi:type="dcterms:W3CDTF">2021-10-25T07:00:10Z</dcterms:modified>
</cp:coreProperties>
</file>