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O:\ИСПОЛНЕНИЕ бюджета ГО 2023\Полугодие\"/>
    </mc:Choice>
  </mc:AlternateContent>
  <bookViews>
    <workbookView xWindow="0" yWindow="0" windowWidth="22956" windowHeight="9264" activeTab="2"/>
  </bookViews>
  <sheets>
    <sheet name="прил.2" sheetId="3" r:id="rId1"/>
    <sheet name="прил.3" sheetId="12" r:id="rId2"/>
    <sheet name="прил.4" sheetId="59" r:id="rId3"/>
  </sheets>
  <calcPr calcId="152511"/>
</workbook>
</file>

<file path=xl/calcChain.xml><?xml version="1.0" encoding="utf-8"?>
<calcChain xmlns="http://schemas.openxmlformats.org/spreadsheetml/2006/main">
  <c r="G220" i="3" l="1"/>
  <c r="G219" i="3"/>
  <c r="G218" i="3" s="1"/>
  <c r="G200" i="3"/>
  <c r="G199" i="3" s="1"/>
  <c r="G198" i="3" s="1"/>
  <c r="G191" i="3"/>
  <c r="G190" i="3" s="1"/>
  <c r="G594" i="3"/>
  <c r="G571" i="3"/>
  <c r="G442" i="3"/>
  <c r="G434" i="3"/>
  <c r="G404" i="3"/>
  <c r="G393" i="3"/>
  <c r="G361" i="3"/>
  <c r="G325" i="3"/>
  <c r="G261" i="3"/>
  <c r="G257" i="3"/>
  <c r="G255" i="3"/>
  <c r="G251" i="3"/>
  <c r="G250" i="3" s="1"/>
  <c r="G249" i="3" s="1"/>
  <c r="G248" i="3" s="1"/>
  <c r="G275" i="3"/>
  <c r="G240" i="3"/>
  <c r="G236" i="3"/>
  <c r="G244" i="3"/>
  <c r="G243" i="3" s="1"/>
  <c r="G229" i="3"/>
  <c r="G230" i="3"/>
  <c r="G212" i="3"/>
  <c r="G192" i="3"/>
  <c r="G194" i="3"/>
  <c r="G196" i="3"/>
  <c r="G165" i="3"/>
  <c r="G167" i="3"/>
  <c r="G149" i="3"/>
  <c r="G173" i="3"/>
  <c r="G172" i="3" s="1"/>
  <c r="G171" i="3" s="1"/>
  <c r="G147" i="3"/>
  <c r="G146" i="3" s="1"/>
  <c r="G145" i="3" s="1"/>
  <c r="G153" i="3"/>
  <c r="G151" i="3"/>
  <c r="G90" i="3"/>
  <c r="G70" i="3"/>
  <c r="G69" i="3" s="1"/>
  <c r="G59" i="3"/>
  <c r="G58" i="3" s="1"/>
  <c r="G57" i="3" s="1"/>
  <c r="G65" i="3"/>
  <c r="G224" i="3"/>
  <c r="G609" i="3"/>
  <c r="H609" i="3" s="1"/>
  <c r="H597" i="3"/>
  <c r="H599" i="3"/>
  <c r="H600" i="3"/>
  <c r="H601" i="3"/>
  <c r="H603" i="3"/>
  <c r="H605" i="3"/>
  <c r="H610" i="3"/>
  <c r="G604" i="3"/>
  <c r="H604" i="3" s="1"/>
  <c r="G602" i="3"/>
  <c r="H602" i="3" s="1"/>
  <c r="G600" i="3"/>
  <c r="G598" i="3"/>
  <c r="G596" i="3"/>
  <c r="H594" i="3"/>
  <c r="H595" i="3"/>
  <c r="H596" i="3"/>
  <c r="H587" i="3"/>
  <c r="H589" i="3"/>
  <c r="G588" i="3"/>
  <c r="H588" i="3" s="1"/>
  <c r="G586" i="3"/>
  <c r="H586" i="3" s="1"/>
  <c r="H582" i="3"/>
  <c r="H583" i="3"/>
  <c r="H585" i="3"/>
  <c r="G584" i="3"/>
  <c r="H584" i="3" s="1"/>
  <c r="G581" i="3"/>
  <c r="H581" i="3" s="1"/>
  <c r="H579" i="3"/>
  <c r="H580" i="3"/>
  <c r="G578" i="3"/>
  <c r="G572" i="3"/>
  <c r="G570" i="3"/>
  <c r="H570" i="3"/>
  <c r="H571" i="3"/>
  <c r="H572" i="3"/>
  <c r="H573" i="3"/>
  <c r="G568" i="3"/>
  <c r="G563" i="3" s="1"/>
  <c r="G562" i="3" s="1"/>
  <c r="G566" i="3"/>
  <c r="H566" i="3" s="1"/>
  <c r="H565" i="3"/>
  <c r="H567" i="3"/>
  <c r="H568" i="3"/>
  <c r="H569" i="3"/>
  <c r="G564" i="3"/>
  <c r="H557" i="3"/>
  <c r="H560" i="3"/>
  <c r="H561" i="3"/>
  <c r="G559" i="3"/>
  <c r="G558" i="3" s="1"/>
  <c r="G557" i="3" s="1"/>
  <c r="G554" i="3"/>
  <c r="G553" i="3" s="1"/>
  <c r="G552" i="3" s="1"/>
  <c r="H551" i="3"/>
  <c r="G550" i="3"/>
  <c r="G549" i="3" s="1"/>
  <c r="G548" i="3" s="1"/>
  <c r="H548" i="3" s="1"/>
  <c r="G546" i="3"/>
  <c r="G545" i="3" s="1"/>
  <c r="G544" i="3" s="1"/>
  <c r="G541" i="3"/>
  <c r="G540" i="3" s="1"/>
  <c r="G539" i="3" s="1"/>
  <c r="G538" i="3" s="1"/>
  <c r="G535" i="3"/>
  <c r="G534" i="3" s="1"/>
  <c r="G531" i="3"/>
  <c r="G530" i="3" s="1"/>
  <c r="G528" i="3"/>
  <c r="G526" i="3"/>
  <c r="F494" i="3"/>
  <c r="G521" i="3"/>
  <c r="G520" i="3" s="1"/>
  <c r="G518" i="3"/>
  <c r="G516" i="3"/>
  <c r="G514" i="3"/>
  <c r="G512" i="3"/>
  <c r="G510" i="3"/>
  <c r="G508" i="3"/>
  <c r="G505" i="3"/>
  <c r="G502" i="3"/>
  <c r="G500" i="3"/>
  <c r="G497" i="3"/>
  <c r="G490" i="3"/>
  <c r="G489" i="3" s="1"/>
  <c r="G487" i="3"/>
  <c r="G483" i="3"/>
  <c r="G480" i="3"/>
  <c r="G478" i="3"/>
  <c r="G476" i="3"/>
  <c r="G474" i="3"/>
  <c r="G472" i="3"/>
  <c r="G468" i="3"/>
  <c r="G465" i="3"/>
  <c r="G463" i="3"/>
  <c r="G458" i="3"/>
  <c r="G456" i="3"/>
  <c r="G454" i="3"/>
  <c r="G451" i="3"/>
  <c r="G449" i="3"/>
  <c r="G445" i="3"/>
  <c r="G444" i="3" s="1"/>
  <c r="G440" i="3"/>
  <c r="G429" i="3"/>
  <c r="G428" i="3" s="1"/>
  <c r="G427" i="3" s="1"/>
  <c r="G426" i="3" s="1"/>
  <c r="G424" i="3"/>
  <c r="G423" i="3" s="1"/>
  <c r="G421" i="3"/>
  <c r="G419" i="3"/>
  <c r="G417" i="3"/>
  <c r="G415" i="3"/>
  <c r="G411" i="3"/>
  <c r="G410" i="3" s="1"/>
  <c r="G408" i="3"/>
  <c r="G406" i="3"/>
  <c r="G402" i="3"/>
  <c r="G400" i="3"/>
  <c r="G395" i="3"/>
  <c r="G388" i="3"/>
  <c r="G387" i="3" s="1"/>
  <c r="G383" i="3"/>
  <c r="G367" i="3"/>
  <c r="G365" i="3"/>
  <c r="G363" i="3"/>
  <c r="G356" i="3"/>
  <c r="G354" i="3"/>
  <c r="G352" i="3"/>
  <c r="G346" i="3"/>
  <c r="G344" i="3"/>
  <c r="G323" i="3"/>
  <c r="G317" i="3"/>
  <c r="G319" i="3"/>
  <c r="G315" i="3"/>
  <c r="G313" i="3"/>
  <c r="G310" i="3"/>
  <c r="G305" i="3"/>
  <c r="G302" i="3"/>
  <c r="G301" i="3" s="1"/>
  <c r="G293" i="3"/>
  <c r="G287" i="3"/>
  <c r="G282" i="3"/>
  <c r="G281" i="3" s="1"/>
  <c r="G279" i="3"/>
  <c r="G277" i="3"/>
  <c r="G270" i="3"/>
  <c r="G267" i="3"/>
  <c r="G265" i="3"/>
  <c r="G216" i="3"/>
  <c r="G214" i="3"/>
  <c r="G208" i="3"/>
  <c r="G206" i="3"/>
  <c r="G204" i="3"/>
  <c r="G202" i="3"/>
  <c r="G187" i="3"/>
  <c r="G185" i="3"/>
  <c r="G183" i="3"/>
  <c r="G181" i="3"/>
  <c r="G179" i="3"/>
  <c r="G177" i="3"/>
  <c r="G175" i="3"/>
  <c r="G163" i="3"/>
  <c r="G138" i="3"/>
  <c r="G133" i="3"/>
  <c r="G132" i="3" s="1"/>
  <c r="G131" i="3" s="1"/>
  <c r="G130" i="3" s="1"/>
  <c r="G128" i="3"/>
  <c r="G127" i="3" s="1"/>
  <c r="G126" i="3" s="1"/>
  <c r="G122" i="3"/>
  <c r="G121" i="3" s="1"/>
  <c r="G120" i="3" s="1"/>
  <c r="G119" i="3" s="1"/>
  <c r="G115" i="3"/>
  <c r="G114" i="3" s="1"/>
  <c r="G112" i="3"/>
  <c r="G110" i="3"/>
  <c r="G107" i="3"/>
  <c r="G105" i="3"/>
  <c r="G101" i="3"/>
  <c r="G100" i="3" s="1"/>
  <c r="G98" i="3"/>
  <c r="G96" i="3"/>
  <c r="G87" i="3"/>
  <c r="G82" i="3"/>
  <c r="G79" i="3"/>
  <c r="G74" i="3"/>
  <c r="G73" i="3" s="1"/>
  <c r="G61" i="3"/>
  <c r="G54" i="3"/>
  <c r="G53" i="3" s="1"/>
  <c r="G52" i="3" s="1"/>
  <c r="G51" i="3" s="1"/>
  <c r="F49" i="3"/>
  <c r="F48" i="3" s="1"/>
  <c r="F47" i="3" s="1"/>
  <c r="G48" i="3"/>
  <c r="G47" i="3" s="1"/>
  <c r="G44" i="3"/>
  <c r="G43" i="3" s="1"/>
  <c r="G32" i="3"/>
  <c r="G31" i="3" s="1"/>
  <c r="G28" i="3"/>
  <c r="G27" i="3" s="1"/>
  <c r="G20" i="3"/>
  <c r="G16" i="3"/>
  <c r="G15" i="3" s="1"/>
  <c r="G14" i="3" s="1"/>
  <c r="G13" i="3" s="1"/>
  <c r="F610" i="3"/>
  <c r="F609" i="3" s="1"/>
  <c r="F608" i="3" s="1"/>
  <c r="F607" i="3" s="1"/>
  <c r="F606" i="3" s="1"/>
  <c r="F604" i="3"/>
  <c r="F602" i="3"/>
  <c r="F600" i="3"/>
  <c r="F599" i="3"/>
  <c r="F598" i="3" s="1"/>
  <c r="F596" i="3"/>
  <c r="F594" i="3"/>
  <c r="F588" i="3"/>
  <c r="F586" i="3"/>
  <c r="F584" i="3"/>
  <c r="F581" i="3"/>
  <c r="F580" i="3"/>
  <c r="F578" i="3" s="1"/>
  <c r="F573" i="3"/>
  <c r="F572" i="3" s="1"/>
  <c r="F571" i="3"/>
  <c r="F570" i="3" s="1"/>
  <c r="F569" i="3"/>
  <c r="F568" i="3" s="1"/>
  <c r="F566" i="3"/>
  <c r="F564" i="3"/>
  <c r="F559" i="3"/>
  <c r="F558" i="3" s="1"/>
  <c r="F557" i="3" s="1"/>
  <c r="F554" i="3"/>
  <c r="F553" i="3" s="1"/>
  <c r="F552" i="3" s="1"/>
  <c r="F550" i="3"/>
  <c r="F549" i="3" s="1"/>
  <c r="F548" i="3" s="1"/>
  <c r="F546" i="3"/>
  <c r="F545" i="3" s="1"/>
  <c r="F544" i="3" s="1"/>
  <c r="F541" i="3"/>
  <c r="F540" i="3" s="1"/>
  <c r="F539" i="3" s="1"/>
  <c r="F538" i="3" s="1"/>
  <c r="F535" i="3"/>
  <c r="F534" i="3" s="1"/>
  <c r="F532" i="3"/>
  <c r="F531" i="3" s="1"/>
  <c r="F530" i="3" s="1"/>
  <c r="F528" i="3"/>
  <c r="F526" i="3"/>
  <c r="F521" i="3"/>
  <c r="F520" i="3" s="1"/>
  <c r="F518" i="3"/>
  <c r="F516" i="3"/>
  <c r="F514" i="3"/>
  <c r="F513" i="3"/>
  <c r="F512" i="3" s="1"/>
  <c r="F510" i="3"/>
  <c r="F509" i="3"/>
  <c r="F508" i="3" s="1"/>
  <c r="F505" i="3"/>
  <c r="F504" i="3"/>
  <c r="F503" i="3"/>
  <c r="F501" i="3"/>
  <c r="F500" i="3" s="1"/>
  <c r="F499" i="3"/>
  <c r="F498" i="3"/>
  <c r="F492" i="3"/>
  <c r="F491" i="3"/>
  <c r="F487" i="3"/>
  <c r="F485" i="3"/>
  <c r="F484" i="3"/>
  <c r="F483" i="3" s="1"/>
  <c r="F482" i="3"/>
  <c r="F481" i="3"/>
  <c r="F479" i="3"/>
  <c r="F478" i="3" s="1"/>
  <c r="F476" i="3"/>
  <c r="F475" i="3"/>
  <c r="F474" i="3" s="1"/>
  <c r="F472" i="3"/>
  <c r="F470" i="3"/>
  <c r="F468" i="3" s="1"/>
  <c r="F465" i="3"/>
  <c r="F464" i="3"/>
  <c r="F463" i="3" s="1"/>
  <c r="F458" i="3"/>
  <c r="F456" i="3"/>
  <c r="F454" i="3"/>
  <c r="F451" i="3"/>
  <c r="F449" i="3"/>
  <c r="F445" i="3"/>
  <c r="F444" i="3" s="1"/>
  <c r="F443" i="3"/>
  <c r="F442" i="3" s="1"/>
  <c r="F440" i="3"/>
  <c r="F438" i="3"/>
  <c r="F437" i="3"/>
  <c r="F436" i="3" s="1"/>
  <c r="F434" i="3"/>
  <c r="F429" i="3"/>
  <c r="F428" i="3" s="1"/>
  <c r="F427" i="3" s="1"/>
  <c r="F426" i="3" s="1"/>
  <c r="F425" i="3"/>
  <c r="F424" i="3" s="1"/>
  <c r="F423" i="3" s="1"/>
  <c r="F421" i="3"/>
  <c r="F420" i="3"/>
  <c r="F419" i="3" s="1"/>
  <c r="F417" i="3"/>
  <c r="F416" i="3"/>
  <c r="F415" i="3" s="1"/>
  <c r="F411" i="3"/>
  <c r="F410" i="3" s="1"/>
  <c r="F408" i="3"/>
  <c r="F406" i="3"/>
  <c r="F404" i="3"/>
  <c r="F402" i="3"/>
  <c r="F401" i="3"/>
  <c r="F400" i="3" s="1"/>
  <c r="F396" i="3"/>
  <c r="F395" i="3" s="1"/>
  <c r="F394" i="3"/>
  <c r="F393" i="3" s="1"/>
  <c r="F389" i="3"/>
  <c r="F388" i="3" s="1"/>
  <c r="F387" i="3" s="1"/>
  <c r="F385" i="3"/>
  <c r="F383" i="3"/>
  <c r="F381" i="3"/>
  <c r="F379" i="3"/>
  <c r="F377" i="3"/>
  <c r="F375" i="3"/>
  <c r="F373" i="3"/>
  <c r="F371" i="3"/>
  <c r="F369" i="3"/>
  <c r="F368" i="3"/>
  <c r="F367" i="3" s="1"/>
  <c r="F365" i="3"/>
  <c r="F364" i="3"/>
  <c r="F363" i="3" s="1"/>
  <c r="F361" i="3"/>
  <c r="F360" i="3" s="1"/>
  <c r="F357" i="3"/>
  <c r="F356" i="3" s="1"/>
  <c r="F355" i="3"/>
  <c r="F354" i="3" s="1"/>
  <c r="F352" i="3"/>
  <c r="F346" i="3"/>
  <c r="F344" i="3"/>
  <c r="F339" i="3"/>
  <c r="F337" i="3"/>
  <c r="F335" i="3"/>
  <c r="F333" i="3"/>
  <c r="F331" i="3"/>
  <c r="F328" i="3"/>
  <c r="F327" i="3" s="1"/>
  <c r="F325" i="3"/>
  <c r="F323" i="3"/>
  <c r="F320" i="3"/>
  <c r="F319" i="3" s="1"/>
  <c r="F317" i="3"/>
  <c r="F316" i="3"/>
  <c r="F315" i="3" s="1"/>
  <c r="F313" i="3"/>
  <c r="F310" i="3"/>
  <c r="F308" i="3"/>
  <c r="F306" i="3"/>
  <c r="F305" i="3" s="1"/>
  <c r="F302" i="3"/>
  <c r="F301" i="3" s="1"/>
  <c r="F299" i="3"/>
  <c r="F297" i="3"/>
  <c r="F296" i="3"/>
  <c r="F295" i="3" s="1"/>
  <c r="F294" i="3"/>
  <c r="F293" i="3" s="1"/>
  <c r="F289" i="3"/>
  <c r="F288" i="3"/>
  <c r="F287" i="3" s="1"/>
  <c r="F282" i="3"/>
  <c r="F281" i="3" s="1"/>
  <c r="F279" i="3"/>
  <c r="F277" i="3"/>
  <c r="F276" i="3"/>
  <c r="F275" i="3" s="1"/>
  <c r="F273" i="3"/>
  <c r="F272" i="3" s="1"/>
  <c r="F271" i="3"/>
  <c r="F270" i="3" s="1"/>
  <c r="F268" i="3"/>
  <c r="F267" i="3" s="1"/>
  <c r="F265" i="3"/>
  <c r="F264" i="3" s="1"/>
  <c r="F261" i="3"/>
  <c r="F259" i="3"/>
  <c r="F257" i="3"/>
  <c r="F255" i="3"/>
  <c r="F253" i="3"/>
  <c r="F251" i="3"/>
  <c r="F246" i="3"/>
  <c r="F245" i="3"/>
  <c r="F244" i="3" s="1"/>
  <c r="F242" i="3"/>
  <c r="F241" i="3"/>
  <c r="F238" i="3"/>
  <c r="F236" i="3"/>
  <c r="F234" i="3"/>
  <c r="F233" i="3" s="1"/>
  <c r="F232" i="3"/>
  <c r="F231" i="3"/>
  <c r="F224" i="3"/>
  <c r="F222" i="3"/>
  <c r="F220" i="3"/>
  <c r="F216" i="3"/>
  <c r="F214" i="3"/>
  <c r="F212" i="3"/>
  <c r="F210" i="3"/>
  <c r="F208" i="3"/>
  <c r="F206" i="3"/>
  <c r="F204" i="3"/>
  <c r="F202" i="3"/>
  <c r="F200" i="3"/>
  <c r="F197" i="3"/>
  <c r="F196" i="3" s="1"/>
  <c r="F194" i="3"/>
  <c r="F192" i="3"/>
  <c r="F187" i="3"/>
  <c r="F186" i="3"/>
  <c r="F185" i="3" s="1"/>
  <c r="F184" i="3"/>
  <c r="F183" i="3" s="1"/>
  <c r="F182" i="3"/>
  <c r="F181" i="3" s="1"/>
  <c r="F179" i="3"/>
  <c r="F178" i="3"/>
  <c r="F177" i="3" s="1"/>
  <c r="F175" i="3"/>
  <c r="F174" i="3"/>
  <c r="F173" i="3" s="1"/>
  <c r="F170" i="3"/>
  <c r="F169" i="3" s="1"/>
  <c r="F168" i="3"/>
  <c r="F167" i="3" s="1"/>
  <c r="F165" i="3"/>
  <c r="F164" i="3"/>
  <c r="F163" i="3" s="1"/>
  <c r="F161" i="3"/>
  <c r="F160" i="3"/>
  <c r="F159" i="3" s="1"/>
  <c r="F157" i="3"/>
  <c r="F155" i="3"/>
  <c r="F154" i="3"/>
  <c r="F153" i="3" s="1"/>
  <c r="F152" i="3"/>
  <c r="F151" i="3" s="1"/>
  <c r="F149" i="3"/>
  <c r="F147" i="3"/>
  <c r="F142" i="3"/>
  <c r="F140" i="3"/>
  <c r="F138" i="3"/>
  <c r="F133" i="3"/>
  <c r="F132" i="3" s="1"/>
  <c r="F131" i="3" s="1"/>
  <c r="F130" i="3" s="1"/>
  <c r="F129" i="3"/>
  <c r="F128" i="3" s="1"/>
  <c r="F127" i="3" s="1"/>
  <c r="F126" i="3" s="1"/>
  <c r="F122" i="3"/>
  <c r="F121" i="3" s="1"/>
  <c r="F120" i="3" s="1"/>
  <c r="F119" i="3" s="1"/>
  <c r="F116" i="3"/>
  <c r="F115" i="3" s="1"/>
  <c r="F114" i="3" s="1"/>
  <c r="F112" i="3"/>
  <c r="F110" i="3"/>
  <c r="F107" i="3"/>
  <c r="F105" i="3"/>
  <c r="F101" i="3"/>
  <c r="F100" i="3" s="1"/>
  <c r="F98" i="3"/>
  <c r="F96" i="3"/>
  <c r="F90" i="3"/>
  <c r="F87" i="3" s="1"/>
  <c r="F83" i="3"/>
  <c r="F82" i="3" s="1"/>
  <c r="F80" i="3"/>
  <c r="F79" i="3" s="1"/>
  <c r="F77" i="3"/>
  <c r="F75" i="3"/>
  <c r="F70" i="3"/>
  <c r="F69" i="3" s="1"/>
  <c r="F66" i="3"/>
  <c r="F65" i="3" s="1"/>
  <c r="F63" i="3"/>
  <c r="F61" i="3"/>
  <c r="F60" i="3"/>
  <c r="F59" i="3" s="1"/>
  <c r="F55" i="3"/>
  <c r="F54" i="3" s="1"/>
  <c r="F53" i="3" s="1"/>
  <c r="F52" i="3" s="1"/>
  <c r="F51" i="3" s="1"/>
  <c r="F45" i="3"/>
  <c r="F44" i="3" s="1"/>
  <c r="F43" i="3" s="1"/>
  <c r="F39" i="3"/>
  <c r="F38" i="3" s="1"/>
  <c r="F37" i="3" s="1"/>
  <c r="F36" i="3" s="1"/>
  <c r="F34" i="3"/>
  <c r="F33" i="3"/>
  <c r="F28" i="3"/>
  <c r="F27" i="3" s="1"/>
  <c r="F23" i="3"/>
  <c r="F22" i="3" s="1"/>
  <c r="F21" i="3"/>
  <c r="F20" i="3" s="1"/>
  <c r="F17" i="3"/>
  <c r="F16" i="3" s="1"/>
  <c r="F15" i="3" s="1"/>
  <c r="F14" i="3" s="1"/>
  <c r="F13" i="3" s="1"/>
  <c r="G189" i="3" l="1"/>
  <c r="G124" i="3" s="1"/>
  <c r="G593" i="3"/>
  <c r="G592" i="3" s="1"/>
  <c r="G591" i="3" s="1"/>
  <c r="G590" i="3" s="1"/>
  <c r="H590" i="3" s="1"/>
  <c r="H598" i="3"/>
  <c r="G577" i="3"/>
  <c r="G576" i="3" s="1"/>
  <c r="G575" i="3" s="1"/>
  <c r="G574" i="3" s="1"/>
  <c r="H574" i="3" s="1"/>
  <c r="H578" i="3"/>
  <c r="H562" i="3"/>
  <c r="H564" i="3"/>
  <c r="H559" i="3"/>
  <c r="H558" i="3"/>
  <c r="H550" i="3"/>
  <c r="G392" i="3"/>
  <c r="G391" i="3" s="1"/>
  <c r="G390" i="3" s="1"/>
  <c r="G235" i="3"/>
  <c r="G228" i="3"/>
  <c r="G227" i="3" s="1"/>
  <c r="G144" i="3"/>
  <c r="G608" i="3"/>
  <c r="H592" i="3"/>
  <c r="H591" i="3"/>
  <c r="H593" i="3"/>
  <c r="H577" i="3"/>
  <c r="H576" i="3"/>
  <c r="H563" i="3"/>
  <c r="G556" i="3"/>
  <c r="H556" i="3" s="1"/>
  <c r="H549" i="3"/>
  <c r="G543" i="3"/>
  <c r="G525" i="3"/>
  <c r="G524" i="3" s="1"/>
  <c r="G523" i="3" s="1"/>
  <c r="F351" i="3"/>
  <c r="G343" i="3"/>
  <c r="G342" i="3" s="1"/>
  <c r="G341" i="3" s="1"/>
  <c r="G496" i="3"/>
  <c r="G495" i="3" s="1"/>
  <c r="G494" i="3" s="1"/>
  <c r="G351" i="3"/>
  <c r="G350" i="3" s="1"/>
  <c r="G349" i="3" s="1"/>
  <c r="G462" i="3"/>
  <c r="G453" i="3"/>
  <c r="G448" i="3"/>
  <c r="G414" i="3"/>
  <c r="G413" i="3" s="1"/>
  <c r="F330" i="3"/>
  <c r="F490" i="3"/>
  <c r="F489" i="3" s="1"/>
  <c r="F312" i="3"/>
  <c r="H287" i="3"/>
  <c r="H288" i="3"/>
  <c r="F269" i="3"/>
  <c r="G304" i="3"/>
  <c r="G264" i="3"/>
  <c r="F78" i="3"/>
  <c r="F137" i="3"/>
  <c r="F136" i="3" s="1"/>
  <c r="F135" i="3" s="1"/>
  <c r="F95" i="3"/>
  <c r="F109" i="3"/>
  <c r="F32" i="3"/>
  <c r="F31" i="3" s="1"/>
  <c r="F26" i="3" s="1"/>
  <c r="F25" i="3" s="1"/>
  <c r="G109" i="3"/>
  <c r="G125" i="3"/>
  <c r="F502" i="3"/>
  <c r="F219" i="3"/>
  <c r="F218" i="3" s="1"/>
  <c r="F19" i="3"/>
  <c r="F18" i="3" s="1"/>
  <c r="F230" i="3"/>
  <c r="F229" i="3" s="1"/>
  <c r="F525" i="3"/>
  <c r="F524" i="3" s="1"/>
  <c r="F523" i="3" s="1"/>
  <c r="G104" i="3"/>
  <c r="G95" i="3"/>
  <c r="G89" i="3"/>
  <c r="G88" i="3" s="1"/>
  <c r="G78" i="3"/>
  <c r="G68" i="3" s="1"/>
  <c r="G56" i="3" s="1"/>
  <c r="F42" i="3"/>
  <c r="F41" i="3" s="1"/>
  <c r="G42" i="3"/>
  <c r="G41" i="3" s="1"/>
  <c r="G26" i="3"/>
  <c r="G25" i="3" s="1"/>
  <c r="F199" i="3"/>
  <c r="F198" i="3" s="1"/>
  <c r="F89" i="3"/>
  <c r="F88" i="3" s="1"/>
  <c r="F240" i="3"/>
  <c r="F235" i="3" s="1"/>
  <c r="F286" i="3"/>
  <c r="F285" i="3" s="1"/>
  <c r="F480" i="3"/>
  <c r="F471" i="3" s="1"/>
  <c r="F292" i="3"/>
  <c r="F448" i="3"/>
  <c r="F497" i="3"/>
  <c r="F250" i="3"/>
  <c r="F249" i="3" s="1"/>
  <c r="F243" i="3"/>
  <c r="F274" i="3"/>
  <c r="F343" i="3"/>
  <c r="F342" i="3" s="1"/>
  <c r="F341" i="3" s="1"/>
  <c r="F453" i="3"/>
  <c r="F322" i="3"/>
  <c r="F321" i="3" s="1"/>
  <c r="F433" i="3"/>
  <c r="F432" i="3" s="1"/>
  <c r="F563" i="3"/>
  <c r="F562" i="3" s="1"/>
  <c r="F556" i="3" s="1"/>
  <c r="F577" i="3"/>
  <c r="F576" i="3" s="1"/>
  <c r="F575" i="3" s="1"/>
  <c r="F574" i="3" s="1"/>
  <c r="F104" i="3"/>
  <c r="F304" i="3"/>
  <c r="F392" i="3"/>
  <c r="F391" i="3" s="1"/>
  <c r="F191" i="3"/>
  <c r="F190" i="3" s="1"/>
  <c r="F329" i="3"/>
  <c r="F74" i="3"/>
  <c r="F73" i="3" s="1"/>
  <c r="F593" i="3"/>
  <c r="F592" i="3" s="1"/>
  <c r="F591" i="3" s="1"/>
  <c r="F590" i="3" s="1"/>
  <c r="F172" i="3"/>
  <c r="F171" i="3" s="1"/>
  <c r="F462" i="3"/>
  <c r="F58" i="3"/>
  <c r="F57" i="3" s="1"/>
  <c r="F125" i="3"/>
  <c r="F146" i="3"/>
  <c r="F145" i="3" s="1"/>
  <c r="F350" i="3"/>
  <c r="F349" i="3" s="1"/>
  <c r="F359" i="3"/>
  <c r="F358" i="3" s="1"/>
  <c r="F414" i="3"/>
  <c r="F413" i="3" s="1"/>
  <c r="F543" i="3"/>
  <c r="H575" i="3" l="1"/>
  <c r="G537" i="3"/>
  <c r="H608" i="3"/>
  <c r="G607" i="3"/>
  <c r="G447" i="3"/>
  <c r="F68" i="3"/>
  <c r="F94" i="3"/>
  <c r="F93" i="3" s="1"/>
  <c r="F496" i="3"/>
  <c r="F495" i="3" s="1"/>
  <c r="F493" i="3" s="1"/>
  <c r="F291" i="3"/>
  <c r="F284" i="3" s="1"/>
  <c r="F144" i="3"/>
  <c r="F461" i="3"/>
  <c r="F460" i="3" s="1"/>
  <c r="G94" i="3"/>
  <c r="G93" i="3" s="1"/>
  <c r="G86" i="3" s="1"/>
  <c r="F390" i="3"/>
  <c r="F263" i="3"/>
  <c r="F248" i="3" s="1"/>
  <c r="F447" i="3"/>
  <c r="F431" i="3" s="1"/>
  <c r="F228" i="3"/>
  <c r="F227" i="3" s="1"/>
  <c r="F537" i="3"/>
  <c r="F189" i="3"/>
  <c r="F86" i="3"/>
  <c r="F56" i="3"/>
  <c r="F12" i="3" s="1"/>
  <c r="G606" i="3" l="1"/>
  <c r="H606" i="3" s="1"/>
  <c r="H607" i="3"/>
  <c r="F124" i="3"/>
  <c r="F348" i="3"/>
  <c r="F226" i="3"/>
  <c r="G611" i="3" l="1"/>
  <c r="F611" i="3"/>
  <c r="G299" i="3" l="1"/>
  <c r="G272" i="3"/>
  <c r="G269" i="3" s="1"/>
  <c r="G221" i="3"/>
  <c r="G140" i="3"/>
  <c r="G142" i="3"/>
  <c r="H524" i="3"/>
  <c r="H527" i="3"/>
  <c r="H528" i="3"/>
  <c r="H530" i="3"/>
  <c r="H532" i="3"/>
  <c r="H534" i="3"/>
  <c r="H540" i="3"/>
  <c r="H542" i="3"/>
  <c r="H546" i="3"/>
  <c r="G493" i="3"/>
  <c r="G485" i="3"/>
  <c r="G471" i="3" s="1"/>
  <c r="G461" i="3" s="1"/>
  <c r="G460" i="3" s="1"/>
  <c r="H480" i="3"/>
  <c r="G438" i="3"/>
  <c r="G436" i="3"/>
  <c r="G385" i="3"/>
  <c r="G381" i="3"/>
  <c r="G379" i="3"/>
  <c r="G377" i="3"/>
  <c r="G375" i="3"/>
  <c r="G360" i="3" s="1"/>
  <c r="G359" i="3" s="1"/>
  <c r="G373" i="3"/>
  <c r="G369" i="3"/>
  <c r="G433" i="3" l="1"/>
  <c r="G432" i="3" s="1"/>
  <c r="G431" i="3" s="1"/>
  <c r="G137" i="3"/>
  <c r="G136" i="3" s="1"/>
  <c r="G135" i="3" s="1"/>
  <c r="G371" i="3"/>
  <c r="G339" i="3"/>
  <c r="G337" i="3"/>
  <c r="G335" i="3"/>
  <c r="G333" i="3"/>
  <c r="G331" i="3"/>
  <c r="G295" i="3"/>
  <c r="G274" i="3"/>
  <c r="G263" i="3" s="1"/>
  <c r="G253" i="3"/>
  <c r="G246" i="3"/>
  <c r="G238" i="3"/>
  <c r="G233" i="3"/>
  <c r="G159" i="3"/>
  <c r="G358" i="3" l="1"/>
  <c r="G348" i="3" s="1"/>
  <c r="G330" i="3"/>
  <c r="G329" i="3" s="1"/>
  <c r="G297" i="3"/>
  <c r="G292" i="3" s="1"/>
  <c r="G327" i="3"/>
  <c r="G322" i="3" s="1"/>
  <c r="G321" i="3" s="1"/>
  <c r="G312" i="3"/>
  <c r="H547" i="3"/>
  <c r="H545" i="3"/>
  <c r="H541" i="3"/>
  <c r="H539" i="3"/>
  <c r="H533" i="3"/>
  <c r="H531" i="3"/>
  <c r="H529" i="3"/>
  <c r="H526" i="3"/>
  <c r="G291" i="3" l="1"/>
  <c r="H543" i="3"/>
  <c r="H544" i="3"/>
  <c r="H555" i="3"/>
  <c r="H479" i="3"/>
  <c r="H523" i="3"/>
  <c r="H525" i="3"/>
  <c r="H503" i="3"/>
  <c r="H468" i="3"/>
  <c r="H473" i="3"/>
  <c r="H484" i="3"/>
  <c r="H485" i="3"/>
  <c r="H489" i="3"/>
  <c r="H491" i="3"/>
  <c r="H493" i="3"/>
  <c r="H495" i="3"/>
  <c r="H505" i="3"/>
  <c r="H506" i="3"/>
  <c r="H508" i="3"/>
  <c r="H516" i="3"/>
  <c r="H518" i="3"/>
  <c r="H520" i="3"/>
  <c r="H538" i="3" l="1"/>
  <c r="H554" i="3"/>
  <c r="H478" i="3"/>
  <c r="H522" i="3"/>
  <c r="G13" i="59"/>
  <c r="F13" i="59"/>
  <c r="H553" i="3" l="1"/>
  <c r="H477" i="3"/>
  <c r="H537" i="3"/>
  <c r="G289" i="3"/>
  <c r="G286" i="3" s="1"/>
  <c r="G285" i="3" l="1"/>
  <c r="H286" i="3"/>
  <c r="H552" i="3"/>
  <c r="H476" i="3"/>
  <c r="H535" i="3"/>
  <c r="H536" i="3"/>
  <c r="H521" i="3"/>
  <c r="H519" i="3"/>
  <c r="H517" i="3"/>
  <c r="H515" i="3"/>
  <c r="H507" i="3"/>
  <c r="H504" i="3"/>
  <c r="H502" i="3"/>
  <c r="H496" i="3"/>
  <c r="H494" i="3"/>
  <c r="H492" i="3"/>
  <c r="H490" i="3"/>
  <c r="H488" i="3"/>
  <c r="G284" i="3" l="1"/>
  <c r="H285" i="3"/>
  <c r="H497" i="3"/>
  <c r="H475" i="3"/>
  <c r="H472" i="3"/>
  <c r="H483" i="3"/>
  <c r="H471" i="3"/>
  <c r="H513" i="3"/>
  <c r="H514" i="3"/>
  <c r="H481" i="3"/>
  <c r="H482" i="3"/>
  <c r="H284" i="3" l="1"/>
  <c r="G226" i="3"/>
  <c r="H217" i="3"/>
  <c r="H501" i="3"/>
  <c r="H487" i="3"/>
  <c r="H512" i="3"/>
  <c r="H500" i="3"/>
  <c r="H486" i="3"/>
  <c r="H511" i="3"/>
  <c r="H470" i="3"/>
  <c r="H216" i="3" l="1"/>
  <c r="H509" i="3"/>
  <c r="H510" i="3"/>
  <c r="H498" i="3"/>
  <c r="H499" i="3"/>
  <c r="H474" i="3" l="1"/>
  <c r="H40" i="3"/>
  <c r="H29" i="3"/>
  <c r="H469" i="3" l="1"/>
  <c r="H319" i="3"/>
  <c r="H315" i="3"/>
  <c r="H313" i="3"/>
  <c r="H208" i="3"/>
  <c r="H200" i="3"/>
  <c r="H194" i="3"/>
  <c r="H146" i="3"/>
  <c r="H90" i="3"/>
  <c r="H91" i="3"/>
  <c r="G63" i="3"/>
  <c r="G22" i="3"/>
  <c r="G19" i="3" s="1"/>
  <c r="G18" i="3" s="1"/>
  <c r="H17" i="3"/>
  <c r="H21" i="3"/>
  <c r="H23" i="3"/>
  <c r="H30" i="3"/>
  <c r="H33" i="3"/>
  <c r="H35" i="3"/>
  <c r="H45" i="3"/>
  <c r="H46" i="3"/>
  <c r="H47" i="3"/>
  <c r="H50" i="3"/>
  <c r="H51" i="3"/>
  <c r="H55" i="3"/>
  <c r="H64" i="3"/>
  <c r="H66" i="3"/>
  <c r="H71" i="3"/>
  <c r="H79" i="3"/>
  <c r="H80" i="3"/>
  <c r="H86" i="3"/>
  <c r="H98" i="3"/>
  <c r="H99" i="3"/>
  <c r="H110" i="3"/>
  <c r="H112" i="3"/>
  <c r="H115" i="3"/>
  <c r="H116" i="3"/>
  <c r="H117" i="3"/>
  <c r="H122" i="3"/>
  <c r="H140" i="3"/>
  <c r="H144" i="3"/>
  <c r="H147" i="3"/>
  <c r="H153" i="3"/>
  <c r="H157" i="3"/>
  <c r="H159" i="3"/>
  <c r="H174" i="3"/>
  <c r="H177" i="3"/>
  <c r="H178" i="3"/>
  <c r="H207" i="3"/>
  <c r="H223" i="3"/>
  <c r="H229" i="3"/>
  <c r="H234" i="3"/>
  <c r="H237" i="3"/>
  <c r="H241" i="3"/>
  <c r="H247" i="3"/>
  <c r="H255" i="3"/>
  <c r="H260" i="3"/>
  <c r="H262" i="3"/>
  <c r="H272" i="3"/>
  <c r="H278" i="3"/>
  <c r="H290" i="3"/>
  <c r="H293" i="3"/>
  <c r="H299" i="3"/>
  <c r="H305" i="3"/>
  <c r="H309" i="3"/>
  <c r="H314" i="3"/>
  <c r="H317" i="3"/>
  <c r="H318" i="3"/>
  <c r="H322" i="3"/>
  <c r="H324" i="3"/>
  <c r="H325" i="3"/>
  <c r="H330" i="3"/>
  <c r="H333" i="3"/>
  <c r="H337" i="3"/>
  <c r="H338" i="3"/>
  <c r="H341" i="3"/>
  <c r="H342" i="3"/>
  <c r="H349" i="3"/>
  <c r="H355" i="3"/>
  <c r="H362" i="3"/>
  <c r="H367" i="3"/>
  <c r="H374" i="3"/>
  <c r="H380" i="3"/>
  <c r="H383" i="3"/>
  <c r="H385" i="3"/>
  <c r="H389" i="3"/>
  <c r="H394" i="3"/>
  <c r="H396" i="3"/>
  <c r="H399" i="3"/>
  <c r="H400" i="3"/>
  <c r="H401" i="3"/>
  <c r="H408" i="3"/>
  <c r="H409" i="3"/>
  <c r="H410" i="3"/>
  <c r="H413" i="3"/>
  <c r="H420" i="3"/>
  <c r="H424" i="3"/>
  <c r="H425" i="3"/>
  <c r="H426" i="3"/>
  <c r="H433" i="3"/>
  <c r="H439" i="3"/>
  <c r="H449" i="3"/>
  <c r="H450" i="3"/>
  <c r="H456" i="3"/>
  <c r="H226" i="3" l="1"/>
  <c r="H261" i="3"/>
  <c r="H265" i="3"/>
  <c r="H244" i="3"/>
  <c r="H274" i="3"/>
  <c r="H28" i="3"/>
  <c r="H384" i="3"/>
  <c r="H323" i="3"/>
  <c r="H187" i="3"/>
  <c r="H193" i="3"/>
  <c r="H89" i="3"/>
  <c r="H432" i="3"/>
  <c r="H340" i="3"/>
  <c r="H169" i="3"/>
  <c r="H141" i="3"/>
  <c r="H334" i="3"/>
  <c r="H254" i="3"/>
  <c r="H375" i="3"/>
  <c r="H411" i="3"/>
  <c r="H406" i="3"/>
  <c r="H392" i="3"/>
  <c r="H364" i="3"/>
  <c r="H460" i="3"/>
  <c r="H329" i="3"/>
  <c r="H258" i="3"/>
  <c r="H275" i="3"/>
  <c r="H447" i="3"/>
  <c r="H397" i="3"/>
  <c r="H339" i="3"/>
  <c r="H291" i="3"/>
  <c r="H277" i="3"/>
  <c r="H276" i="3"/>
  <c r="H271" i="3"/>
  <c r="H266" i="3"/>
  <c r="H264" i="3"/>
  <c r="H243" i="3"/>
  <c r="H134" i="3"/>
  <c r="H67" i="3"/>
  <c r="H125" i="3"/>
  <c r="H156" i="3"/>
  <c r="H395" i="3"/>
  <c r="H351" i="3"/>
  <c r="H350" i="3"/>
  <c r="H249" i="3"/>
  <c r="H233" i="3"/>
  <c r="H173" i="3"/>
  <c r="H170" i="3"/>
  <c r="H148" i="3"/>
  <c r="H82" i="3"/>
  <c r="H78" i="3"/>
  <c r="H65" i="3"/>
  <c r="H454" i="3"/>
  <c r="H289" i="3"/>
  <c r="H283" i="3"/>
  <c r="H455" i="3"/>
  <c r="H430" i="3"/>
  <c r="H393" i="3"/>
  <c r="H388" i="3"/>
  <c r="H222" i="3"/>
  <c r="H49" i="3"/>
  <c r="H371" i="3"/>
  <c r="H192" i="3"/>
  <c r="H467" i="3"/>
  <c r="H448" i="3"/>
  <c r="H431" i="3"/>
  <c r="H422" i="3"/>
  <c r="H414" i="3"/>
  <c r="H398" i="3"/>
  <c r="H282" i="3"/>
  <c r="H252" i="3"/>
  <c r="H158" i="3"/>
  <c r="H104" i="3"/>
  <c r="H74" i="3"/>
  <c r="H31" i="3"/>
  <c r="H24" i="3"/>
  <c r="H366" i="3"/>
  <c r="H304" i="3"/>
  <c r="H273" i="3"/>
  <c r="H269" i="3"/>
  <c r="H259" i="3"/>
  <c r="H253" i="3"/>
  <c r="H251" i="3"/>
  <c r="H228" i="3"/>
  <c r="H165" i="3"/>
  <c r="H161" i="3"/>
  <c r="H160" i="3"/>
  <c r="H145" i="3"/>
  <c r="H175" i="3"/>
  <c r="H126" i="3"/>
  <c r="H101" i="3"/>
  <c r="H83" i="3"/>
  <c r="H61" i="3"/>
  <c r="H56" i="3"/>
  <c r="H52" i="3"/>
  <c r="H48" i="3"/>
  <c r="G39" i="3"/>
  <c r="H39" i="3" s="1"/>
  <c r="H18" i="3"/>
  <c r="H459" i="3"/>
  <c r="H421" i="3"/>
  <c r="H419" i="3"/>
  <c r="H405" i="3"/>
  <c r="H466" i="3"/>
  <c r="H452" i="3"/>
  <c r="H453" i="3"/>
  <c r="H444" i="3"/>
  <c r="H412" i="3"/>
  <c r="H386" i="3"/>
  <c r="H387" i="3"/>
  <c r="H346" i="3"/>
  <c r="H461" i="3"/>
  <c r="H446" i="3"/>
  <c r="H438" i="3"/>
  <c r="H429" i="3"/>
  <c r="H423" i="3"/>
  <c r="H407" i="3"/>
  <c r="H379" i="3"/>
  <c r="H361" i="3"/>
  <c r="H356" i="3"/>
  <c r="H292" i="3"/>
  <c r="H382" i="3"/>
  <c r="H332" i="3"/>
  <c r="H328" i="3"/>
  <c r="H281" i="3"/>
  <c r="H248" i="3"/>
  <c r="H202" i="3"/>
  <c r="H163" i="3"/>
  <c r="H164" i="3"/>
  <c r="H131" i="3"/>
  <c r="H242" i="3"/>
  <c r="H191" i="3"/>
  <c r="H181" i="3"/>
  <c r="H182" i="3"/>
  <c r="H152" i="3"/>
  <c r="H114" i="3"/>
  <c r="H109" i="3"/>
  <c r="H15" i="3"/>
  <c r="H270" i="3"/>
  <c r="H240" i="3"/>
  <c r="H236" i="3"/>
  <c r="H232" i="3"/>
  <c r="H211" i="3"/>
  <c r="H172" i="3"/>
  <c r="H166" i="3"/>
  <c r="H168" i="3"/>
  <c r="H154" i="3"/>
  <c r="H155" i="3"/>
  <c r="H132" i="3"/>
  <c r="H133" i="3"/>
  <c r="H121" i="3"/>
  <c r="H96" i="3"/>
  <c r="H97" i="3"/>
  <c r="H72" i="3"/>
  <c r="H73" i="3"/>
  <c r="H22" i="3"/>
  <c r="H81" i="3"/>
  <c r="H75" i="3"/>
  <c r="H63" i="3"/>
  <c r="H34" i="3"/>
  <c r="H20" i="3"/>
  <c r="H16" i="3"/>
  <c r="H227" i="3" l="1"/>
  <c r="H316" i="3"/>
  <c r="H92" i="3"/>
  <c r="H93" i="3"/>
  <c r="H105" i="3"/>
  <c r="H312" i="3"/>
  <c r="H463" i="3"/>
  <c r="H462" i="3"/>
  <c r="H130" i="3"/>
  <c r="H390" i="3"/>
  <c r="H108" i="3"/>
  <c r="H442" i="3"/>
  <c r="H41" i="3"/>
  <c r="H19" i="3"/>
  <c r="H360" i="3"/>
  <c r="H295" i="3"/>
  <c r="H32" i="3"/>
  <c r="H25" i="3"/>
  <c r="H88" i="3"/>
  <c r="H357" i="3"/>
  <c r="H365" i="3"/>
  <c r="H443" i="3"/>
  <c r="H437" i="3"/>
  <c r="H296" i="3"/>
  <c r="H370" i="3"/>
  <c r="H345" i="3"/>
  <c r="H263" i="3"/>
  <c r="H257" i="3"/>
  <c r="H212" i="3"/>
  <c r="H445" i="3"/>
  <c r="H320" i="3"/>
  <c r="H321" i="3"/>
  <c r="H102" i="3"/>
  <c r="H103" i="3"/>
  <c r="H62" i="3"/>
  <c r="G38" i="3"/>
  <c r="H369" i="3"/>
  <c r="H53" i="3"/>
  <c r="H54" i="3"/>
  <c r="H70" i="3"/>
  <c r="H77" i="3"/>
  <c r="H139" i="3"/>
  <c r="H221" i="3"/>
  <c r="H14" i="3"/>
  <c r="H151" i="3"/>
  <c r="H171" i="3"/>
  <c r="H183" i="3"/>
  <c r="H210" i="3"/>
  <c r="H230" i="3"/>
  <c r="H245" i="3"/>
  <c r="H246" i="3"/>
  <c r="H359" i="3"/>
  <c r="H239" i="3"/>
  <c r="H297" i="3"/>
  <c r="H298" i="3"/>
  <c r="H303" i="3"/>
  <c r="H335" i="3"/>
  <c r="H336" i="3"/>
  <c r="H354" i="3"/>
  <c r="H368" i="3"/>
  <c r="H381" i="3"/>
  <c r="H404" i="3"/>
  <c r="H458" i="3"/>
  <c r="H457" i="3"/>
  <c r="H44" i="3"/>
  <c r="H59" i="3"/>
  <c r="H85" i="3"/>
  <c r="H84" i="3"/>
  <c r="H120" i="3"/>
  <c r="H135" i="3"/>
  <c r="H179" i="3"/>
  <c r="H180" i="3"/>
  <c r="H224" i="3"/>
  <c r="H225" i="3"/>
  <c r="H113" i="3"/>
  <c r="H127" i="3"/>
  <c r="H167" i="3"/>
  <c r="H231" i="3"/>
  <c r="H162" i="3"/>
  <c r="H327" i="3"/>
  <c r="H343" i="3"/>
  <c r="H238" i="3"/>
  <c r="H331" i="3"/>
  <c r="H347" i="3"/>
  <c r="H348" i="3"/>
  <c r="H372" i="3"/>
  <c r="H373" i="3"/>
  <c r="H378" i="3"/>
  <c r="H391" i="3"/>
  <c r="H427" i="3"/>
  <c r="H428" i="3"/>
  <c r="H436" i="3"/>
  <c r="H464" i="3"/>
  <c r="H465" i="3"/>
  <c r="H440" i="3"/>
  <c r="H441" i="3"/>
  <c r="H218" i="3" l="1"/>
  <c r="H219" i="3"/>
  <c r="H95" i="3"/>
  <c r="H311" i="3"/>
  <c r="H129" i="3"/>
  <c r="H344" i="3"/>
  <c r="G37" i="3"/>
  <c r="H38" i="3"/>
  <c r="H308" i="3"/>
  <c r="H451" i="3"/>
  <c r="H363" i="3"/>
  <c r="H256" i="3"/>
  <c r="H195" i="3"/>
  <c r="H107" i="3"/>
  <c r="H42" i="3"/>
  <c r="H43" i="3"/>
  <c r="H26" i="3"/>
  <c r="H27" i="3"/>
  <c r="H402" i="3"/>
  <c r="H403" i="3"/>
  <c r="H143" i="3"/>
  <c r="H13" i="3"/>
  <c r="H138" i="3"/>
  <c r="H76" i="3"/>
  <c r="H68" i="3"/>
  <c r="H69" i="3"/>
  <c r="H435" i="3"/>
  <c r="H376" i="3"/>
  <c r="H377" i="3"/>
  <c r="H326" i="3"/>
  <c r="H106" i="3"/>
  <c r="H119" i="3"/>
  <c r="H57" i="3"/>
  <c r="H58" i="3"/>
  <c r="H353" i="3"/>
  <c r="H307" i="3"/>
  <c r="H301" i="3"/>
  <c r="H302" i="3"/>
  <c r="H358" i="3"/>
  <c r="H149" i="3"/>
  <c r="H150" i="3"/>
  <c r="H87" i="3" l="1"/>
  <c r="H94" i="3"/>
  <c r="H310" i="3"/>
  <c r="H128" i="3"/>
  <c r="H100" i="3"/>
  <c r="G36" i="3"/>
  <c r="H37" i="3"/>
  <c r="H434" i="3"/>
  <c r="H306" i="3"/>
  <c r="H118" i="3"/>
  <c r="H111" i="3"/>
  <c r="H60" i="3"/>
  <c r="H142" i="3"/>
  <c r="H352" i="3"/>
  <c r="H136" i="3"/>
  <c r="H137" i="3"/>
  <c r="G12" i="3" l="1"/>
  <c r="H300" i="3"/>
  <c r="H267" i="3"/>
  <c r="H268" i="3"/>
  <c r="H235" i="3"/>
  <c r="H279" i="3"/>
  <c r="H280" i="3"/>
  <c r="H294" i="3"/>
  <c r="H36" i="3"/>
  <c r="H418" i="3"/>
  <c r="H220" i="3"/>
  <c r="H199" i="3" l="1"/>
  <c r="H12" i="3"/>
  <c r="H215" i="3"/>
  <c r="H206" i="3"/>
  <c r="H209" i="3"/>
  <c r="H417" i="3"/>
  <c r="H184" i="3"/>
  <c r="H197" i="3" l="1"/>
  <c r="H198" i="3"/>
  <c r="H213" i="3"/>
  <c r="H214" i="3"/>
  <c r="H203" i="3"/>
  <c r="H205" i="3"/>
  <c r="H415" i="3"/>
  <c r="H416" i="3"/>
  <c r="H124" i="3" l="1"/>
  <c r="H611" i="3"/>
  <c r="H204" i="3"/>
  <c r="H201" i="3" l="1"/>
  <c r="H196" i="3"/>
  <c r="H186" i="3" l="1"/>
  <c r="H190" i="3"/>
  <c r="D13" i="12"/>
  <c r="E13" i="12"/>
  <c r="F13" i="12"/>
  <c r="D11" i="12"/>
  <c r="E11" i="12"/>
  <c r="F11" i="12"/>
  <c r="E15" i="12" l="1"/>
  <c r="F15" i="12"/>
  <c r="H185" i="3"/>
  <c r="D15" i="12"/>
  <c r="H189" i="3"/>
  <c r="D10" i="12"/>
  <c r="E10" i="12"/>
  <c r="F10" i="12"/>
  <c r="H176" i="3" l="1"/>
  <c r="H188" i="3"/>
  <c r="C11" i="12"/>
  <c r="C13" i="12"/>
  <c r="H123" i="3" l="1"/>
  <c r="C15" i="12"/>
  <c r="C10" i="12"/>
</calcChain>
</file>

<file path=xl/sharedStrings.xml><?xml version="1.0" encoding="utf-8"?>
<sst xmlns="http://schemas.openxmlformats.org/spreadsheetml/2006/main" count="2422" uniqueCount="569">
  <si>
    <t>Развитие деятельности муниципального бюджетного учреждения Городской молодежный центр "Звездный"</t>
  </si>
  <si>
    <t>000 01 05 00 00 00 0000 000</t>
  </si>
  <si>
    <t>Изменение остатков средств на счетах по учету средств бюджета</t>
  </si>
  <si>
    <t>000 01 05 00 00 00 0000 500</t>
  </si>
  <si>
    <t>000 01 05 00 00 00 0000 600</t>
  </si>
  <si>
    <t>Транспорт</t>
  </si>
  <si>
    <t>Профессиональная подготовка, переподготовка и повышение квалификации</t>
  </si>
  <si>
    <t>Предоставление субсидий общественным организациям ветеранов войны, труда, вооруженных сил и правоохранительных органов, инвалидов и т.д.</t>
  </si>
  <si>
    <t>Другие вопросы в области национальной экономики</t>
  </si>
  <si>
    <t>Резервные фонды</t>
  </si>
  <si>
    <t>Массовый спорт</t>
  </si>
  <si>
    <t xml:space="preserve">Другие вопросы в области культуры, кинематографии </t>
  </si>
  <si>
    <t>Средства массовой информации</t>
  </si>
  <si>
    <t>13</t>
  </si>
  <si>
    <t>Резервные фонды  местных администраций</t>
  </si>
  <si>
    <t>Охрана семьи и детства</t>
  </si>
  <si>
    <t>Другие вопросы в области средств массовой информации</t>
  </si>
  <si>
    <t>Реализация государственных полномочий по созданию, исполнению полномочий и обеспечению деятельности комиссий по делам несовершеннолетних и защите их прав</t>
  </si>
  <si>
    <t>Осуществление  государственных полномочий Тверской области по созданию административных комиссий</t>
  </si>
  <si>
    <t>Функционирование высшего должностного лица субъекта Российской Федерации и муниципального образования</t>
  </si>
  <si>
    <t>Органы юстиции</t>
  </si>
  <si>
    <t xml:space="preserve">Культура и кинематография </t>
  </si>
  <si>
    <t>Другие вопросы в области национальной безопасности и правоохранительной деятельности</t>
  </si>
  <si>
    <t>Содержание и ремонт детских и спортивных площадок</t>
  </si>
  <si>
    <t>9940000000</t>
  </si>
  <si>
    <t>Подпрограмма "Организация похоронного дела"</t>
  </si>
  <si>
    <t>Расходы на обеспечение деятельности представительного органа местного самоуправления</t>
  </si>
  <si>
    <t>Расходы на обеспечение деятельности исполнительного органа местного самоуправления</t>
  </si>
  <si>
    <t>0230000000</t>
  </si>
  <si>
    <t>0290000000</t>
  </si>
  <si>
    <t>0700000000</t>
  </si>
  <si>
    <t>0710000000</t>
  </si>
  <si>
    <t>0730000000</t>
  </si>
  <si>
    <t>1300000000</t>
  </si>
  <si>
    <t>1310000000</t>
  </si>
  <si>
    <t>1320000000</t>
  </si>
  <si>
    <t>Отдельные мероприятия, не включенные в муниципальные программы</t>
  </si>
  <si>
    <t>Реализация  функций, связанных с общегосударственным управлением</t>
  </si>
  <si>
    <t>Прочие выплаты по обязательствам муниципального образования</t>
  </si>
  <si>
    <t>Коммунальное хозяйство</t>
  </si>
  <si>
    <t>Жилищное хозяйство</t>
  </si>
  <si>
    <t>0220000000</t>
  </si>
  <si>
    <t>Финансовое обеспечение повышения квалификации и профессиональной подготовки педагогических кадров</t>
  </si>
  <si>
    <t>Организация отдыха детей</t>
  </si>
  <si>
    <t>Обеспечивающая подпрограмма</t>
  </si>
  <si>
    <t>Жилищно-коммунальное хозяйство</t>
  </si>
  <si>
    <t>Благоустройство</t>
  </si>
  <si>
    <t>Организационное и методическое сопровождение государственной итоговой аттестации</t>
  </si>
  <si>
    <t>1100000000</t>
  </si>
  <si>
    <t>1110000000</t>
  </si>
  <si>
    <t>1120000000</t>
  </si>
  <si>
    <t>1130000000</t>
  </si>
  <si>
    <t>1140000000</t>
  </si>
  <si>
    <t>1200000000</t>
  </si>
  <si>
    <t>1210000000</t>
  </si>
  <si>
    <t>1220000000</t>
  </si>
  <si>
    <t>1230000000</t>
  </si>
  <si>
    <t>1240000000</t>
  </si>
  <si>
    <t>0200000000</t>
  </si>
  <si>
    <t>0210000000</t>
  </si>
  <si>
    <t>Командирование спортсменов муниципального образования для участия в официальных областных спортивно-массовых мероприятиях и соревнованиях</t>
  </si>
  <si>
    <t>120</t>
  </si>
  <si>
    <t>Расходы на выплаты персоналу государственных (муниципальных) органов</t>
  </si>
  <si>
    <t>110</t>
  </si>
  <si>
    <t>0600000000</t>
  </si>
  <si>
    <t>0610000000</t>
  </si>
  <si>
    <t>0900000000</t>
  </si>
  <si>
    <t>0910000000</t>
  </si>
  <si>
    <t>0300000000</t>
  </si>
  <si>
    <t>0310000000</t>
  </si>
  <si>
    <t>1000000000</t>
  </si>
  <si>
    <t>1010000000</t>
  </si>
  <si>
    <t>0100000000</t>
  </si>
  <si>
    <t>0110000000</t>
  </si>
  <si>
    <t>0120000000</t>
  </si>
  <si>
    <t>0190000000</t>
  </si>
  <si>
    <t>Организация выездов представителей молодежных общественных объединений на областные, межрегиональные, всероссийские мероприятия</t>
  </si>
  <si>
    <t>Расходы на выплату персоналу государственных (муниципальных) органов</t>
  </si>
  <si>
    <t>Подпрограмма "Реализация социальной политики"</t>
  </si>
  <si>
    <t>360</t>
  </si>
  <si>
    <t>Иные выплаты населению</t>
  </si>
  <si>
    <t>Подпрограмма "Обеспечение жильем отдельных категорий граждан"</t>
  </si>
  <si>
    <t>870</t>
  </si>
  <si>
    <t>Резервные средства</t>
  </si>
  <si>
    <t>01</t>
  </si>
  <si>
    <t>02</t>
  </si>
  <si>
    <t>Общегосударственные вопросы</t>
  </si>
  <si>
    <t>03</t>
  </si>
  <si>
    <t>04</t>
  </si>
  <si>
    <t>05</t>
  </si>
  <si>
    <t>06</t>
  </si>
  <si>
    <t>Другие общегосударственные вопросы</t>
  </si>
  <si>
    <t>Национальная безопасность и правоохранительная деятельность</t>
  </si>
  <si>
    <t>09</t>
  </si>
  <si>
    <t>Национальная экономика</t>
  </si>
  <si>
    <t>08</t>
  </si>
  <si>
    <t>11</t>
  </si>
  <si>
    <t>Сельское хозяйство и рыболовство</t>
  </si>
  <si>
    <t>07</t>
  </si>
  <si>
    <t>Образование</t>
  </si>
  <si>
    <t>Культура</t>
  </si>
  <si>
    <t>Дошкольное образование</t>
  </si>
  <si>
    <t>Общее образование</t>
  </si>
  <si>
    <t>Другие вопросы в области образования</t>
  </si>
  <si>
    <t>10</t>
  </si>
  <si>
    <t>Социальная политика</t>
  </si>
  <si>
    <t>Пенсионное обеспечение</t>
  </si>
  <si>
    <t>Глава муниципального образования</t>
  </si>
  <si>
    <t>Центральный аппарат</t>
  </si>
  <si>
    <t>Социальное обеспечение населения</t>
  </si>
  <si>
    <t>Увеличение остатков средств бюджетов</t>
  </si>
  <si>
    <t>Уменьшение остатков средств бюджетов</t>
  </si>
  <si>
    <t>14</t>
  </si>
  <si>
    <t>12</t>
  </si>
  <si>
    <t>Физическая культура и спорт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</si>
  <si>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</si>
  <si>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финансовых, налоговых и таможенных органов и органов финансового (финансово-бюджетного) надзора</t>
  </si>
  <si>
    <t>Функционирование законодательных (представительных) органов государственной власти и представительных органов муниципальных образований</t>
  </si>
  <si>
    <t>Расходы на выплаты персоналу казенных учреждений</t>
  </si>
  <si>
    <t>850</t>
  </si>
  <si>
    <t>Уплата налогов, сборов и иных платежей</t>
  </si>
  <si>
    <t>Финансовое обеспечение массовых мероприятий муниципального значения, способствующих духовно-нравственному воспитанию детей и формированию гражданской позиции</t>
  </si>
  <si>
    <t>Финансовое обеспечение мероприятий по формированию здорового образа жизни</t>
  </si>
  <si>
    <t>Организационно-методическое сопровождение организации и обеспечения подвоза учащихся и воспитанников общеобразовательных, дошкольных образовательных учреждений</t>
  </si>
  <si>
    <t>Председатель городской Думы</t>
  </si>
  <si>
    <t>2019 год</t>
  </si>
  <si>
    <t xml:space="preserve">Расходы, не включенные в муниципальные программы </t>
  </si>
  <si>
    <t>Расходы, не включенные в муниципальные программы</t>
  </si>
  <si>
    <t>0800000000</t>
  </si>
  <si>
    <t>0810000000</t>
  </si>
  <si>
    <t>Подпрограмма "Расселение аварийного жилищного фонда Удомельского городского округа"</t>
  </si>
  <si>
    <t>Подпрограмма "Капитальный ремонт общего имущества в многоквартирных домах на территории Удомельского городского округа"</t>
  </si>
  <si>
    <t>0510000000</t>
  </si>
  <si>
    <t>0520000000</t>
  </si>
  <si>
    <t>0530000000</t>
  </si>
  <si>
    <t>Уплата взносов на проведение капитального ремонта общего имущества в многоквартирных домах, в части муниципального жилищного фонда Удомельского городского округа</t>
  </si>
  <si>
    <t>0500000000</t>
  </si>
  <si>
    <t>Молодежная политика</t>
  </si>
  <si>
    <t>Дополнительное образование детей</t>
  </si>
  <si>
    <t>Подпрограмма "Управление имуществом Удомельского городского округа"</t>
  </si>
  <si>
    <t>Проведение инвентаризации муниципального имущества Удомельского городского округа</t>
  </si>
  <si>
    <t xml:space="preserve">Оценка рыночной стоимости объектов недвижимости и рыночной стоимости арендной платы за объекты муниципального имущества </t>
  </si>
  <si>
    <t>Содержание объектов нежилого фонда муниципальной казны Удомельского городского округа</t>
  </si>
  <si>
    <t>Подпрограмма "Управление земельными ресурсами Удомельского городского округа"</t>
  </si>
  <si>
    <t>0320000000</t>
  </si>
  <si>
    <t>Организация работ по формированию земельных участков, в том числе по объектам жилищно-коммунального хозяйства</t>
  </si>
  <si>
    <t>Подпрограмма "Сохранность автомобильных дорог общего пользования местного значения на территории Удомельского городского округа"</t>
  </si>
  <si>
    <t>Подпрограмма "Поддержка средств массовой информации муниципального образования Удомельский городской округ"</t>
  </si>
  <si>
    <t>Формирование земельных участков для бесплатного предоставления многодетным гражданам</t>
  </si>
  <si>
    <t>Приобретение  жилых помещений для детей-сирот, детей, оставшихся без попечения родителей за счет средств областного бюджета Тверской области</t>
  </si>
  <si>
    <t>Финансирование расходов на борьбу с борщевиком Сосновского</t>
  </si>
  <si>
    <t>Оплата услуг средствам массовой информации за размещение информации о деятельности органов местного самоуправления, объявлений о деятельности органов местного самоуправления в телевизионном эфире</t>
  </si>
  <si>
    <t>Сохранение и развитие библиотечного дела в Удомельском городском округе</t>
  </si>
  <si>
    <t>Подпрограмма "Культура Удомельского городского округа"</t>
  </si>
  <si>
    <t>Организация и проведение культурно-досуговых мероприятий и развитие народного творчества в Удомельском городском округе</t>
  </si>
  <si>
    <t>Развитие дополнительного образования в сфере культуры и искусства</t>
  </si>
  <si>
    <t>Популяризация и пропаганда деятельности по сохранению объектов культурного наследия Удомельского городского округа</t>
  </si>
  <si>
    <t>Проведение официальных муниципальных физкультурно-оздоровительных и спортивных мероприятий для всех возрастных групп и категорий населения муниципального образования Удомельского городского округа</t>
  </si>
  <si>
    <t xml:space="preserve">Подпрограмма "Молодежь Удомельского городского округа" </t>
  </si>
  <si>
    <t>Организация и проведение творческих  мероприятий для детей и молодежи</t>
  </si>
  <si>
    <t xml:space="preserve">Подпрограмма "Противодействие незаконному обороту наркотиков, наркомании, алкоголизму, табакокурению и другим видам зависимости в Удомельском городском округе" </t>
  </si>
  <si>
    <t>Проведение мероприятий для подростков и молодежи, направленных на формирование здорового образа жизни и  негативного отношения к наркомании, алкоголизму , табакокурению. Поддержка детского и молодежного самодеятельного творчества</t>
  </si>
  <si>
    <t>Социальная реклама</t>
  </si>
  <si>
    <t>Финансовое обеспечение компенсации расходов на оплату жилых помещений, отопления и освещения педагогическим работникам образовательных учреждений, проживающим и работающим в сельских населенных пунктах Удомельского городского округа</t>
  </si>
  <si>
    <t>Финансовое обеспечение деятельности муниципального центра тестирования ГТО</t>
  </si>
  <si>
    <t>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t>
  </si>
  <si>
    <t>Содержание улично-дорожной сети в городе Удомля</t>
  </si>
  <si>
    <t>Подпрограмма "Организации регулярных перевозок пассажиров и багажа автомобильным транспортом на территории Удомельского городского округа"</t>
  </si>
  <si>
    <t>Подпрограмма "Общественная безопасность и профилактика правонарушений на территории Удомельского городского округа"</t>
  </si>
  <si>
    <t>Обслуживание газового хозяйства северной части города Удомля</t>
  </si>
  <si>
    <t>Организация и содержание мест захоронений (кладбищ)</t>
  </si>
  <si>
    <t>9950000000</t>
  </si>
  <si>
    <t>Казенные учреждения, не включенные в муниципальные программы</t>
  </si>
  <si>
    <t>Увеличение прочих остатков денежных средств бюджетов городских округов</t>
  </si>
  <si>
    <t>000 01 05 02 01 04 0000 510</t>
  </si>
  <si>
    <t>Уменьшение прочих остатков денежных средств бюджетов городских округов</t>
  </si>
  <si>
    <t>000 01 05 02 01 04 0000 610</t>
  </si>
  <si>
    <t xml:space="preserve"> Итого источники финансирования дефицита бюджета </t>
  </si>
  <si>
    <t>Дорожное хозяйство (дорожные фонды)</t>
  </si>
  <si>
    <t>Подпрограмма "Повышение пожарной безопасности на территории Удомельского городского округа"</t>
  </si>
  <si>
    <t>Контрольно-счетная комиссия Удомельского городского округа</t>
  </si>
  <si>
    <t>Подпрограмма "Физическая культура и спорт  Удомельского городского округа"</t>
  </si>
  <si>
    <t>Приобретение жилых помещений для малоимущих многодетных семей за счет местного бюджета</t>
  </si>
  <si>
    <t>Подпрограмма "Снижение рисков и смягчение последствий чрезвычайных ситуаций на территории Удомельского городского округа"</t>
  </si>
  <si>
    <t>Подпрограмма "Осуществление мероприятий по обеспечению безопасности людей на водных объектах Удомельского городского округа"</t>
  </si>
  <si>
    <t>Оплата услуг средствам массовой информации  за размещение информации о деятельности органов местного самоуправления, объявлений о деятельности органов местного самоуправления в радиоэфире</t>
  </si>
  <si>
    <t>Оснащение и модернизация сил и средств для оповещения населения об угрозе возникновения или о возникновении чрезвычайных ситуаций</t>
  </si>
  <si>
    <t>Организация и проведение акций, посвященных памятным датам истории России, государственным символам Российской Федерации</t>
  </si>
  <si>
    <t xml:space="preserve"> Приложение 2</t>
  </si>
  <si>
    <t>к постановлению Администрации</t>
  </si>
  <si>
    <t>Удомельского городского округа</t>
  </si>
  <si>
    <t>от                              №</t>
  </si>
  <si>
    <t>Код раздела, подраздела</t>
  </si>
  <si>
    <t>Код целевой статьи</t>
  </si>
  <si>
    <t>Вид расходов</t>
  </si>
  <si>
    <t>Наименование расходов</t>
  </si>
  <si>
    <t>Кассовое исполнение (тыс.руб.)</t>
  </si>
  <si>
    <t>Исполнено в %</t>
  </si>
  <si>
    <t xml:space="preserve"> Приложение 3</t>
  </si>
  <si>
    <t>Код</t>
  </si>
  <si>
    <t>Наименование</t>
  </si>
  <si>
    <t xml:space="preserve">          Приложение 4</t>
  </si>
  <si>
    <t xml:space="preserve">          к постановлению Администрации</t>
  </si>
  <si>
    <t>Раздел/подраздел</t>
  </si>
  <si>
    <t>Целевая статья</t>
  </si>
  <si>
    <t>Мероприятия, на которые направлены выделенные ассигнования</t>
  </si>
  <si>
    <t>Главный распорядитель средств</t>
  </si>
  <si>
    <t>Сумма выделенных ассигнований из резервного фонда (руб.)</t>
  </si>
  <si>
    <t>Исполнено (руб.)</t>
  </si>
  <si>
    <t>Итого средств выделенных из резервного фонда</t>
  </si>
  <si>
    <t xml:space="preserve">          от                № </t>
  </si>
  <si>
    <t xml:space="preserve">          Удомельского  городского округа</t>
  </si>
  <si>
    <t>Утверждено решением о бюджете Удомельского городского округа с учетом изменений (тыс.руб.)</t>
  </si>
  <si>
    <t>240</t>
  </si>
  <si>
    <t>Иные закупки товаров, работ и услуг для обеспечения государственных (муниципальных) нужд</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</si>
  <si>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</si>
  <si>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</si>
  <si>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830</t>
  </si>
  <si>
    <t>Исполнение судебных актов</t>
  </si>
  <si>
    <t>Расходы на обеспечение деятельности казенного учреждения Централизованная бухгалтерия</t>
  </si>
  <si>
    <t>Оснащение сил и средств гражданской обороны, создание материальных запасов</t>
  </si>
  <si>
    <t>Подпрограмма" Профилактика терроризма и экстремизма на территории Удомельского городского округа"</t>
  </si>
  <si>
    <t>Изготовление наглядной агитации: памятки, плакаты, рекламные щиты</t>
  </si>
  <si>
    <t>Информирование населения по противодействию терроризму и экстремизму</t>
  </si>
  <si>
    <t>Информирование населения по безопасному нахождению на водных объектах</t>
  </si>
  <si>
    <t>610</t>
  </si>
  <si>
    <t>Субсидии бюджетным учреждениям</t>
  </si>
  <si>
    <t>810</t>
  </si>
  <si>
    <t>0920000000</t>
  </si>
  <si>
    <t>09201S0300</t>
  </si>
  <si>
    <t>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t>
  </si>
  <si>
    <t>Выполнение работ по содержанию автомобильных дорог общего пользования местного значения и сооружений на них, нацеленное на обеспечение их проезжаемости и безопасности до сельских населенных пунктов"</t>
  </si>
  <si>
    <t>Выполнение работ по разработке проектно-сметной документации на реконструкцию и ремонт автомобильных дорог, дворовых территорий многоквартирных домов, проездов к дворовым территориям, в т.ч. парковок и проведение лабораторных исследований</t>
  </si>
  <si>
    <t>1600000000</t>
  </si>
  <si>
    <t>1610000000</t>
  </si>
  <si>
    <t>Подпрограмма "Повышение безопасности дорожного движения на территории Удомельского городского округа"</t>
  </si>
  <si>
    <t>Подпрограмма "Содержание и ремонт муниципального жилищного фонда Удомельского городского округа"</t>
  </si>
  <si>
    <t>Содержания муниципальных жилых помещений до момента их предоставления в пользование гражданам</t>
  </si>
  <si>
    <t>320</t>
  </si>
  <si>
    <t>Социальные выплаты гражданам, кроме публичных нормативных социальных выплат</t>
  </si>
  <si>
    <t>410</t>
  </si>
  <si>
    <t xml:space="preserve"> Бюджетные инвестиции</t>
  </si>
  <si>
    <t>Выполнение работ по разработке проектно-сметной документации</t>
  </si>
  <si>
    <t>Озеленение видовых и памятных мест на территории города, в том числе приобретение, посадка цветов, уход за ними, покос травы, стрижка кустов и спиливание деревьев</t>
  </si>
  <si>
    <t>Санитарная очистка города (сбор, вывоз, утилизация ТКО и КГМ)</t>
  </si>
  <si>
    <t>Подпрограмма "Создание условий для формирования современной городской среды и обустройства мест массового отдыха населения (общественной территории) на территории Удомельского городского округа"</t>
  </si>
  <si>
    <t>Финансовое обеспечение мероприятий по подвозу учащихся из средств областного бюджета</t>
  </si>
  <si>
    <t>Финансовое обеспечение муниципального задания на оказание муниципальных услуг (выполнение работ) муниципальных бюджетных общеобразовательных учреждений</t>
  </si>
  <si>
    <t>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t>
  </si>
  <si>
    <t>Повышение заработной платы работникам учреждений дополнительного образования в сфере культуры и искусства из бюджета Удомельского городского округа</t>
  </si>
  <si>
    <t>Повышение заработной платы работникам муниципальных учреждений культуры  из бюджета Удомельского городского округа</t>
  </si>
  <si>
    <t>Расходы на руководство и управление администратора программы (Управление культуры, спорта и молодежной политики Администрации Удомельского городского округа)</t>
  </si>
  <si>
    <t>310</t>
  </si>
  <si>
    <t>Публичные нормативные социальные выплаты гражданам</t>
  </si>
  <si>
    <t>13101S0290</t>
  </si>
  <si>
    <t>Бюджетные инвестиции</t>
  </si>
  <si>
    <t>630</t>
  </si>
  <si>
    <t>Приобретение  жилых помещений для детей-сирот, детей, оставшихся без попечения родителей</t>
  </si>
  <si>
    <t>04201S0320</t>
  </si>
  <si>
    <t>Обеспечение учета муниципального имущества для поддержки полной и достоверной информации об объектах, находящихся в собственности муниципального образования Удомельский городской округ</t>
  </si>
  <si>
    <t>Предоставление компенсаций членам добровольной народной дружины Удомельского городского округа, участвовавшим в охране общественного порядка</t>
  </si>
  <si>
    <t>09101S1020</t>
  </si>
  <si>
    <t>Ремонт дворовых территорий многоквартирных домов, проездов к дворовым территориям многоквартирных домов</t>
  </si>
  <si>
    <t>Ремонт дворовых территорий многоквартирных домов, проездов к дворовым территориям многоквартирных домов за счет средств областного бюджета</t>
  </si>
  <si>
    <t>09101S1050</t>
  </si>
  <si>
    <t>Выполнение работ по ремонту дорог общего пользования</t>
  </si>
  <si>
    <t>Ремонт автомобильных дорог за счет средств областного бюджета</t>
  </si>
  <si>
    <t xml:space="preserve">Обеспечение безопасности дорожного движения на автомобильных дорогах общего пользования местного значения </t>
  </si>
  <si>
    <t>Обеспечение безопасности дорожного движения на автомобильных дорогах общего пользования местного значения за счет средств областного бюджета</t>
  </si>
  <si>
    <t>Проведение текущего ремонта муниципального жилого фонда</t>
  </si>
  <si>
    <t>Страхование газового хозяйства северной части города Удомля</t>
  </si>
  <si>
    <t>0720000000</t>
  </si>
  <si>
    <t>Подпрограмма "Развитие инженерных сетей округа"</t>
  </si>
  <si>
    <t>Расходы на реализацию предложений по обращениям, поступающим к депутатам Удомельской городской Думы</t>
  </si>
  <si>
    <t>141F255552</t>
  </si>
  <si>
    <t xml:space="preserve">Реализация мероприятий по благоустройству общественных территорий </t>
  </si>
  <si>
    <t>Содержание светофорного регулирования</t>
  </si>
  <si>
    <t>02101S0680</t>
  </si>
  <si>
    <t>13103L4970</t>
  </si>
  <si>
    <t xml:space="preserve">Предоставление молодым семьям Удомельского городского округа социальных выплат на приобретение (строительство) жилья </t>
  </si>
  <si>
    <t>13102R0820</t>
  </si>
  <si>
    <t>Подпрограмма "Реализация Программы поддержки местных инициатив Тверской области на территории Удомельского городского округа"</t>
  </si>
  <si>
    <t>Осуществление переданных полномочий Российской Федерации на государственную регистрацию актов гражданского состояния</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</si>
  <si>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</si>
  <si>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Ремонт автомобильных дорог на территории г.Удомля</t>
  </si>
  <si>
    <t>161R3S1090</t>
  </si>
  <si>
    <t>161R311090</t>
  </si>
  <si>
    <t>Строительство объектов водоснабжения и водоотведения</t>
  </si>
  <si>
    <t>Наружное оформление территорий города Удомля</t>
  </si>
  <si>
    <t>Обустройство и ремонт контейнерных площадок</t>
  </si>
  <si>
    <t>Финансирование расходов по проведению субботников</t>
  </si>
  <si>
    <t>350</t>
  </si>
  <si>
    <t>Премии и гранты</t>
  </si>
  <si>
    <t>Повышение заработной платы из областного бюджета работникам муниципальных учреждений культуры Удомельского городского округа</t>
  </si>
  <si>
    <t>Обеспечение развития и укрепления материально-технической базы домов культуры в населенных пунктах с числом жителей до 50 тысяч человек</t>
  </si>
  <si>
    <t>Пенсии за выслугу лет муниципальным служащим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</si>
  <si>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</si>
  <si>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Предоставление субсидии  из бюджета Удомельского  городского округа на поддержку некоммерческих организаций </t>
  </si>
  <si>
    <t>Итого расходов</t>
  </si>
  <si>
    <t>Защита населения и территории от чрезвычайных ситуаций природного и техногенного характера,  пожарная безопасность</t>
  </si>
  <si>
    <t>Субсидии юридическим лицам (кроме некоммерческих организаций), индивидуальным предпринимателям, физическим лицам - производителям товаров,работ,услуг</t>
  </si>
  <si>
    <t>Разработка и актуализация схем теплоснабжения, водоснабжения Удомельского городского округа</t>
  </si>
  <si>
    <t>Организация бесплатного горячего питания обучающихся, получающих начальное общее образование в муниципальных образовательных учреждениях</t>
  </si>
  <si>
    <t>Поддержка волонтерского движения</t>
  </si>
  <si>
    <t>04201S0490</t>
  </si>
  <si>
    <t>Предоставление субсидий на развитие материально-технической базы редакций районных и городских газет</t>
  </si>
  <si>
    <t>Центральный аппарат Удомельской городской Думы</t>
  </si>
  <si>
    <t>Муниципальная программа муниципального образования Удомельский городской округ «Управление имуществом и земельными ресурсами Удомельского городского округа на 2022 - 2027 годы»</t>
  </si>
  <si>
    <t>0310123171</t>
  </si>
  <si>
    <t>0310223172</t>
  </si>
  <si>
    <t>0310223173</t>
  </si>
  <si>
    <t>9940026300</t>
  </si>
  <si>
    <t>9950022700</t>
  </si>
  <si>
    <t>9950022800</t>
  </si>
  <si>
    <t xml:space="preserve"> Расходы на обеспечение деятельности муниципального казенного учреждения "Управление административно-хозяйственного обеспечения"</t>
  </si>
  <si>
    <t>Муниципальная программа муниципального образования Удомельский городской округ «Обеспечение безопасности жизнедеятельности населения Удомельского городского округа на 2022 - 2027 годы»</t>
  </si>
  <si>
    <t xml:space="preserve">Обеспечение первичных мер пожарной безопасности на территории Удомельского городского округа </t>
  </si>
  <si>
    <t>Изготовление наглядной агитации: памятки,плакаты,рекламные щиты</t>
  </si>
  <si>
    <t>9950022600</t>
  </si>
  <si>
    <t>Расходы на обеспечение деятельности муниципального казенного учреждения  "Управление по делам гражданской обороны и чрезвычайным ситуациям УГО"</t>
  </si>
  <si>
    <t>Муниципальная программа муниципального образования Удомельский городской округ «Профилактика правонарушений на территории Удомельского городского округа на 2022 - 2027 годы»</t>
  </si>
  <si>
    <t>1010123081</t>
  </si>
  <si>
    <t>Муниципальная программа муниципального образования Удомельский городской округ «Повышение безопасности дорожного движения на территории Удомельского городского округа на 2022 - 2027 годы»</t>
  </si>
  <si>
    <t>Муниципальная программа муниципального образования Удомельский городской округ «Создание условий для экономического развития Удомельского городского округа на 2022 - 2027 годы»</t>
  </si>
  <si>
    <t>Подпрограмма "Создание условий для развития экономического потенциала и формирования благоприятного предпринимательского климата"</t>
  </si>
  <si>
    <t>Задача "Предотвращение распространения борщевика Сосновского на территории Удомельского городского округа"</t>
  </si>
  <si>
    <t>Муниципальная программа муниципального образования Удомельский городской округ «Развитие транспортного комплекса и дорожного хозяйства на территории Удомельского городского округа на 2022 - 2027 годы»</t>
  </si>
  <si>
    <t>Организация транспортного обслуживания населения на муниципальных маршрутах регулярных перевозок сверх минимальных социальных требований, установленных Правительством Тверской области</t>
  </si>
  <si>
    <t>0910111020</t>
  </si>
  <si>
    <t>0910111050</t>
  </si>
  <si>
    <t>1500000000</t>
  </si>
  <si>
    <t>Муниципальная программа муниципального образования Удомельский городской округ «Поддержка муниципальных инициатив и участия населения в осуществлении местного самоуправления на территории муниципального образования Удомельский городской округ на 2022 - 2027 годы»</t>
  </si>
  <si>
    <t>1610123155</t>
  </si>
  <si>
    <t>0320123190</t>
  </si>
  <si>
    <t>0320223195</t>
  </si>
  <si>
    <t>0410223210</t>
  </si>
  <si>
    <t>0410223215</t>
  </si>
  <si>
    <t xml:space="preserve"> Создание и развитие школы малого и среднего предпринимательства</t>
  </si>
  <si>
    <t>0410327210</t>
  </si>
  <si>
    <t>0410327220</t>
  </si>
  <si>
    <t>Предоставление гранта в форме субсидии субъектам малого и среднего предпринимательства на создание и развитие крестьянского (фермерского) хозяйства</t>
  </si>
  <si>
    <t>0410327230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</si>
  <si>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проведение профилактических, противоэпизодических, противоинфекционных мероприятий</t>
  </si>
  <si>
    <t>0410327240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</si>
  <si>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оказание поддержки по сохранению поголовья сельскохозяйственных животных</t>
  </si>
  <si>
    <t>Муниципальная программа муниципального образования Удомельский городской округ «Территориальное планирование Удомельского городского округа на 2022 - 2027 годы»</t>
  </si>
  <si>
    <t>Подпрограмма "Реализация Генерального плана и Правил землепользования и застройки  на территории Удомельского городского округа"</t>
  </si>
  <si>
    <t>Муниципальная программа муниципального образования Удомельский городской округ «Управление жилищным фондом Удомельского городского округа на 2022 - 2027 годы»</t>
  </si>
  <si>
    <t>0510123251</t>
  </si>
  <si>
    <t>0510223252</t>
  </si>
  <si>
    <t>0520123263</t>
  </si>
  <si>
    <t>Разработка проектно-сметной документации</t>
  </si>
  <si>
    <t>Проведение капитального ремонта общего имущества в многоквартирных домах на территории Удомельского городского округа</t>
  </si>
  <si>
    <t>Муниципальная программа "Создание условий для экономического развития Удомельского городского округа на 2022-2027 годы"</t>
  </si>
  <si>
    <t>Муниципальная программа муниципального образования Удомельский городской округ «Комплекс мероприятий по организации коммунального и газового хозяйства Удомельского городского округа на 2022 - 2027 годы»</t>
  </si>
  <si>
    <t>Подпрограмма "Организация газоснабжения северной части города Удомля"</t>
  </si>
  <si>
    <t>0710123351</t>
  </si>
  <si>
    <t>0710223352</t>
  </si>
  <si>
    <t>0720123361</t>
  </si>
  <si>
    <t>0720123362</t>
  </si>
  <si>
    <t>Подпрограмма "Организация коммунального хозяйства Удомельского городского округа"</t>
  </si>
  <si>
    <t>0730123371</t>
  </si>
  <si>
    <t>Развитие, модернизация и капитальный ремонт объектов коммунальной инфраструктуры</t>
  </si>
  <si>
    <t>0730223372</t>
  </si>
  <si>
    <t>9940026900</t>
  </si>
  <si>
    <t>Муниципальная программа муниципального образования Удомельский городской округ «Улучшение экологической обстановки Удомельского городского округа на 2022 - 2027 годы»</t>
  </si>
  <si>
    <t>Подпрограмма "Организация мероприятий по охране окружающей среды в границах Удомельского городского округа"</t>
  </si>
  <si>
    <t>0610123075</t>
  </si>
  <si>
    <t>0610123080</t>
  </si>
  <si>
    <t>Организация видео-фото наблюдения на территории Удомельского  городского округа</t>
  </si>
  <si>
    <t>Муниципальная программа муниципального образования Удомельский городской округ «Содержание и благоустройство территории Удомельского городского округа на 2022 - 2027 годы»</t>
  </si>
  <si>
    <t>Содержание и благоустройство видовых и памятных мест  Удомельского городского округа</t>
  </si>
  <si>
    <t>1230123535</t>
  </si>
  <si>
    <t>1230123540</t>
  </si>
  <si>
    <t>1230123545</t>
  </si>
  <si>
    <t>Подпрограмма "Энергосбережение и повышение энергетической эффективности территории Удомельского городского округа"</t>
  </si>
  <si>
    <t>1240323580</t>
  </si>
  <si>
    <t>Обеспечение уличного освещения  на территории Удомельского городского округа</t>
  </si>
  <si>
    <t>1240323585</t>
  </si>
  <si>
    <t xml:space="preserve"> Содержание сетей уличного освещения</t>
  </si>
  <si>
    <t>Муниципальная программа муниципального образования Удомельский городской округ «Формирование комфортной городской среды на территории Удомельского городского округа на 2018 - 2024 годы»</t>
  </si>
  <si>
    <t>Благоустройство парковой зоны ул. Венецианова</t>
  </si>
  <si>
    <t>Другие вопросы в области жилищно-коммунального хозяйства</t>
  </si>
  <si>
    <t xml:space="preserve">Подпрограмма "Предоставление субсидий муниципальным унитарным предприятиям на возмещение нормативных затрат, связанных с оказанием ими услуг,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для граждан" </t>
  </si>
  <si>
    <t>Предоставление субсидий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туалета общественного пользования  в городе Удомля</t>
  </si>
  <si>
    <t>Муниципальная программа муниципального образования Удомельский городской округ «Развитие образования Удомельского городского округа на 2022 - 2027 годы»</t>
  </si>
  <si>
    <t>Подпрограмма "Развитие системы дошкольного образования"</t>
  </si>
  <si>
    <t>0110110740</t>
  </si>
  <si>
    <t>Обеспечение государственных гарантий реализации прав на получение бесплатного дошкольного образования  за счет средств областного бюджета</t>
  </si>
  <si>
    <t>0110121100</t>
  </si>
  <si>
    <t>Финансовое обеспечение муниципального задания на оказание муниципальных услуг (выполнение работ) муниципальных бюджетных образовательных учреждений дошкольного образования</t>
  </si>
  <si>
    <t>0110221210</t>
  </si>
  <si>
    <t>Финансовое обеспечение мероприятий капитального и (или) текущего ремонтов муниципальных дошкольных образовательных учреждений</t>
  </si>
  <si>
    <t>Подпрограмма "Развитие системы начального общего, основного общего и среднего общего образования"</t>
  </si>
  <si>
    <t>0120110750</t>
  </si>
  <si>
    <t>Обеспечение государственных гарантий реализации прав на получение бесплатного начального общего, основного общего и среднего общего образования  за счет средств областного бюджета</t>
  </si>
  <si>
    <t>0120121100</t>
  </si>
  <si>
    <t>0120153031</t>
  </si>
  <si>
    <t xml:space="preserve"> Ежемесячное денежное вознаграждение за классное руководство педагогическим работникам муниципальных образовательных учреждений</t>
  </si>
  <si>
    <t>0120221210</t>
  </si>
  <si>
    <t>Финансовое обеспечение мероприятий капитального и (или) текущего ремонтов муниципальных  общеобразовательных учреждений</t>
  </si>
  <si>
    <t>0120310250</t>
  </si>
  <si>
    <t>01203S0250</t>
  </si>
  <si>
    <t>0120321260</t>
  </si>
  <si>
    <t>Оснащение автобусов, осуществляющих подвоз  обучающихся и воспитанников муниципальных учреждений, необходимыми техническими средствами</t>
  </si>
  <si>
    <t>0120421600</t>
  </si>
  <si>
    <t>Финансовое обеспечение бесплатным питанием обучающихся с ограниченными возможностями здоровья в муниципальных общеобразовательных учреждениях</t>
  </si>
  <si>
    <t>0130000000</t>
  </si>
  <si>
    <t>Подпрограмма "Развитие системы дополнительного образования и воспитания детей"</t>
  </si>
  <si>
    <t>0130121100</t>
  </si>
  <si>
    <t xml:space="preserve"> Финансовое обеспечение муниципального задания на оказание муниципальных услуг (выполнение работ) муниципальных бюджетных учреждений дополнительного образования</t>
  </si>
  <si>
    <t>0130110690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</si>
  <si>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областного бюджета</t>
  </si>
  <si>
    <t>01301S0690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</si>
  <si>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бюджета округа</t>
  </si>
  <si>
    <t>0130321250</t>
  </si>
  <si>
    <t>Финансовое обеспечение участия в спортивных мероприятиях регионального,всероссийского, международного уровней</t>
  </si>
  <si>
    <t>0130321400</t>
  </si>
  <si>
    <t>0130321500</t>
  </si>
  <si>
    <t>Финансовое обеспечение муниципального мероприятия "День защиты детей"</t>
  </si>
  <si>
    <t>0140000000</t>
  </si>
  <si>
    <t>Подпрограмма "Создание современной образовательной среды"</t>
  </si>
  <si>
    <t>0140121270</t>
  </si>
  <si>
    <t>Финансовое обеспечение участия педагогов и обучающихся в региональных и межрегиональных мероприятиях в рамках регионального проекта "Цифровая образовательная среда"</t>
  </si>
  <si>
    <t>Муниципальная программа муниципального образования Удомельский городской округ «Развитие культуры, спорта и молодежной политики Удомельского городского округа на 2022 - 2027 годы»</t>
  </si>
  <si>
    <t>02102S0690</t>
  </si>
  <si>
    <t>9940021900</t>
  </si>
  <si>
    <t>0140221280</t>
  </si>
  <si>
    <t>01204S0240</t>
  </si>
  <si>
    <t>0120410240</t>
  </si>
  <si>
    <t xml:space="preserve"> Финансирование обеспечение отдыха, оздоровления и занятости детей и подростков</t>
  </si>
  <si>
    <t>0230123050</t>
  </si>
  <si>
    <t>0230123055</t>
  </si>
  <si>
    <t>0230123060</t>
  </si>
  <si>
    <t>0230123065</t>
  </si>
  <si>
    <t>0230300000</t>
  </si>
  <si>
    <t>Задача "Укрепление и модернизация материально-технической базы муниципальных учреждений  в сфере молодежной политикиУдомельского городского округа"</t>
  </si>
  <si>
    <t xml:space="preserve"> Финансовое обеспечение мероприятий капитального и (или) текущего ремонтов муниципальных  учреждений  в сфере молодежной политики</t>
  </si>
  <si>
    <t>1020000000</t>
  </si>
  <si>
    <t>0120423005</t>
  </si>
  <si>
    <t>0140123010</t>
  </si>
  <si>
    <t>Финансовое обеспечение поощрения лучших педагогов,работающих в муниципальной сети профильных курсов</t>
  </si>
  <si>
    <t>0140123015</t>
  </si>
  <si>
    <t>0140221300</t>
  </si>
  <si>
    <t>01403S1080</t>
  </si>
  <si>
    <t>Финансовое обеспечение участия детей и подростков в социально-значимых региональных проектах из бюджета Удомельского городского округа</t>
  </si>
  <si>
    <t xml:space="preserve"> Организация участия детей и подростков в социально-значимых региональных проектах</t>
  </si>
  <si>
    <t xml:space="preserve"> Расходы на руководство и управление главного администратора программы (Управление образования Администрации Удомельского городского округа)</t>
  </si>
  <si>
    <t>02103L4670</t>
  </si>
  <si>
    <t>0210321210</t>
  </si>
  <si>
    <t>Финансовое обеспечение мероприятий капитального и (или) текущего ремонтов муниципальных  учреждений культуры</t>
  </si>
  <si>
    <t>021А255194</t>
  </si>
  <si>
    <t>Государственная поддержка отрасли культуры (в части оказания государственной поддержки лучшим работникам сельских учреждений культуры)</t>
  </si>
  <si>
    <t xml:space="preserve"> Расходы на реализацию предложений по обращениям, поступающим к депутатам Удомельской городской Думы бюджетных учреждений</t>
  </si>
  <si>
    <t>0210623035</t>
  </si>
  <si>
    <t>Муниципальная программа муниципального образования Удомельский городской округ «Социальная политика, поддержка и защита населения Удомельского городского округа на 2022 - 2027 годы»</t>
  </si>
  <si>
    <t>0110310500</t>
  </si>
  <si>
    <t>Компенсация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</si>
  <si>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1310110290</t>
  </si>
  <si>
    <t>Приобретение жилых помещений для малоимущих многодетных семей за счет средств областного бюджета</t>
  </si>
  <si>
    <t>0220123040</t>
  </si>
  <si>
    <t>0220123045</t>
  </si>
  <si>
    <t>0220123046</t>
  </si>
  <si>
    <t>Подготовка площадки и установка на ней оборудования</t>
  </si>
  <si>
    <t>Оплата услуг средствам массовой информации за размещение информации о деятельности органов местного самоуправления, объявлений о деятельности органов местного самоуправления в печатных изданиях</t>
  </si>
  <si>
    <t xml:space="preserve">Предоставление субсидии из областного бюджета на поддержку некоммерческих организаций </t>
  </si>
  <si>
    <t>03202L5990</t>
  </si>
  <si>
    <t>0410123205</t>
  </si>
  <si>
    <t>Установка остановочных комплексов</t>
  </si>
  <si>
    <t>1610123145</t>
  </si>
  <si>
    <t>Нанесение осевой горизонтальной разметки  на территории  Удомельского городского округа</t>
  </si>
  <si>
    <t>1610123150</t>
  </si>
  <si>
    <t>Разработка проекта организации дорожного движения</t>
  </si>
  <si>
    <t>1610123170</t>
  </si>
  <si>
    <t>Обеспечение безопасности дорожного движения при проведении культурно-массовых мероприятий</t>
  </si>
  <si>
    <t>1610123180</t>
  </si>
  <si>
    <t>Обустройство разворотных площадок по маршрутам перевозок групп детей</t>
  </si>
  <si>
    <t>1610123185</t>
  </si>
  <si>
    <t>Паспортизация автомобильных дорог</t>
  </si>
  <si>
    <t>0320223200</t>
  </si>
  <si>
    <t>Осуществление мероприятий по признанию права муниципальной собственности на невостребованные земельные доли из земель сельскохозяйственного назначения</t>
  </si>
  <si>
    <t xml:space="preserve"> Привлечение субъектов малого и среднего предпринимательства  и самозанятых к участию в выставках, ярмарках, конкурсах, мероприятиях, проводимых на территории Удомельского городского округа</t>
  </si>
  <si>
    <t>0410223220</t>
  </si>
  <si>
    <t>Проведение мероприятий, приуроченных к Дню предпринимателя в Удомельском городском округе</t>
  </si>
  <si>
    <t>0410223225</t>
  </si>
  <si>
    <t>Создание и развитие школы фермеров</t>
  </si>
  <si>
    <t>Предоставление гранта в форме субсидии индивидуальным предпинимателям и самозанятым на создание или развитие собственного дела</t>
  </si>
  <si>
    <t>0410327250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</si>
  <si>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возмещение затрат за коммунальные услуги в сфере водоснабжения</t>
  </si>
  <si>
    <t>Разработка материалов по описанию границ функциональных зон Ж-1; Ж-3; О-1; О-2; О-3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</si>
  <si>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П-1; П-2; Т-1; Т-2;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</si>
  <si>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Р-1; Р-2; Р-4;С-1; Т-2; С-3; С-4; СХ-2; СХ-3 на  территории Удомельского городского округа на основании Правил землепользования и застройки Удомельского городского округа</t>
  </si>
  <si>
    <t>Определение стоимости возмещения за жилое помещение в аварийном жилищном фонде Удомельского городского округа</t>
  </si>
  <si>
    <t>Предоставление собственникам жилых помещений в аварийном жилищном фонде возмещения за жилое помещение</t>
  </si>
  <si>
    <t>Подпрограмма "Предоставление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</si>
  <si>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содержание  объектов канализационных очистных сооружений 3 очереди</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</si>
  <si>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по доставке питьевой воды населению города Удомля, не обеспеченному централизованным водоснабжением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</si>
  <si>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регулируемую деятельность в сфере водоснабжения потребителей сельских населенных пунктов Удомельского городского округа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</si>
  <si>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холодного водоснабжения потребителям сельских населенных пунктов Удомельского городского округа, на реализацию мероприятий, направленных на улучшение качества оказания услуги холодного водоснабжения в сельских населенных пунктах</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</si>
  <si>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теплоснабжения потребителям сельских населенных пунктов Удомельского городского округа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</si>
  <si>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в городе Удомля на финансовое обеспечение затрат по приобретению специализированной техники в лизинг</t>
  </si>
  <si>
    <t>0730123373</t>
  </si>
  <si>
    <t>Разработка программы комплексного развития систем коммунальной инфраструктуры Удомельского городского округа</t>
  </si>
  <si>
    <t xml:space="preserve">Ликвидация несанкционированных мест размещения твердых коммунальных отходов </t>
  </si>
  <si>
    <t>Задача "Содержание и озеленение территории  Удомельского городского округа"</t>
  </si>
  <si>
    <t>Подпрограмма "Улучшение состояния и содержание территории  Удомельского городского округа"</t>
  </si>
  <si>
    <t>1240123560</t>
  </si>
  <si>
    <t>Выполнение работ по выявлению  и устранению неучтенных точек подключения уличного освещения, установка (замена) счетчиков</t>
  </si>
  <si>
    <t>1240223565</t>
  </si>
  <si>
    <t>Выполнение работ по реконструкции, модернизации сетей уличного освещения</t>
  </si>
  <si>
    <t>Разработка проектно - сметной документации и осуществление строительного контроля</t>
  </si>
  <si>
    <t>Капитальный ремонт ограждения гражданского кладбища с. Еремково по адресу: Тверская область,Удомельский городской округ, с.Еремково</t>
  </si>
  <si>
    <t>Предоставление субсидий юридическим лицам (за исключением субсидий государственным (муниципальным)учреждениям), индивидуальным предпринимателям, физическим лицам, оказывающим банно-прачечные услуги для отдельной  категорий граждан в городе Удомля</t>
  </si>
  <si>
    <t>0120221240</t>
  </si>
  <si>
    <t xml:space="preserve">Финансовое обеспечение мероприятий по укреплению материально-технической базы общеобразовательных учреждений </t>
  </si>
  <si>
    <t>01204L3041</t>
  </si>
  <si>
    <t>01205S8002</t>
  </si>
  <si>
    <t>Финансовое обеспечение реализации проекта "Комфортная и безопасная образовательная среда современной школы" в УГ3 за счет средств бюджета Удомельского городского округа</t>
  </si>
  <si>
    <t>0130121120</t>
  </si>
  <si>
    <t>Обеспечение функционирования модели персонифицированного финансирования дополнительного образования</t>
  </si>
  <si>
    <t>620</t>
  </si>
  <si>
    <t>Субсидии автономным учреждениям</t>
  </si>
  <si>
    <t>0210721510</t>
  </si>
  <si>
    <t>Проведение областного конкурса "Мастера и дети"</t>
  </si>
  <si>
    <t>1030000000</t>
  </si>
  <si>
    <t>Подпрограмма "Профилактика безнадзорности и павонарушений несовершеннолетних в Удомельском городском округе"</t>
  </si>
  <si>
    <t>Изготовление буклетов, баннеров по профилактике безнадзорности и правонарушений несовершеннолетних</t>
  </si>
  <si>
    <t>Приобретение мультимедийной программы по правилам дорожного движения</t>
  </si>
  <si>
    <t>Изготовление средств защиты по правилам дорожного движения для безопасности детей</t>
  </si>
  <si>
    <t>Финансовое обеспечение мероприятий по поддержке  педагогогов- молодых специалистам</t>
  </si>
  <si>
    <t>Финансовое обеспечение проведения муниципальных мероприятий с одаренными и высокомотивированными обучающимися, воспитанниками, организация их участия в региональных, всероссийскмх мероприятиях</t>
  </si>
  <si>
    <t>340</t>
  </si>
  <si>
    <t>Стипендии</t>
  </si>
  <si>
    <t>021А255193</t>
  </si>
  <si>
    <t>Государственная поддержка отрасли культуры (в части оказания государственной поддержки лучшим сельским учреждениям культуры)</t>
  </si>
  <si>
    <t>022P5S0400</t>
  </si>
  <si>
    <t>Приобретение и установка плоскостных спортивных сооружений и оборудования на территории Удомельского городского округа</t>
  </si>
  <si>
    <t>022P510400</t>
  </si>
  <si>
    <t>Приобретение и установка плоскостных спортивных сооружений и оборудования  на плоскостные спортивные сооружения</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</si>
  <si>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</si>
  <si>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</si>
  <si>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</si>
  <si>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730</t>
  </si>
  <si>
    <t>Обслуживание муниципального долга</t>
  </si>
  <si>
    <t>10 03</t>
  </si>
  <si>
    <t>Подготовка проектов межевания земельных участков и проведение кадастровых работ</t>
  </si>
  <si>
    <t xml:space="preserve">Организация транспортного обслуживания населения на муниципальных маршрутах регулярных перевозок по регулируемым тарифам </t>
  </si>
  <si>
    <t>09101S0220</t>
  </si>
  <si>
    <t>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</si>
  <si>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областной бюджет</t>
  </si>
  <si>
    <t>15103S9022</t>
  </si>
  <si>
    <t>15103S9023</t>
  </si>
  <si>
    <t>Приобретение трактора Беларус 320.4 М (или эквивалента) с навесным оборудованием (отвал, щетка, газонокосилка)  для нужд Удомельского городского округа</t>
  </si>
  <si>
    <t>0120210920</t>
  </si>
  <si>
    <t>Средства депутатов Законодательного Собрания Тверской области общеобразовательным учреждениям</t>
  </si>
  <si>
    <t>0120518002</t>
  </si>
  <si>
    <t xml:space="preserve">Финансовое обеспечение реализации проекта "Комфортная и безопасная образовательная среда современной школы" в УГ3 </t>
  </si>
  <si>
    <t>0140410920</t>
  </si>
  <si>
    <t>Средства депутатов Законодательного Собрания Тверской области на финансовое обеспечение информационного сопровождения развития образования</t>
  </si>
  <si>
    <t>02101L5192</t>
  </si>
  <si>
    <t>Реализация мероприятий по модернизации библиотек в части комплектования книжных фондов библиотек</t>
  </si>
  <si>
    <t>0210110920</t>
  </si>
  <si>
    <t>Средства депутатов Законодательного Собрания Тверской области учреждениям культуры</t>
  </si>
  <si>
    <t>0210610920</t>
  </si>
  <si>
    <t>Средства депутатов Законодательного Собрания Тверской области</t>
  </si>
  <si>
    <t>Единовременная денежная выплата гражданам, попавшим в трудную жизненную ситуацию в результате пожара и утратой единственного жилья и имущества</t>
  </si>
  <si>
    <t>Отчет о расходовании резервного фонда Администрации Удомельского городского округа за полугодие 2023 года</t>
  </si>
  <si>
    <t>Отчет об исполнении бюджета Удомельского городского округа по источникам финансирования дефицита   бюджета Удомельского городского округа                                  за полугодие 2023 года</t>
  </si>
  <si>
    <t xml:space="preserve"> Ежеквартальный отчет об исполнении расходов бюджета Удомельского городского округа по разделам и подразделам, целевым статьям и видам расходов  за полугодие 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</si>
</sst>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0"/>
  </numFmts>
  <fonts count="42" x14ac:knownFonts="1">
    <font>
      <sz val="10"/>
      <name val="Arial Cyr"/>
      <charset val="204"/>
    </font>
    <font>
      <sz val="8"/>
      <name val="Arial Cyr"/>
      <charset val="204"/>
    </font>
    <font>
      <sz val="10"/>
      <name val="Arial Cyr"/>
      <charset val="204"/>
    </font>
    <font>
      <sz val="14"/>
      <name val="Arial Cyr"/>
      <charset val="204"/>
    </font>
    <font>
      <sz val="11"/>
      <name val="Arial Cyr"/>
      <charset val="204"/>
    </font>
    <font>
      <b/>
      <sz val="18"/>
      <color indexed="56"/>
      <name val="Cambria"/>
      <family val="2"/>
      <charset val="204"/>
    </font>
    <font>
      <sz val="10"/>
      <color indexed="8"/>
      <name val="Arial"/>
      <family val="2"/>
    </font>
    <font>
      <sz val="12"/>
      <name val="Times New Roman"/>
      <family val="1"/>
      <charset val="204"/>
    </font>
    <font>
      <sz val="14"/>
      <name val="Times New Roman"/>
      <family val="1"/>
      <charset val="204"/>
    </font>
    <font>
      <i/>
      <sz val="12"/>
      <name val="Times New Roman"/>
      <family val="1"/>
      <charset val="204"/>
    </font>
    <font>
      <sz val="10"/>
      <color rgb="FF000000"/>
      <name val="Arial Cyr"/>
    </font>
    <font>
      <sz val="11"/>
      <color rgb="FF000000"/>
      <name val="Times New Roman"/>
      <family val="1"/>
      <charset val="204"/>
    </font>
    <font>
      <b/>
      <sz val="10"/>
      <color rgb="FF000000"/>
      <name val="Arial CYR"/>
    </font>
    <font>
      <sz val="11"/>
      <name val="Times New Roman"/>
      <family val="1"/>
      <charset val="204"/>
    </font>
    <font>
      <b/>
      <sz val="12"/>
      <name val="Arial Cyr"/>
      <charset val="204"/>
    </font>
    <font>
      <sz val="12"/>
      <name val="Arial Cyr"/>
      <charset val="204"/>
    </font>
    <font>
      <i/>
      <sz val="11"/>
      <name val="Arial Cyr"/>
      <charset val="204"/>
    </font>
    <font>
      <i/>
      <sz val="10"/>
      <name val="Arial"/>
      <family val="2"/>
      <charset val="204"/>
    </font>
    <font>
      <sz val="10"/>
      <color indexed="8"/>
      <name val="Arial"/>
      <family val="2"/>
      <charset val="204"/>
    </font>
    <font>
      <b/>
      <i/>
      <sz val="11"/>
      <name val="Arial Cyr"/>
      <charset val="204"/>
    </font>
    <font>
      <i/>
      <sz val="10"/>
      <name val="Arial Cyr"/>
      <charset val="204"/>
    </font>
    <font>
      <i/>
      <sz val="11"/>
      <name val="Bookman Old Style"/>
      <family val="1"/>
      <charset val="204"/>
    </font>
    <font>
      <sz val="10"/>
      <name val="Arial"/>
      <family val="2"/>
      <charset val="204"/>
    </font>
    <font>
      <i/>
      <sz val="11"/>
      <name val="Arial"/>
      <family val="2"/>
      <charset val="204"/>
    </font>
    <font>
      <b/>
      <i/>
      <sz val="10"/>
      <name val="Arial Cyr"/>
      <charset val="204"/>
    </font>
    <font>
      <b/>
      <sz val="10"/>
      <name val="Arial"/>
      <family val="2"/>
      <charset val="204"/>
    </font>
    <font>
      <b/>
      <sz val="10"/>
      <color theme="1"/>
      <name val="Arial"/>
      <family val="2"/>
      <charset val="204"/>
    </font>
    <font>
      <b/>
      <sz val="10"/>
      <name val="Arial Cyr"/>
      <charset val="204"/>
    </font>
    <font>
      <b/>
      <sz val="10"/>
      <color indexed="8"/>
      <name val="Arial"/>
      <family val="2"/>
      <charset val="204"/>
    </font>
    <font>
      <b/>
      <sz val="11"/>
      <name val="Arial Cyr"/>
      <charset val="204"/>
    </font>
    <font>
      <b/>
      <i/>
      <sz val="11"/>
      <name val="Bookman Old Style"/>
      <family val="1"/>
      <charset val="204"/>
    </font>
    <font>
      <b/>
      <i/>
      <sz val="10"/>
      <name val="Arial"/>
      <family val="2"/>
      <charset val="204"/>
    </font>
    <font>
      <i/>
      <sz val="10"/>
      <color indexed="8"/>
      <name val="Arial"/>
      <family val="2"/>
      <charset val="204"/>
    </font>
    <font>
      <sz val="10"/>
      <color rgb="FF000000"/>
      <name val="Arial"/>
      <family val="2"/>
      <charset val="204"/>
    </font>
    <font>
      <i/>
      <sz val="10"/>
      <color rgb="FF000000"/>
      <name val="Arial Cyr"/>
      <charset val="204"/>
    </font>
    <font>
      <b/>
      <sz val="10"/>
      <name val="Times New Roman"/>
      <family val="1"/>
      <charset val="204"/>
    </font>
    <font>
      <i/>
      <sz val="10"/>
      <name val="Times New Roman"/>
      <family val="1"/>
      <charset val="204"/>
    </font>
    <font>
      <sz val="10"/>
      <color theme="1"/>
      <name val="Arial"/>
      <family val="2"/>
      <charset val="204"/>
    </font>
    <font>
      <b/>
      <sz val="11"/>
      <name val="Arial"/>
      <family val="2"/>
      <charset val="204"/>
    </font>
    <font>
      <sz val="10"/>
      <color theme="1" tint="4.9989318521683403E-2"/>
      <name val="Arial Cyr"/>
      <charset val="204"/>
    </font>
    <font>
      <sz val="10"/>
      <color indexed="64"/>
      <name val="Arial"/>
      <family val="2"/>
      <charset val="204"/>
    </font>
    <font>
      <b/>
      <i/>
      <sz val="11"/>
      <name val="Arial"/>
      <family val="2"/>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7">
    <xf numFmtId="0" fontId="0" fillId="0" borderId="0"/>
    <xf numFmtId="0" fontId="6" fillId="0" borderId="0"/>
    <xf numFmtId="0" fontId="5" fillId="0" borderId="0" applyNumberFormat="0" applyFill="0" applyBorder="0" applyAlignment="0" applyProtection="0"/>
    <xf numFmtId="0" fontId="6" fillId="0" borderId="0"/>
    <xf numFmtId="1" fontId="10" fillId="0" borderId="9">
      <alignment horizontal="center" vertical="top" shrinkToFit="1"/>
    </xf>
    <xf numFmtId="0" fontId="12" fillId="0" borderId="9">
      <alignment vertical="top" wrapText="1"/>
    </xf>
    <xf numFmtId="9" fontId="2" fillId="0" borderId="0" applyFont="0" applyFill="0" applyBorder="0" applyAlignment="0" applyProtection="0"/>
  </cellStyleXfs>
  <cellXfs count="136">
    <xf numFmtId="0" fontId="0" fillId="0" borderId="0" xfId="0"/>
    <xf numFmtId="0" fontId="1" fillId="0" borderId="0" xfId="0" applyFont="1" applyAlignment="1">
      <alignment horizontal="right"/>
    </xf>
    <xf numFmtId="0" fontId="4" fillId="0" borderId="0" xfId="0" applyFont="1"/>
    <xf numFmtId="0" fontId="2" fillId="0" borderId="0" xfId="0" applyFont="1"/>
    <xf numFmtId="0" fontId="1" fillId="0" borderId="0" xfId="0" applyFont="1" applyAlignment="1">
      <alignment horizontal="center"/>
    </xf>
    <xf numFmtId="0" fontId="1" fillId="0" borderId="0" xfId="0" applyFont="1" applyAlignment="1">
      <alignment horizontal="left" indent="19"/>
    </xf>
    <xf numFmtId="0" fontId="0" fillId="0" borderId="0" xfId="0" applyAlignment="1">
      <alignment horizontal="left" indent="19"/>
    </xf>
    <xf numFmtId="0" fontId="0" fillId="0" borderId="0" xfId="0"/>
    <xf numFmtId="0" fontId="7" fillId="0" borderId="1" xfId="0" applyFont="1" applyBorder="1" applyAlignment="1">
      <alignment wrapText="1"/>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xf numFmtId="164" fontId="7" fillId="0" borderId="1" xfId="0" applyNumberFormat="1" applyFont="1" applyBorder="1"/>
    <xf numFmtId="0" fontId="7" fillId="0" borderId="0" xfId="0" applyFont="1" applyAlignment="1">
      <alignment wrapText="1"/>
    </xf>
    <xf numFmtId="0" fontId="7" fillId="0" borderId="0" xfId="0" applyFont="1" applyAlignment="1">
      <alignment horizontal="left" indent="19"/>
    </xf>
    <xf numFmtId="0" fontId="7" fillId="0" borderId="2" xfId="0" applyFont="1" applyBorder="1"/>
    <xf numFmtId="0" fontId="7" fillId="0" borderId="0" xfId="0" applyFont="1"/>
    <xf numFmtId="0" fontId="7" fillId="0" borderId="0" xfId="0" applyFont="1" applyAlignment="1">
      <alignment horizontal="left"/>
    </xf>
    <xf numFmtId="0" fontId="7" fillId="0" borderId="0" xfId="0" applyFont="1" applyAlignment="1">
      <alignment horizontal="right" wrapText="1"/>
    </xf>
    <xf numFmtId="0" fontId="7" fillId="0" borderId="0" xfId="0" applyFont="1" applyBorder="1" applyAlignment="1">
      <alignment wrapText="1"/>
    </xf>
    <xf numFmtId="0" fontId="7" fillId="0" borderId="0" xfId="0" applyFont="1" applyBorder="1"/>
    <xf numFmtId="0" fontId="7" fillId="0" borderId="0" xfId="0" applyFont="1" applyAlignment="1">
      <alignment horizontal="center"/>
    </xf>
    <xf numFmtId="0" fontId="7" fillId="0" borderId="0" xfId="0" applyFont="1" applyAlignment="1">
      <alignment horizontal="left" indent="16"/>
    </xf>
    <xf numFmtId="0" fontId="7" fillId="0" borderId="0" xfId="0" applyFont="1" applyAlignment="1">
      <alignment horizontal="left" indent="21"/>
    </xf>
    <xf numFmtId="0" fontId="9" fillId="0" borderId="0" xfId="0" applyFont="1"/>
    <xf numFmtId="0" fontId="7" fillId="0" borderId="1" xfId="0" applyFont="1" applyBorder="1" applyAlignment="1">
      <alignment wrapText="1"/>
    </xf>
    <xf numFmtId="164" fontId="13" fillId="0" borderId="1" xfId="0" applyNumberFormat="1" applyFont="1" applyBorder="1"/>
    <xf numFmtId="164" fontId="13" fillId="0" borderId="1" xfId="0" applyNumberFormat="1" applyFont="1" applyFill="1" applyBorder="1"/>
    <xf numFmtId="0" fontId="7" fillId="0" borderId="1" xfId="0" applyFont="1" applyBorder="1" applyAlignment="1">
      <alignment wrapText="1"/>
    </xf>
    <xf numFmtId="49" fontId="14" fillId="0" borderId="1" xfId="0" applyNumberFormat="1" applyFont="1" applyBorder="1" applyAlignment="1">
      <alignment horizontal="center"/>
    </xf>
    <xf numFmtId="49" fontId="15" fillId="0" borderId="1" xfId="0" applyNumberFormat="1" applyFont="1" applyBorder="1" applyAlignment="1">
      <alignment horizontal="center"/>
    </xf>
    <xf numFmtId="0" fontId="14" fillId="0" borderId="1" xfId="0" applyFont="1" applyBorder="1" applyAlignment="1">
      <alignment wrapText="1"/>
    </xf>
    <xf numFmtId="164" fontId="14" fillId="0" borderId="1" xfId="0" applyNumberFormat="1" applyFont="1" applyBorder="1"/>
    <xf numFmtId="49" fontId="16" fillId="0" borderId="1" xfId="0" applyNumberFormat="1" applyFont="1" applyBorder="1" applyAlignment="1">
      <alignment horizontal="center"/>
    </xf>
    <xf numFmtId="0" fontId="17" fillId="0" borderId="1" xfId="0" applyFont="1" applyBorder="1" applyAlignment="1">
      <alignment wrapText="1"/>
    </xf>
    <xf numFmtId="164" fontId="16" fillId="0" borderId="1" xfId="0" applyNumberFormat="1" applyFont="1" applyBorder="1"/>
    <xf numFmtId="49" fontId="2" fillId="0" borderId="1" xfId="0" applyNumberFormat="1" applyFont="1" applyBorder="1" applyAlignment="1">
      <alignment horizontal="center"/>
    </xf>
    <xf numFmtId="165" fontId="18" fillId="0" borderId="1" xfId="3" applyNumberFormat="1" applyFont="1" applyBorder="1" applyAlignment="1">
      <alignment horizontal="center"/>
    </xf>
    <xf numFmtId="0" fontId="18" fillId="0" borderId="3" xfId="0" applyFont="1" applyBorder="1" applyAlignment="1">
      <alignment horizontal="left" vertical="center" wrapText="1"/>
    </xf>
    <xf numFmtId="164" fontId="2" fillId="0" borderId="1" xfId="0" applyNumberFormat="1" applyFont="1" applyBorder="1"/>
    <xf numFmtId="0" fontId="18" fillId="0" borderId="0" xfId="0" applyFont="1" applyAlignment="1">
      <alignment horizontal="left" vertical="center" wrapText="1"/>
    </xf>
    <xf numFmtId="0" fontId="0" fillId="0" borderId="1" xfId="0" applyBorder="1" applyAlignment="1">
      <alignment wrapText="1"/>
    </xf>
    <xf numFmtId="164" fontId="0" fillId="0" borderId="1" xfId="0" applyNumberFormat="1" applyBorder="1"/>
    <xf numFmtId="49" fontId="19" fillId="0" borderId="1" xfId="0" applyNumberFormat="1" applyFont="1" applyBorder="1" applyAlignment="1">
      <alignment horizontal="center"/>
    </xf>
    <xf numFmtId="0" fontId="20" fillId="0" borderId="1" xfId="0" applyFont="1" applyBorder="1" applyAlignment="1">
      <alignment wrapText="1"/>
    </xf>
    <xf numFmtId="164" fontId="21" fillId="0" borderId="1" xfId="0" applyNumberFormat="1" applyFont="1" applyBorder="1"/>
    <xf numFmtId="0" fontId="18" fillId="0" borderId="1" xfId="0" applyFont="1" applyBorder="1" applyAlignment="1">
      <alignment horizontal="left" vertical="center" wrapText="1"/>
    </xf>
    <xf numFmtId="49" fontId="22" fillId="0" borderId="1" xfId="0" applyNumberFormat="1" applyFont="1" applyBorder="1" applyAlignment="1">
      <alignment horizontal="center"/>
    </xf>
    <xf numFmtId="49" fontId="0" fillId="0" borderId="1" xfId="0" applyNumberFormat="1" applyBorder="1" applyAlignment="1">
      <alignment horizontal="center"/>
    </xf>
    <xf numFmtId="0" fontId="2" fillId="0" borderId="1" xfId="0" applyFont="1" applyBorder="1" applyAlignment="1">
      <alignment wrapText="1"/>
    </xf>
    <xf numFmtId="0" fontId="18" fillId="0" borderId="8" xfId="0" applyFont="1" applyBorder="1" applyAlignment="1">
      <alignment horizontal="left" vertical="center" wrapText="1"/>
    </xf>
    <xf numFmtId="0" fontId="0" fillId="0" borderId="1" xfId="0" applyBorder="1" applyAlignment="1">
      <alignment horizontal="center" wrapText="1"/>
    </xf>
    <xf numFmtId="49" fontId="23" fillId="0" borderId="1" xfId="0" applyNumberFormat="1" applyFont="1" applyBorder="1" applyAlignment="1">
      <alignment horizontal="center"/>
    </xf>
    <xf numFmtId="164" fontId="23" fillId="0" borderId="1" xfId="0" applyNumberFormat="1" applyFont="1" applyBorder="1"/>
    <xf numFmtId="164" fontId="2" fillId="0" borderId="4" xfId="0" applyNumberFormat="1" applyFont="1" applyBorder="1"/>
    <xf numFmtId="0" fontId="23" fillId="0" borderId="1" xfId="0" applyFont="1" applyBorder="1"/>
    <xf numFmtId="164" fontId="22" fillId="0" borderId="1" xfId="0" applyNumberFormat="1" applyFont="1" applyBorder="1"/>
    <xf numFmtId="0" fontId="22" fillId="0" borderId="0" xfId="0" applyFont="1"/>
    <xf numFmtId="49" fontId="24" fillId="0" borderId="1" xfId="0" applyNumberFormat="1" applyFont="1" applyBorder="1" applyAlignment="1">
      <alignment horizontal="center"/>
    </xf>
    <xf numFmtId="0" fontId="17" fillId="0" borderId="1" xfId="0" applyFont="1" applyBorder="1"/>
    <xf numFmtId="49" fontId="25" fillId="0" borderId="1" xfId="0" applyNumberFormat="1" applyFont="1" applyBorder="1" applyAlignment="1">
      <alignment horizontal="center"/>
    </xf>
    <xf numFmtId="0" fontId="26" fillId="0" borderId="1" xfId="0" applyFont="1" applyBorder="1" applyAlignment="1">
      <alignment vertical="top" wrapText="1"/>
    </xf>
    <xf numFmtId="164" fontId="27" fillId="0" borderId="1" xfId="0" applyNumberFormat="1" applyFont="1" applyBorder="1"/>
    <xf numFmtId="49" fontId="17" fillId="0" borderId="1" xfId="0" applyNumberFormat="1" applyFont="1" applyBorder="1" applyAlignment="1">
      <alignment horizontal="center"/>
    </xf>
    <xf numFmtId="164" fontId="20" fillId="0" borderId="1" xfId="0" applyNumberFormat="1" applyFont="1" applyBorder="1"/>
    <xf numFmtId="0" fontId="22" fillId="0" borderId="1" xfId="0" applyFont="1" applyBorder="1" applyAlignment="1">
      <alignment wrapText="1"/>
    </xf>
    <xf numFmtId="49" fontId="22" fillId="0" borderId="1" xfId="1" applyNumberFormat="1" applyFont="1" applyBorder="1" applyAlignment="1">
      <alignment horizontal="center"/>
    </xf>
    <xf numFmtId="165" fontId="22" fillId="0" borderId="1" xfId="1" applyNumberFormat="1" applyFont="1" applyBorder="1" applyAlignment="1">
      <alignment horizontal="center"/>
    </xf>
    <xf numFmtId="49" fontId="27" fillId="0" borderId="1" xfId="0" applyNumberFormat="1" applyFont="1" applyBorder="1" applyAlignment="1">
      <alignment horizontal="center"/>
    </xf>
    <xf numFmtId="165" fontId="28" fillId="0" borderId="1" xfId="3" applyNumberFormat="1" applyFont="1" applyBorder="1" applyAlignment="1">
      <alignment horizontal="center"/>
    </xf>
    <xf numFmtId="0" fontId="28" fillId="0" borderId="3" xfId="0" applyFont="1" applyBorder="1" applyAlignment="1">
      <alignment horizontal="left" vertical="center" wrapText="1"/>
    </xf>
    <xf numFmtId="49" fontId="20" fillId="0" borderId="1" xfId="0" applyNumberFormat="1" applyFont="1" applyBorder="1" applyAlignment="1">
      <alignment horizontal="center"/>
    </xf>
    <xf numFmtId="0" fontId="14" fillId="0" borderId="1" xfId="0" applyFont="1" applyBorder="1"/>
    <xf numFmtId="0" fontId="29" fillId="0" borderId="1" xfId="0" applyFont="1" applyBorder="1" applyAlignment="1">
      <alignment wrapText="1"/>
    </xf>
    <xf numFmtId="49" fontId="21" fillId="0" borderId="1" xfId="0" applyNumberFormat="1" applyFont="1" applyBorder="1" applyAlignment="1">
      <alignment horizontal="center"/>
    </xf>
    <xf numFmtId="49" fontId="30" fillId="0" borderId="1" xfId="0" applyNumberFormat="1" applyFont="1" applyBorder="1" applyAlignment="1">
      <alignment horizontal="center"/>
    </xf>
    <xf numFmtId="0" fontId="25" fillId="0" borderId="1" xfId="0" applyFont="1" applyBorder="1" applyAlignment="1">
      <alignment wrapText="1"/>
    </xf>
    <xf numFmtId="164" fontId="29" fillId="0" borderId="1" xfId="0" applyNumberFormat="1" applyFont="1" applyBorder="1"/>
    <xf numFmtId="49" fontId="31" fillId="0" borderId="1" xfId="0" applyNumberFormat="1" applyFont="1" applyBorder="1" applyAlignment="1">
      <alignment horizontal="center"/>
    </xf>
    <xf numFmtId="164" fontId="24" fillId="0" borderId="1" xfId="0" applyNumberFormat="1" applyFont="1" applyBorder="1"/>
    <xf numFmtId="0" fontId="27" fillId="0" borderId="1" xfId="0" applyFont="1" applyBorder="1" applyAlignment="1">
      <alignment wrapText="1"/>
    </xf>
    <xf numFmtId="0" fontId="32" fillId="0" borderId="1" xfId="0" applyFont="1" applyBorder="1" applyAlignment="1">
      <alignment horizontal="left" vertical="center" wrapText="1"/>
    </xf>
    <xf numFmtId="164" fontId="17" fillId="0" borderId="1" xfId="0" applyNumberFormat="1" applyFont="1" applyBorder="1"/>
    <xf numFmtId="165" fontId="25" fillId="0" borderId="1" xfId="1" applyNumberFormat="1" applyFont="1" applyBorder="1" applyAlignment="1">
      <alignment horizontal="center"/>
    </xf>
    <xf numFmtId="0" fontId="26" fillId="0" borderId="1" xfId="0" applyFont="1" applyBorder="1" applyAlignment="1">
      <alignment wrapText="1"/>
    </xf>
    <xf numFmtId="165" fontId="17" fillId="0" borderId="1" xfId="1" applyNumberFormat="1" applyFont="1" applyBorder="1" applyAlignment="1">
      <alignment horizontal="center"/>
    </xf>
    <xf numFmtId="0" fontId="23" fillId="0" borderId="1" xfId="0" applyFont="1" applyBorder="1" applyAlignment="1">
      <alignment wrapText="1"/>
    </xf>
    <xf numFmtId="0" fontId="0" fillId="0" borderId="1" xfId="0" applyBorder="1"/>
    <xf numFmtId="0" fontId="33" fillId="0" borderId="1" xfId="0" applyFont="1" applyBorder="1" applyAlignment="1">
      <alignment wrapText="1"/>
    </xf>
    <xf numFmtId="0" fontId="33" fillId="0" borderId="0" xfId="0" applyFont="1" applyAlignment="1">
      <alignment wrapText="1"/>
    </xf>
    <xf numFmtId="0" fontId="33" fillId="0" borderId="0" xfId="0" applyFont="1" applyAlignment="1">
      <alignment vertical="justify" wrapText="1"/>
    </xf>
    <xf numFmtId="49" fontId="10" fillId="0" borderId="10" xfId="4" applyNumberFormat="1" applyBorder="1" applyAlignment="1">
      <alignment horizontal="center" shrinkToFit="1"/>
    </xf>
    <xf numFmtId="49" fontId="10" fillId="0" borderId="11" xfId="4" applyNumberFormat="1" applyBorder="1" applyAlignment="1">
      <alignment horizontal="center" shrinkToFit="1"/>
    </xf>
    <xf numFmtId="1" fontId="34" fillId="0" borderId="1" xfId="4" applyFont="1" applyBorder="1" applyAlignment="1">
      <alignment horizontal="center" shrinkToFit="1"/>
    </xf>
    <xf numFmtId="1" fontId="10" fillId="0" borderId="1" xfId="4" applyBorder="1" applyAlignment="1">
      <alignment horizontal="center" shrinkToFit="1"/>
    </xf>
    <xf numFmtId="0" fontId="22" fillId="0" borderId="1" xfId="0" applyFont="1" applyBorder="1"/>
    <xf numFmtId="0" fontId="28" fillId="0" borderId="1" xfId="0" applyFont="1" applyBorder="1" applyAlignment="1">
      <alignment horizontal="left" vertical="center" wrapText="1"/>
    </xf>
    <xf numFmtId="49" fontId="10" fillId="0" borderId="1" xfId="4" applyNumberFormat="1" applyBorder="1" applyAlignment="1">
      <alignment horizontal="center" wrapText="1" shrinkToFit="1"/>
    </xf>
    <xf numFmtId="49" fontId="35" fillId="0" borderId="1" xfId="0" applyNumberFormat="1" applyFont="1" applyBorder="1" applyAlignment="1">
      <alignment horizontal="center"/>
    </xf>
    <xf numFmtId="49" fontId="36" fillId="0" borderId="1" xfId="0" applyNumberFormat="1" applyFont="1" applyBorder="1" applyAlignment="1">
      <alignment horizontal="center"/>
    </xf>
    <xf numFmtId="0" fontId="22" fillId="0" borderId="0" xfId="0" applyFont="1" applyAlignment="1">
      <alignment wrapText="1"/>
    </xf>
    <xf numFmtId="0" fontId="37" fillId="0" borderId="1" xfId="0" applyFont="1" applyBorder="1" applyAlignment="1">
      <alignment wrapText="1"/>
    </xf>
    <xf numFmtId="164" fontId="25" fillId="0" borderId="1" xfId="0" applyNumberFormat="1" applyFont="1" applyBorder="1"/>
    <xf numFmtId="49" fontId="2" fillId="0" borderId="2" xfId="0" applyNumberFormat="1" applyFont="1" applyBorder="1" applyAlignment="1">
      <alignment horizontal="center"/>
    </xf>
    <xf numFmtId="49" fontId="11" fillId="0" borderId="10" xfId="4" applyNumberFormat="1" applyFont="1" applyBorder="1" applyAlignment="1">
      <alignment horizontal="center" shrinkToFit="1"/>
    </xf>
    <xf numFmtId="49" fontId="22" fillId="0" borderId="2" xfId="0" applyNumberFormat="1" applyFont="1" applyBorder="1" applyAlignment="1">
      <alignment horizontal="center"/>
    </xf>
    <xf numFmtId="164" fontId="38" fillId="0" borderId="1" xfId="0" applyNumberFormat="1" applyFont="1" applyBorder="1"/>
    <xf numFmtId="49" fontId="0" fillId="0" borderId="2" xfId="0" applyNumberFormat="1" applyBorder="1" applyAlignment="1">
      <alignment horizontal="center"/>
    </xf>
    <xf numFmtId="49" fontId="33" fillId="0" borderId="1" xfId="0" applyNumberFormat="1" applyFont="1" applyBorder="1" applyAlignment="1">
      <alignment horizontal="center"/>
    </xf>
    <xf numFmtId="0" fontId="39" fillId="0" borderId="1" xfId="0" applyFont="1" applyBorder="1"/>
    <xf numFmtId="49" fontId="0" fillId="0" borderId="1" xfId="0" applyNumberFormat="1" applyBorder="1" applyAlignment="1">
      <alignment horizontal="left" wrapText="1"/>
    </xf>
    <xf numFmtId="165" fontId="40" fillId="0" borderId="1" xfId="1" applyNumberFormat="1" applyFont="1" applyBorder="1" applyAlignment="1">
      <alignment horizontal="center"/>
    </xf>
    <xf numFmtId="0" fontId="32" fillId="0" borderId="0" xfId="0" applyFont="1" applyAlignment="1">
      <alignment horizontal="left" vertical="center" wrapText="1"/>
    </xf>
    <xf numFmtId="0" fontId="22" fillId="0" borderId="1" xfId="0" applyFont="1" applyBorder="1" applyAlignment="1">
      <alignment horizontal="center"/>
    </xf>
    <xf numFmtId="49" fontId="22" fillId="0" borderId="1" xfId="0" applyNumberFormat="1" applyFont="1" applyBorder="1" applyAlignment="1">
      <alignment horizontal="center" wrapText="1"/>
    </xf>
    <xf numFmtId="9" fontId="2" fillId="0" borderId="1" xfId="6" applyFont="1" applyBorder="1" applyAlignment="1">
      <alignment horizontal="center"/>
    </xf>
    <xf numFmtId="9" fontId="22" fillId="0" borderId="1" xfId="6" applyFont="1" applyBorder="1" applyAlignment="1">
      <alignment horizontal="center" wrapText="1"/>
    </xf>
    <xf numFmtId="9" fontId="22" fillId="0" borderId="1" xfId="6" applyFont="1" applyBorder="1" applyAlignment="1">
      <alignment horizontal="center"/>
    </xf>
    <xf numFmtId="9" fontId="18" fillId="0" borderId="1" xfId="6" applyFont="1" applyFill="1" applyBorder="1" applyAlignment="1">
      <alignment horizontal="left" vertical="center" wrapText="1"/>
    </xf>
    <xf numFmtId="49" fontId="22" fillId="0" borderId="0" xfId="0" applyNumberFormat="1" applyFont="1" applyAlignment="1">
      <alignment horizontal="center"/>
    </xf>
    <xf numFmtId="49" fontId="41" fillId="0" borderId="1" xfId="0" applyNumberFormat="1" applyFont="1" applyBorder="1" applyAlignment="1">
      <alignment horizontal="center"/>
    </xf>
    <xf numFmtId="0" fontId="0" fillId="0" borderId="7" xfId="0" applyBorder="1" applyAlignment="1">
      <alignment wrapText="1"/>
    </xf>
    <xf numFmtId="0" fontId="0" fillId="0" borderId="0" xfId="0" applyAlignment="1">
      <alignment wrapText="1"/>
    </xf>
    <xf numFmtId="0" fontId="20" fillId="0" borderId="1" xfId="0" applyFont="1" applyBorder="1"/>
    <xf numFmtId="0" fontId="8" fillId="0" borderId="0" xfId="0" applyFont="1" applyBorder="1" applyAlignment="1">
      <alignment horizontal="center" wrapText="1"/>
    </xf>
    <xf numFmtId="0" fontId="8" fillId="0" borderId="0" xfId="0" applyFont="1" applyAlignment="1">
      <alignment wrapText="1"/>
    </xf>
    <xf numFmtId="0" fontId="7" fillId="0" borderId="5" xfId="0" applyFont="1" applyBorder="1" applyAlignment="1">
      <alignment wrapText="1"/>
    </xf>
    <xf numFmtId="0" fontId="7" fillId="0" borderId="7" xfId="0" applyFont="1" applyBorder="1" applyAlignment="1">
      <alignment wrapText="1"/>
    </xf>
    <xf numFmtId="0" fontId="7" fillId="0" borderId="1" xfId="0" applyFont="1" applyBorder="1" applyAlignment="1">
      <alignment wrapText="1"/>
    </xf>
    <xf numFmtId="0" fontId="8" fillId="0" borderId="0" xfId="0" applyFont="1" applyAlignment="1">
      <alignment horizontal="center" wrapText="1"/>
    </xf>
    <xf numFmtId="0" fontId="3" fillId="0" borderId="0" xfId="0" applyFont="1" applyAlignment="1">
      <alignment wrapText="1"/>
    </xf>
    <xf numFmtId="49" fontId="7" fillId="0" borderId="1" xfId="0" applyNumberFormat="1" applyFont="1" applyBorder="1" applyAlignment="1">
      <alignment horizontal="center" wrapText="1"/>
    </xf>
    <xf numFmtId="0" fontId="7" fillId="0" borderId="6" xfId="0" applyFont="1" applyBorder="1" applyAlignment="1">
      <alignment wrapText="1"/>
    </xf>
    <xf numFmtId="49" fontId="7" fillId="0" borderId="0" xfId="0" applyNumberFormat="1" applyFont="1" applyFill="1" applyBorder="1" applyAlignment="1">
      <alignment horizontal="left" wrapText="1"/>
    </xf>
    <xf numFmtId="0" fontId="7" fillId="0" borderId="0" xfId="0" applyFont="1" applyAlignment="1">
      <alignment horizontal="left" wrapText="1"/>
    </xf>
    <xf numFmtId="0" fontId="7" fillId="0" borderId="0" xfId="0" applyFont="1" applyAlignment="1">
      <alignment horizontal="right" wrapText="1"/>
    </xf>
  </cellXfs>
  <cellStyles count="7">
    <cellStyle name="Normal" xfId="1"/>
    <cellStyle name="xl25" xfId="4"/>
    <cellStyle name="xl37" xfId="5"/>
    <cellStyle name="Название" xfId="2" builtinId="15" customBuiltin="1"/>
    <cellStyle name="Обычный" xfId="0" builtinId="0"/>
    <cellStyle name="Обычный 2" xfId="3"/>
    <cellStyle name="Процентный"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3063"/>
      <rgbColor rgb="00EAEAEA"/>
      <rgbColor rgb="00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I611"/>
  <sheetViews>
    <sheetView workbookViewId="0">
      <selection activeCell="A11" sqref="A11"/>
    </sheetView>
  </sheetViews>
  <sheetFormatPr defaultColWidth="9.109375" defaultRowHeight="15.6" x14ac:dyDescent="0.3"/>
  <cols>
    <col min="1" max="1" width="2.5546875" style="16" customWidth="1"/>
    <col min="2" max="2" width="2.44140625" style="16" customWidth="1"/>
    <col min="3" max="3" width="11.6640625" style="16" customWidth="1"/>
    <col min="4" max="4" width="3.44140625" style="16" customWidth="1"/>
    <col min="5" max="5" width="38.6640625" style="16" customWidth="1"/>
    <col min="6" max="6" width="11.77734375" style="16" customWidth="1"/>
    <col min="7" max="7" width="10.6640625" style="16" customWidth="1"/>
    <col min="8" max="8" width="6" style="16" customWidth="1"/>
    <col min="9" max="16384" width="9.109375" style="16"/>
  </cols>
  <sheetData>
    <row r="1" spans="1:9" x14ac:dyDescent="0.3">
      <c r="E1" s="14" t="s">
        <v>188</v>
      </c>
      <c r="F1" s="14"/>
      <c r="G1" s="14"/>
      <c r="H1" s="14"/>
      <c r="I1" s="22"/>
    </row>
    <row r="2" spans="1:9" x14ac:dyDescent="0.3">
      <c r="E2" s="14" t="s">
        <v>189</v>
      </c>
      <c r="F2" s="14"/>
      <c r="G2" s="14"/>
      <c r="H2" s="14"/>
      <c r="I2" s="22"/>
    </row>
    <row r="3" spans="1:9" x14ac:dyDescent="0.3">
      <c r="E3" s="14" t="s">
        <v>190</v>
      </c>
      <c r="F3" s="14"/>
      <c r="G3" s="14"/>
      <c r="H3" s="14"/>
      <c r="I3" s="22"/>
    </row>
    <row r="4" spans="1:9" x14ac:dyDescent="0.3">
      <c r="E4" s="14" t="s">
        <v>191</v>
      </c>
      <c r="F4" s="14"/>
      <c r="G4" s="14"/>
      <c r="H4" s="14"/>
      <c r="I4" s="22"/>
    </row>
    <row r="5" spans="1:9" x14ac:dyDescent="0.3">
      <c r="E5" s="22"/>
      <c r="F5" s="23"/>
    </row>
    <row r="6" spans="1:9" x14ac:dyDescent="0.3">
      <c r="E6" s="22"/>
      <c r="F6" s="23"/>
    </row>
    <row r="7" spans="1:9" ht="59.25" customHeight="1" x14ac:dyDescent="0.35">
      <c r="A7" s="124" t="s">
        <v>568</v>
      </c>
      <c r="B7" s="125"/>
      <c r="C7" s="125"/>
      <c r="D7" s="125"/>
      <c r="E7" s="125"/>
      <c r="F7" s="125"/>
      <c r="G7" s="125"/>
      <c r="H7" s="125"/>
    </row>
    <row r="9" spans="1:9" x14ac:dyDescent="0.3">
      <c r="F9" s="21"/>
    </row>
    <row r="10" spans="1:9" ht="171.6" x14ac:dyDescent="0.3">
      <c r="A10" s="126" t="s">
        <v>192</v>
      </c>
      <c r="B10" s="127"/>
      <c r="C10" s="25" t="s">
        <v>193</v>
      </c>
      <c r="D10" s="25" t="s">
        <v>194</v>
      </c>
      <c r="E10" s="9" t="s">
        <v>195</v>
      </c>
      <c r="F10" s="9" t="s">
        <v>212</v>
      </c>
      <c r="G10" s="25" t="s">
        <v>196</v>
      </c>
      <c r="H10" s="25" t="s">
        <v>197</v>
      </c>
    </row>
    <row r="11" spans="1:9" x14ac:dyDescent="0.3">
      <c r="A11" s="10">
        <v>1</v>
      </c>
      <c r="B11" s="10">
        <v>2</v>
      </c>
      <c r="C11" s="10">
        <v>3</v>
      </c>
      <c r="D11" s="10">
        <v>4</v>
      </c>
      <c r="E11" s="10">
        <v>5</v>
      </c>
      <c r="F11" s="10">
        <v>6</v>
      </c>
      <c r="G11" s="10">
        <v>7</v>
      </c>
      <c r="H11" s="10">
        <v>8</v>
      </c>
    </row>
    <row r="12" spans="1:9" x14ac:dyDescent="0.3">
      <c r="A12" s="29" t="s">
        <v>84</v>
      </c>
      <c r="B12" s="30"/>
      <c r="C12" s="30"/>
      <c r="D12" s="30"/>
      <c r="E12" s="31" t="s">
        <v>86</v>
      </c>
      <c r="F12" s="32">
        <f>F13+F18+F25+F36+F41+F51+F56</f>
        <v>138648.09999999998</v>
      </c>
      <c r="G12" s="32">
        <f>G13+G18+G25+G36+G41+G51+G56</f>
        <v>75080.700000000012</v>
      </c>
      <c r="H12" s="26">
        <f t="shared" ref="H12" si="0">ROUND((G12/F12*100),1)</f>
        <v>54.2</v>
      </c>
    </row>
    <row r="13" spans="1:9" ht="54.6" customHeight="1" x14ac:dyDescent="0.3">
      <c r="A13" s="33" t="s">
        <v>84</v>
      </c>
      <c r="B13" s="33" t="s">
        <v>85</v>
      </c>
      <c r="C13" s="33"/>
      <c r="D13" s="33"/>
      <c r="E13" s="34" t="s">
        <v>19</v>
      </c>
      <c r="F13" s="35">
        <f t="shared" ref="F13:G16" si="1">F14</f>
        <v>2367.1</v>
      </c>
      <c r="G13" s="35">
        <f t="shared" si="1"/>
        <v>1400.1</v>
      </c>
      <c r="H13" s="26">
        <f t="shared" ref="H13:H73" si="2">ROUND((G13/F13*100),1)</f>
        <v>59.1</v>
      </c>
    </row>
    <row r="14" spans="1:9" ht="26.4" x14ac:dyDescent="0.3">
      <c r="A14" s="36" t="s">
        <v>84</v>
      </c>
      <c r="B14" s="36" t="s">
        <v>85</v>
      </c>
      <c r="C14" s="37">
        <v>9900000000</v>
      </c>
      <c r="D14" s="36"/>
      <c r="E14" s="38" t="s">
        <v>126</v>
      </c>
      <c r="F14" s="39">
        <f t="shared" si="1"/>
        <v>2367.1</v>
      </c>
      <c r="G14" s="39">
        <f t="shared" si="1"/>
        <v>1400.1</v>
      </c>
      <c r="H14" s="26">
        <f t="shared" si="2"/>
        <v>59.1</v>
      </c>
    </row>
    <row r="15" spans="1:9" ht="39.6" x14ac:dyDescent="0.3">
      <c r="A15" s="36" t="s">
        <v>84</v>
      </c>
      <c r="B15" s="36" t="s">
        <v>85</v>
      </c>
      <c r="C15" s="37">
        <v>9980000000</v>
      </c>
      <c r="D15" s="36"/>
      <c r="E15" s="40" t="s">
        <v>27</v>
      </c>
      <c r="F15" s="39">
        <f t="shared" si="1"/>
        <v>2367.1</v>
      </c>
      <c r="G15" s="39">
        <f t="shared" si="1"/>
        <v>1400.1</v>
      </c>
      <c r="H15" s="26">
        <f t="shared" si="2"/>
        <v>59.1</v>
      </c>
    </row>
    <row r="16" spans="1:9" x14ac:dyDescent="0.3">
      <c r="A16" s="36" t="s">
        <v>84</v>
      </c>
      <c r="B16" s="36" t="s">
        <v>85</v>
      </c>
      <c r="C16" s="37">
        <v>9980022100</v>
      </c>
      <c r="D16" s="36"/>
      <c r="E16" s="41" t="s">
        <v>107</v>
      </c>
      <c r="F16" s="42">
        <f t="shared" si="1"/>
        <v>2367.1</v>
      </c>
      <c r="G16" s="42">
        <f t="shared" si="1"/>
        <v>1400.1</v>
      </c>
      <c r="H16" s="26">
        <f t="shared" si="2"/>
        <v>59.1</v>
      </c>
    </row>
    <row r="17" spans="1:8" ht="25.5" customHeight="1" x14ac:dyDescent="0.3">
      <c r="A17" s="36" t="s">
        <v>84</v>
      </c>
      <c r="B17" s="36" t="s">
        <v>85</v>
      </c>
      <c r="C17" s="37">
        <v>9980022100</v>
      </c>
      <c r="D17" s="36" t="s">
        <v>61</v>
      </c>
      <c r="E17" s="41" t="s">
        <v>77</v>
      </c>
      <c r="F17" s="42">
        <f>1717-118.6+439.5+171.7+157.5-439.5-171.7+171.7+439.5</f>
        <v>2367.1</v>
      </c>
      <c r="G17" s="26">
        <v>1400.1</v>
      </c>
      <c r="H17" s="26">
        <f t="shared" si="2"/>
        <v>59.1</v>
      </c>
    </row>
    <row r="18" spans="1:8" ht="66.599999999999994" x14ac:dyDescent="0.3">
      <c r="A18" s="33" t="s">
        <v>84</v>
      </c>
      <c r="B18" s="33" t="s">
        <v>87</v>
      </c>
      <c r="C18" s="43"/>
      <c r="D18" s="43"/>
      <c r="E18" s="44" t="s">
        <v>117</v>
      </c>
      <c r="F18" s="45">
        <f>F19</f>
        <v>4140.6000000000004</v>
      </c>
      <c r="G18" s="45">
        <f>G19</f>
        <v>2175.8000000000002</v>
      </c>
      <c r="H18" s="26">
        <f t="shared" si="2"/>
        <v>52.5</v>
      </c>
    </row>
    <row r="19" spans="1:8" ht="39.6" x14ac:dyDescent="0.3">
      <c r="A19" s="36" t="s">
        <v>84</v>
      </c>
      <c r="B19" s="36" t="s">
        <v>87</v>
      </c>
      <c r="C19" s="37">
        <v>9990000000</v>
      </c>
      <c r="D19" s="36"/>
      <c r="E19" s="40" t="s">
        <v>26</v>
      </c>
      <c r="F19" s="39">
        <f>F20+F22</f>
        <v>4140.6000000000004</v>
      </c>
      <c r="G19" s="39">
        <f>G20+G22</f>
        <v>2175.8000000000002</v>
      </c>
      <c r="H19" s="26">
        <f t="shared" si="2"/>
        <v>52.5</v>
      </c>
    </row>
    <row r="20" spans="1:8" x14ac:dyDescent="0.3">
      <c r="A20" s="36" t="s">
        <v>84</v>
      </c>
      <c r="B20" s="36" t="s">
        <v>87</v>
      </c>
      <c r="C20" s="37">
        <v>9990022400</v>
      </c>
      <c r="D20" s="36"/>
      <c r="E20" s="46" t="s">
        <v>124</v>
      </c>
      <c r="F20" s="39">
        <f>F21</f>
        <v>1522.8</v>
      </c>
      <c r="G20" s="39">
        <f>G21</f>
        <v>857.8</v>
      </c>
      <c r="H20" s="26">
        <f t="shared" si="2"/>
        <v>56.3</v>
      </c>
    </row>
    <row r="21" spans="1:8" ht="32.25" customHeight="1" x14ac:dyDescent="0.3">
      <c r="A21" s="36" t="s">
        <v>84</v>
      </c>
      <c r="B21" s="36" t="s">
        <v>87</v>
      </c>
      <c r="C21" s="37">
        <v>9990022400</v>
      </c>
      <c r="D21" s="36" t="s">
        <v>61</v>
      </c>
      <c r="E21" s="38" t="s">
        <v>62</v>
      </c>
      <c r="F21" s="42">
        <f>1365.9+136.6+20.3-156.9+156.9</f>
        <v>1522.8</v>
      </c>
      <c r="G21" s="26">
        <v>857.8</v>
      </c>
      <c r="H21" s="26">
        <f t="shared" si="2"/>
        <v>56.3</v>
      </c>
    </row>
    <row r="22" spans="1:8" ht="27" x14ac:dyDescent="0.3">
      <c r="A22" s="36" t="s">
        <v>84</v>
      </c>
      <c r="B22" s="36" t="s">
        <v>87</v>
      </c>
      <c r="C22" s="37">
        <v>9990022500</v>
      </c>
      <c r="D22" s="47"/>
      <c r="E22" s="41" t="s">
        <v>306</v>
      </c>
      <c r="F22" s="39">
        <f>SUM(F23:F24)</f>
        <v>2617.8000000000002</v>
      </c>
      <c r="G22" s="26">
        <f>SUM(G23:G24)</f>
        <v>1318</v>
      </c>
      <c r="H22" s="26">
        <f t="shared" si="2"/>
        <v>50.3</v>
      </c>
    </row>
    <row r="23" spans="1:8" ht="33" customHeight="1" x14ac:dyDescent="0.3">
      <c r="A23" s="36" t="s">
        <v>84</v>
      </c>
      <c r="B23" s="36" t="s">
        <v>87</v>
      </c>
      <c r="C23" s="37">
        <v>9990022500</v>
      </c>
      <c r="D23" s="36" t="s">
        <v>61</v>
      </c>
      <c r="E23" s="38" t="s">
        <v>62</v>
      </c>
      <c r="F23" s="42">
        <f>2356.8+154.9</f>
        <v>2511.7000000000003</v>
      </c>
      <c r="G23" s="26">
        <v>1271.4000000000001</v>
      </c>
      <c r="H23" s="26">
        <f t="shared" si="2"/>
        <v>50.6</v>
      </c>
    </row>
    <row r="24" spans="1:8" ht="39.6" x14ac:dyDescent="0.3">
      <c r="A24" s="36" t="s">
        <v>84</v>
      </c>
      <c r="B24" s="36" t="s">
        <v>87</v>
      </c>
      <c r="C24" s="37">
        <v>9990022500</v>
      </c>
      <c r="D24" s="48" t="s">
        <v>213</v>
      </c>
      <c r="E24" s="46" t="s">
        <v>214</v>
      </c>
      <c r="F24" s="42">
        <v>106.1</v>
      </c>
      <c r="G24" s="26">
        <v>46.6</v>
      </c>
      <c r="H24" s="26">
        <f t="shared" si="2"/>
        <v>43.9</v>
      </c>
    </row>
    <row r="25" spans="1:8" ht="79.8" x14ac:dyDescent="0.3">
      <c r="A25" s="33" t="s">
        <v>84</v>
      </c>
      <c r="B25" s="33" t="s">
        <v>88</v>
      </c>
      <c r="C25" s="33"/>
      <c r="D25" s="33"/>
      <c r="E25" s="34" t="s">
        <v>115</v>
      </c>
      <c r="F25" s="35">
        <f>F26</f>
        <v>52989.2</v>
      </c>
      <c r="G25" s="35">
        <f>G26</f>
        <v>25309</v>
      </c>
      <c r="H25" s="26">
        <f t="shared" si="2"/>
        <v>47.8</v>
      </c>
    </row>
    <row r="26" spans="1:8" ht="26.4" x14ac:dyDescent="0.3">
      <c r="A26" s="36" t="s">
        <v>84</v>
      </c>
      <c r="B26" s="36" t="s">
        <v>88</v>
      </c>
      <c r="C26" s="37">
        <v>9900000000</v>
      </c>
      <c r="D26" s="36"/>
      <c r="E26" s="38" t="s">
        <v>126</v>
      </c>
      <c r="F26" s="42">
        <f>F27+F31</f>
        <v>52989.2</v>
      </c>
      <c r="G26" s="42">
        <f>G27+G31</f>
        <v>25309</v>
      </c>
      <c r="H26" s="26">
        <f t="shared" si="2"/>
        <v>47.8</v>
      </c>
    </row>
    <row r="27" spans="1:8" ht="27" x14ac:dyDescent="0.3">
      <c r="A27" s="36" t="s">
        <v>84</v>
      </c>
      <c r="B27" s="36" t="s">
        <v>88</v>
      </c>
      <c r="C27" s="37">
        <v>9930000000</v>
      </c>
      <c r="D27" s="36"/>
      <c r="E27" s="49" t="s">
        <v>38</v>
      </c>
      <c r="F27" s="42">
        <f>F28</f>
        <v>422.6</v>
      </c>
      <c r="G27" s="42">
        <f>G28</f>
        <v>164.8</v>
      </c>
      <c r="H27" s="26">
        <f t="shared" si="2"/>
        <v>39</v>
      </c>
    </row>
    <row r="28" spans="1:8" ht="66.599999999999994" x14ac:dyDescent="0.3">
      <c r="A28" s="36" t="s">
        <v>84</v>
      </c>
      <c r="B28" s="36" t="s">
        <v>88</v>
      </c>
      <c r="C28" s="37">
        <v>9930010510</v>
      </c>
      <c r="D28" s="36"/>
      <c r="E28" s="49" t="s">
        <v>17</v>
      </c>
      <c r="F28" s="42">
        <f>F29+F30</f>
        <v>422.6</v>
      </c>
      <c r="G28" s="42">
        <f>G29+G30</f>
        <v>164.8</v>
      </c>
      <c r="H28" s="26">
        <f t="shared" si="2"/>
        <v>39</v>
      </c>
    </row>
    <row r="29" spans="1:8" ht="26.4" customHeight="1" x14ac:dyDescent="0.3">
      <c r="A29" s="36" t="s">
        <v>84</v>
      </c>
      <c r="B29" s="36" t="s">
        <v>88</v>
      </c>
      <c r="C29" s="37">
        <v>9930010510</v>
      </c>
      <c r="D29" s="36" t="s">
        <v>61</v>
      </c>
      <c r="E29" s="50" t="s">
        <v>62</v>
      </c>
      <c r="F29" s="42">
        <v>397.3</v>
      </c>
      <c r="G29" s="26">
        <v>162</v>
      </c>
      <c r="H29" s="26">
        <f t="shared" si="2"/>
        <v>40.799999999999997</v>
      </c>
    </row>
    <row r="30" spans="1:8" ht="39.6" x14ac:dyDescent="0.3">
      <c r="A30" s="36" t="s">
        <v>84</v>
      </c>
      <c r="B30" s="36" t="s">
        <v>88</v>
      </c>
      <c r="C30" s="37">
        <v>9930010510</v>
      </c>
      <c r="D30" s="48" t="s">
        <v>213</v>
      </c>
      <c r="E30" s="46" t="s">
        <v>214</v>
      </c>
      <c r="F30" s="42">
        <v>25.3</v>
      </c>
      <c r="G30" s="26">
        <v>2.8</v>
      </c>
      <c r="H30" s="26">
        <f t="shared" si="2"/>
        <v>11.1</v>
      </c>
    </row>
    <row r="31" spans="1:8" ht="39.6" x14ac:dyDescent="0.3">
      <c r="A31" s="36" t="s">
        <v>84</v>
      </c>
      <c r="B31" s="36" t="s">
        <v>88</v>
      </c>
      <c r="C31" s="37">
        <v>9980000000</v>
      </c>
      <c r="D31" s="36"/>
      <c r="E31" s="40" t="s">
        <v>27</v>
      </c>
      <c r="F31" s="42">
        <f>F32</f>
        <v>52566.6</v>
      </c>
      <c r="G31" s="42">
        <f>G32</f>
        <v>25144.2</v>
      </c>
      <c r="H31" s="26">
        <f t="shared" si="2"/>
        <v>47.8</v>
      </c>
    </row>
    <row r="32" spans="1:8" x14ac:dyDescent="0.3">
      <c r="A32" s="36" t="s">
        <v>84</v>
      </c>
      <c r="B32" s="36" t="s">
        <v>88</v>
      </c>
      <c r="C32" s="51">
        <v>9980022200</v>
      </c>
      <c r="D32" s="47"/>
      <c r="E32" s="41" t="s">
        <v>108</v>
      </c>
      <c r="F32" s="42">
        <f>SUM(F33:F35)</f>
        <v>52566.6</v>
      </c>
      <c r="G32" s="42">
        <f>SUM(G33:G35)</f>
        <v>25144.2</v>
      </c>
      <c r="H32" s="26">
        <f t="shared" si="2"/>
        <v>47.8</v>
      </c>
    </row>
    <row r="33" spans="1:8" ht="24.75" customHeight="1" x14ac:dyDescent="0.3">
      <c r="A33" s="36" t="s">
        <v>84</v>
      </c>
      <c r="B33" s="36" t="s">
        <v>88</v>
      </c>
      <c r="C33" s="51">
        <v>9980022200</v>
      </c>
      <c r="D33" s="36" t="s">
        <v>61</v>
      </c>
      <c r="E33" s="38" t="s">
        <v>62</v>
      </c>
      <c r="F33" s="42">
        <f>44902+375.4+4548.2-375.4+383</f>
        <v>49833.2</v>
      </c>
      <c r="G33" s="26">
        <v>24450.9</v>
      </c>
      <c r="H33" s="26">
        <f t="shared" si="2"/>
        <v>49.1</v>
      </c>
    </row>
    <row r="34" spans="1:8" ht="39.6" x14ac:dyDescent="0.3">
      <c r="A34" s="36" t="s">
        <v>84</v>
      </c>
      <c r="B34" s="36" t="s">
        <v>88</v>
      </c>
      <c r="C34" s="51">
        <v>9980022200</v>
      </c>
      <c r="D34" s="48" t="s">
        <v>213</v>
      </c>
      <c r="E34" s="46" t="s">
        <v>214</v>
      </c>
      <c r="F34" s="42">
        <f>2929.4-90-80.4-70</f>
        <v>2689</v>
      </c>
      <c r="G34" s="26">
        <v>693.3</v>
      </c>
      <c r="H34" s="26">
        <f t="shared" si="2"/>
        <v>25.8</v>
      </c>
    </row>
    <row r="35" spans="1:8" x14ac:dyDescent="0.3">
      <c r="A35" s="36" t="s">
        <v>84</v>
      </c>
      <c r="B35" s="36" t="s">
        <v>88</v>
      </c>
      <c r="C35" s="51">
        <v>9980022200</v>
      </c>
      <c r="D35" s="48" t="s">
        <v>119</v>
      </c>
      <c r="E35" s="46" t="s">
        <v>120</v>
      </c>
      <c r="F35" s="39">
        <v>44.4</v>
      </c>
      <c r="G35" s="26">
        <v>0</v>
      </c>
      <c r="H35" s="26">
        <f t="shared" si="2"/>
        <v>0</v>
      </c>
    </row>
    <row r="36" spans="1:8" x14ac:dyDescent="0.3">
      <c r="A36" s="52" t="s">
        <v>84</v>
      </c>
      <c r="B36" s="52" t="s">
        <v>89</v>
      </c>
      <c r="C36" s="52"/>
      <c r="D36" s="52"/>
      <c r="E36" s="34" t="s">
        <v>215</v>
      </c>
      <c r="F36" s="53">
        <f>SUM(F37)</f>
        <v>2.1</v>
      </c>
      <c r="G36" s="26">
        <f>SUM(G37)</f>
        <v>2.1</v>
      </c>
      <c r="H36" s="26">
        <f t="shared" si="2"/>
        <v>100</v>
      </c>
    </row>
    <row r="37" spans="1:8" ht="26.4" x14ac:dyDescent="0.3">
      <c r="A37" s="36" t="s">
        <v>84</v>
      </c>
      <c r="B37" s="48" t="s">
        <v>89</v>
      </c>
      <c r="C37" s="37">
        <v>9900000000</v>
      </c>
      <c r="D37" s="36"/>
      <c r="E37" s="38" t="s">
        <v>127</v>
      </c>
      <c r="F37" s="42">
        <f t="shared" ref="F37:F39" si="3">F38</f>
        <v>2.1</v>
      </c>
      <c r="G37" s="26">
        <f t="shared" ref="G37:G39" si="4">G38</f>
        <v>2.1</v>
      </c>
      <c r="H37" s="26">
        <f t="shared" si="2"/>
        <v>100</v>
      </c>
    </row>
    <row r="38" spans="1:8" ht="27" x14ac:dyDescent="0.3">
      <c r="A38" s="36" t="s">
        <v>84</v>
      </c>
      <c r="B38" s="48" t="s">
        <v>89</v>
      </c>
      <c r="C38" s="37">
        <v>9930000000</v>
      </c>
      <c r="D38" s="36"/>
      <c r="E38" s="49" t="s">
        <v>38</v>
      </c>
      <c r="F38" s="42">
        <f t="shared" si="3"/>
        <v>2.1</v>
      </c>
      <c r="G38" s="26">
        <f t="shared" si="4"/>
        <v>2.1</v>
      </c>
      <c r="H38" s="26">
        <f t="shared" si="2"/>
        <v>100</v>
      </c>
    </row>
    <row r="39" spans="1:8" ht="66" x14ac:dyDescent="0.3">
      <c r="A39" s="36" t="s">
        <v>84</v>
      </c>
      <c r="B39" s="48" t="s">
        <v>89</v>
      </c>
      <c r="C39" s="37">
        <v>9930051200</v>
      </c>
      <c r="D39" s="36"/>
      <c r="E39" s="40" t="s">
        <v>216</v>
      </c>
      <c r="F39" s="54">
        <f t="shared" si="3"/>
        <v>2.1</v>
      </c>
      <c r="G39" s="26">
        <f t="shared" si="4"/>
        <v>2.1</v>
      </c>
      <c r="H39" s="26">
        <f t="shared" si="2"/>
        <v>100</v>
      </c>
    </row>
    <row r="40" spans="1:8" ht="39.6" x14ac:dyDescent="0.3">
      <c r="A40" s="36" t="s">
        <v>84</v>
      </c>
      <c r="B40" s="48" t="s">
        <v>89</v>
      </c>
      <c r="C40" s="37">
        <v>9930051200</v>
      </c>
      <c r="D40" s="48" t="s">
        <v>213</v>
      </c>
      <c r="E40" s="46" t="s">
        <v>214</v>
      </c>
      <c r="F40" s="54">
        <v>2.1</v>
      </c>
      <c r="G40" s="26">
        <v>2.1</v>
      </c>
      <c r="H40" s="26">
        <f t="shared" si="2"/>
        <v>100</v>
      </c>
    </row>
    <row r="41" spans="1:8" ht="53.4" x14ac:dyDescent="0.3">
      <c r="A41" s="52" t="s">
        <v>84</v>
      </c>
      <c r="B41" s="52" t="s">
        <v>90</v>
      </c>
      <c r="C41" s="52"/>
      <c r="D41" s="52"/>
      <c r="E41" s="34" t="s">
        <v>116</v>
      </c>
      <c r="F41" s="53">
        <f>SUM(F42)</f>
        <v>12722.3</v>
      </c>
      <c r="G41" s="53">
        <f>SUM(G42)</f>
        <v>6014.4</v>
      </c>
      <c r="H41" s="26">
        <f t="shared" si="2"/>
        <v>47.3</v>
      </c>
    </row>
    <row r="42" spans="1:8" ht="26.4" x14ac:dyDescent="0.3">
      <c r="A42" s="36" t="s">
        <v>84</v>
      </c>
      <c r="B42" s="36" t="s">
        <v>90</v>
      </c>
      <c r="C42" s="37">
        <v>9900000000</v>
      </c>
      <c r="D42" s="36"/>
      <c r="E42" s="38" t="s">
        <v>126</v>
      </c>
      <c r="F42" s="42">
        <f>F43+F47</f>
        <v>12722.3</v>
      </c>
      <c r="G42" s="42">
        <f>G43+G47</f>
        <v>6014.4</v>
      </c>
      <c r="H42" s="26">
        <f t="shared" si="2"/>
        <v>47.3</v>
      </c>
    </row>
    <row r="43" spans="1:8" ht="39.6" x14ac:dyDescent="0.3">
      <c r="A43" s="36" t="s">
        <v>84</v>
      </c>
      <c r="B43" s="36" t="s">
        <v>90</v>
      </c>
      <c r="C43" s="37">
        <v>9980000000</v>
      </c>
      <c r="D43" s="36"/>
      <c r="E43" s="40" t="s">
        <v>27</v>
      </c>
      <c r="F43" s="42">
        <f>F44</f>
        <v>10869.9</v>
      </c>
      <c r="G43" s="42">
        <f>G44</f>
        <v>5245.7999999999993</v>
      </c>
      <c r="H43" s="26">
        <f t="shared" si="2"/>
        <v>48.3</v>
      </c>
    </row>
    <row r="44" spans="1:8" x14ac:dyDescent="0.3">
      <c r="A44" s="36" t="s">
        <v>84</v>
      </c>
      <c r="B44" s="36" t="s">
        <v>90</v>
      </c>
      <c r="C44" s="51">
        <v>9980022200</v>
      </c>
      <c r="D44" s="47"/>
      <c r="E44" s="41" t="s">
        <v>108</v>
      </c>
      <c r="F44" s="42">
        <f>SUM(F45:F46)</f>
        <v>10869.9</v>
      </c>
      <c r="G44" s="42">
        <f>SUM(G45:G46)</f>
        <v>5245.7999999999993</v>
      </c>
      <c r="H44" s="26">
        <f t="shared" si="2"/>
        <v>48.3</v>
      </c>
    </row>
    <row r="45" spans="1:8" ht="27.75" customHeight="1" x14ac:dyDescent="0.3">
      <c r="A45" s="36" t="s">
        <v>84</v>
      </c>
      <c r="B45" s="36" t="s">
        <v>90</v>
      </c>
      <c r="C45" s="51">
        <v>9980022200</v>
      </c>
      <c r="D45" s="36" t="s">
        <v>61</v>
      </c>
      <c r="E45" s="50" t="s">
        <v>62</v>
      </c>
      <c r="F45" s="42">
        <f>9404.1+64.1+940.4-64.1+56.5</f>
        <v>10401</v>
      </c>
      <c r="G45" s="26">
        <v>5131.3999999999996</v>
      </c>
      <c r="H45" s="27">
        <f t="shared" si="2"/>
        <v>49.3</v>
      </c>
    </row>
    <row r="46" spans="1:8" ht="39.6" x14ac:dyDescent="0.3">
      <c r="A46" s="36" t="s">
        <v>84</v>
      </c>
      <c r="B46" s="36" t="s">
        <v>90</v>
      </c>
      <c r="C46" s="51">
        <v>9980022200</v>
      </c>
      <c r="D46" s="48" t="s">
        <v>213</v>
      </c>
      <c r="E46" s="46" t="s">
        <v>214</v>
      </c>
      <c r="F46" s="42">
        <v>468.9</v>
      </c>
      <c r="G46" s="26">
        <v>114.4</v>
      </c>
      <c r="H46" s="26">
        <f t="shared" si="2"/>
        <v>24.4</v>
      </c>
    </row>
    <row r="47" spans="1:8" ht="39.6" x14ac:dyDescent="0.3">
      <c r="A47" s="36" t="s">
        <v>84</v>
      </c>
      <c r="B47" s="36" t="s">
        <v>90</v>
      </c>
      <c r="C47" s="37">
        <v>9990000000</v>
      </c>
      <c r="D47" s="36"/>
      <c r="E47" s="40" t="s">
        <v>26</v>
      </c>
      <c r="F47" s="42">
        <f>F48</f>
        <v>1852.4</v>
      </c>
      <c r="G47" s="42">
        <f>G48</f>
        <v>768.6</v>
      </c>
      <c r="H47" s="26">
        <f t="shared" si="2"/>
        <v>41.5</v>
      </c>
    </row>
    <row r="48" spans="1:8" ht="27" x14ac:dyDescent="0.3">
      <c r="A48" s="36" t="s">
        <v>84</v>
      </c>
      <c r="B48" s="36" t="s">
        <v>90</v>
      </c>
      <c r="C48" s="37">
        <v>9990022300</v>
      </c>
      <c r="D48" s="47"/>
      <c r="E48" s="41" t="s">
        <v>180</v>
      </c>
      <c r="F48" s="39">
        <f>F49+F50</f>
        <v>1852.4</v>
      </c>
      <c r="G48" s="39">
        <f>G49+G50</f>
        <v>768.6</v>
      </c>
      <c r="H48" s="26">
        <f t="shared" si="2"/>
        <v>41.5</v>
      </c>
    </row>
    <row r="49" spans="1:8" ht="28.5" customHeight="1" x14ac:dyDescent="0.3">
      <c r="A49" s="36" t="s">
        <v>84</v>
      </c>
      <c r="B49" s="36" t="s">
        <v>90</v>
      </c>
      <c r="C49" s="37">
        <v>9990022300</v>
      </c>
      <c r="D49" s="36" t="s">
        <v>61</v>
      </c>
      <c r="E49" s="41" t="s">
        <v>77</v>
      </c>
      <c r="F49" s="42">
        <f>1668.4+164.2+16.3-109.5+109.5</f>
        <v>1848.9</v>
      </c>
      <c r="G49" s="26">
        <v>768.6</v>
      </c>
      <c r="H49" s="26">
        <f t="shared" si="2"/>
        <v>41.6</v>
      </c>
    </row>
    <row r="50" spans="1:8" s="24" customFormat="1" ht="39.6" x14ac:dyDescent="0.3">
      <c r="A50" s="36" t="s">
        <v>84</v>
      </c>
      <c r="B50" s="36" t="s">
        <v>90</v>
      </c>
      <c r="C50" s="37">
        <v>9990022300</v>
      </c>
      <c r="D50" s="48" t="s">
        <v>213</v>
      </c>
      <c r="E50" s="46" t="s">
        <v>214</v>
      </c>
      <c r="F50" s="42">
        <v>3.5</v>
      </c>
      <c r="G50" s="26">
        <v>0</v>
      </c>
      <c r="H50" s="26">
        <f t="shared" si="2"/>
        <v>0</v>
      </c>
    </row>
    <row r="51" spans="1:8" s="24" customFormat="1" x14ac:dyDescent="0.3">
      <c r="A51" s="52" t="s">
        <v>84</v>
      </c>
      <c r="B51" s="52" t="s">
        <v>96</v>
      </c>
      <c r="C51" s="52"/>
      <c r="D51" s="52"/>
      <c r="E51" s="55" t="s">
        <v>9</v>
      </c>
      <c r="F51" s="53">
        <f t="shared" ref="F51:G54" si="5">F52</f>
        <v>550</v>
      </c>
      <c r="G51" s="53">
        <f t="shared" si="5"/>
        <v>0</v>
      </c>
      <c r="H51" s="26">
        <f t="shared" si="2"/>
        <v>0</v>
      </c>
    </row>
    <row r="52" spans="1:8" ht="26.4" x14ac:dyDescent="0.3">
      <c r="A52" s="36" t="s">
        <v>84</v>
      </c>
      <c r="B52" s="36" t="s">
        <v>96</v>
      </c>
      <c r="C52" s="37">
        <v>9900000000</v>
      </c>
      <c r="D52" s="36"/>
      <c r="E52" s="38" t="s">
        <v>126</v>
      </c>
      <c r="F52" s="56">
        <f t="shared" si="5"/>
        <v>550</v>
      </c>
      <c r="G52" s="56">
        <f t="shared" si="5"/>
        <v>0</v>
      </c>
      <c r="H52" s="26">
        <f t="shared" si="2"/>
        <v>0</v>
      </c>
    </row>
    <row r="53" spans="1:8" x14ac:dyDescent="0.3">
      <c r="A53" s="36" t="s">
        <v>84</v>
      </c>
      <c r="B53" s="36" t="s">
        <v>96</v>
      </c>
      <c r="C53" s="37">
        <v>9920000000</v>
      </c>
      <c r="D53" s="52"/>
      <c r="E53" s="57" t="s">
        <v>9</v>
      </c>
      <c r="F53" s="56">
        <f t="shared" si="5"/>
        <v>550</v>
      </c>
      <c r="G53" s="56">
        <f t="shared" si="5"/>
        <v>0</v>
      </c>
      <c r="H53" s="26">
        <f t="shared" si="2"/>
        <v>0</v>
      </c>
    </row>
    <row r="54" spans="1:8" ht="18.75" customHeight="1" x14ac:dyDescent="0.3">
      <c r="A54" s="36" t="s">
        <v>84</v>
      </c>
      <c r="B54" s="36" t="s">
        <v>96</v>
      </c>
      <c r="C54" s="37">
        <v>9920026100</v>
      </c>
      <c r="D54" s="47"/>
      <c r="E54" s="41" t="s">
        <v>14</v>
      </c>
      <c r="F54" s="42">
        <f t="shared" si="5"/>
        <v>550</v>
      </c>
      <c r="G54" s="42">
        <f t="shared" si="5"/>
        <v>0</v>
      </c>
      <c r="H54" s="26">
        <f t="shared" si="2"/>
        <v>0</v>
      </c>
    </row>
    <row r="55" spans="1:8" x14ac:dyDescent="0.3">
      <c r="A55" s="36" t="s">
        <v>84</v>
      </c>
      <c r="B55" s="36" t="s">
        <v>96</v>
      </c>
      <c r="C55" s="37">
        <v>9920026100</v>
      </c>
      <c r="D55" s="36" t="s">
        <v>82</v>
      </c>
      <c r="E55" s="46" t="s">
        <v>83</v>
      </c>
      <c r="F55" s="42">
        <f>500+100-50</f>
        <v>550</v>
      </c>
      <c r="G55" s="26">
        <v>0</v>
      </c>
      <c r="H55" s="26">
        <f t="shared" si="2"/>
        <v>0</v>
      </c>
    </row>
    <row r="56" spans="1:8" x14ac:dyDescent="0.3">
      <c r="A56" s="33" t="s">
        <v>84</v>
      </c>
      <c r="B56" s="33" t="s">
        <v>13</v>
      </c>
      <c r="C56" s="58"/>
      <c r="D56" s="58"/>
      <c r="E56" s="59" t="s">
        <v>91</v>
      </c>
      <c r="F56" s="35">
        <f>F57+F68</f>
        <v>65876.799999999988</v>
      </c>
      <c r="G56" s="35">
        <f>G57+G68</f>
        <v>40179.300000000003</v>
      </c>
      <c r="H56" s="26">
        <f t="shared" si="2"/>
        <v>61</v>
      </c>
    </row>
    <row r="57" spans="1:8" ht="79.2" x14ac:dyDescent="0.3">
      <c r="A57" s="36" t="s">
        <v>84</v>
      </c>
      <c r="B57" s="36" t="s">
        <v>13</v>
      </c>
      <c r="C57" s="60" t="s">
        <v>68</v>
      </c>
      <c r="D57" s="36"/>
      <c r="E57" s="61" t="s">
        <v>307</v>
      </c>
      <c r="F57" s="62">
        <f>F58</f>
        <v>27393.5</v>
      </c>
      <c r="G57" s="62">
        <f>G58</f>
        <v>22318.6</v>
      </c>
      <c r="H57" s="26">
        <f t="shared" si="2"/>
        <v>81.5</v>
      </c>
    </row>
    <row r="58" spans="1:8" ht="40.200000000000003" x14ac:dyDescent="0.3">
      <c r="A58" s="36" t="s">
        <v>84</v>
      </c>
      <c r="B58" s="36" t="s">
        <v>13</v>
      </c>
      <c r="C58" s="63" t="s">
        <v>69</v>
      </c>
      <c r="D58" s="36"/>
      <c r="E58" s="44" t="s">
        <v>139</v>
      </c>
      <c r="F58" s="64">
        <f>F59+F61+F63+F65</f>
        <v>27393.5</v>
      </c>
      <c r="G58" s="64">
        <f>G59+G61+G63+G65</f>
        <v>22318.6</v>
      </c>
      <c r="H58" s="26">
        <f t="shared" si="2"/>
        <v>81.5</v>
      </c>
    </row>
    <row r="59" spans="1:8" ht="40.200000000000003" x14ac:dyDescent="0.3">
      <c r="A59" s="36" t="s">
        <v>84</v>
      </c>
      <c r="B59" s="36" t="s">
        <v>13</v>
      </c>
      <c r="C59" s="48" t="s">
        <v>308</v>
      </c>
      <c r="D59" s="36"/>
      <c r="E59" s="65" t="s">
        <v>140</v>
      </c>
      <c r="F59" s="39">
        <f>F60</f>
        <v>290</v>
      </c>
      <c r="G59" s="39">
        <f>G60</f>
        <v>124.5</v>
      </c>
      <c r="H59" s="26">
        <f t="shared" si="2"/>
        <v>42.9</v>
      </c>
    </row>
    <row r="60" spans="1:8" ht="39.6" x14ac:dyDescent="0.3">
      <c r="A60" s="36" t="s">
        <v>84</v>
      </c>
      <c r="B60" s="36" t="s">
        <v>13</v>
      </c>
      <c r="C60" s="48" t="s">
        <v>308</v>
      </c>
      <c r="D60" s="48" t="s">
        <v>213</v>
      </c>
      <c r="E60" s="46" t="s">
        <v>214</v>
      </c>
      <c r="F60" s="39">
        <f>250+40</f>
        <v>290</v>
      </c>
      <c r="G60" s="26">
        <v>124.5</v>
      </c>
      <c r="H60" s="26">
        <f t="shared" si="2"/>
        <v>42.9</v>
      </c>
    </row>
    <row r="61" spans="1:8" ht="53.4" x14ac:dyDescent="0.3">
      <c r="A61" s="36" t="s">
        <v>84</v>
      </c>
      <c r="B61" s="36" t="s">
        <v>13</v>
      </c>
      <c r="C61" s="66" t="s">
        <v>309</v>
      </c>
      <c r="D61" s="36"/>
      <c r="E61" s="65" t="s">
        <v>141</v>
      </c>
      <c r="F61" s="39">
        <f>F62</f>
        <v>100</v>
      </c>
      <c r="G61" s="39">
        <f>G62</f>
        <v>36</v>
      </c>
      <c r="H61" s="26">
        <f t="shared" si="2"/>
        <v>36</v>
      </c>
    </row>
    <row r="62" spans="1:8" ht="39.6" x14ac:dyDescent="0.3">
      <c r="A62" s="36" t="s">
        <v>84</v>
      </c>
      <c r="B62" s="36" t="s">
        <v>13</v>
      </c>
      <c r="C62" s="66" t="s">
        <v>309</v>
      </c>
      <c r="D62" s="48" t="s">
        <v>213</v>
      </c>
      <c r="E62" s="46" t="s">
        <v>214</v>
      </c>
      <c r="F62" s="39">
        <v>100</v>
      </c>
      <c r="G62" s="26">
        <v>36</v>
      </c>
      <c r="H62" s="26">
        <f t="shared" si="2"/>
        <v>36</v>
      </c>
    </row>
    <row r="63" spans="1:8" ht="79.8" x14ac:dyDescent="0.3">
      <c r="A63" s="36" t="s">
        <v>84</v>
      </c>
      <c r="B63" s="36" t="s">
        <v>13</v>
      </c>
      <c r="C63" s="66" t="s">
        <v>310</v>
      </c>
      <c r="D63" s="36"/>
      <c r="E63" s="65" t="s">
        <v>259</v>
      </c>
      <c r="F63" s="39">
        <f>F64</f>
        <v>330</v>
      </c>
      <c r="G63" s="26">
        <f>G64</f>
        <v>324.8</v>
      </c>
      <c r="H63" s="26">
        <f t="shared" si="2"/>
        <v>98.4</v>
      </c>
    </row>
    <row r="64" spans="1:8" ht="39.6" x14ac:dyDescent="0.3">
      <c r="A64" s="36" t="s">
        <v>84</v>
      </c>
      <c r="B64" s="36" t="s">
        <v>13</v>
      </c>
      <c r="C64" s="66" t="s">
        <v>310</v>
      </c>
      <c r="D64" s="48" t="s">
        <v>213</v>
      </c>
      <c r="E64" s="46" t="s">
        <v>214</v>
      </c>
      <c r="F64" s="39">
        <v>330</v>
      </c>
      <c r="G64" s="26">
        <v>324.8</v>
      </c>
      <c r="H64" s="26">
        <f t="shared" si="2"/>
        <v>98.4</v>
      </c>
    </row>
    <row r="65" spans="1:8" ht="40.200000000000003" x14ac:dyDescent="0.3">
      <c r="A65" s="36" t="s">
        <v>84</v>
      </c>
      <c r="B65" s="36" t="s">
        <v>13</v>
      </c>
      <c r="C65" s="67">
        <v>310223174</v>
      </c>
      <c r="D65" s="36"/>
      <c r="E65" s="65" t="s">
        <v>142</v>
      </c>
      <c r="F65" s="39">
        <f>SUM(F66:F67)</f>
        <v>26673.5</v>
      </c>
      <c r="G65" s="39">
        <f>SUM(G66:G67)</f>
        <v>21833.3</v>
      </c>
      <c r="H65" s="26">
        <f t="shared" si="2"/>
        <v>81.900000000000006</v>
      </c>
    </row>
    <row r="66" spans="1:8" ht="39.6" x14ac:dyDescent="0.3">
      <c r="A66" s="36" t="s">
        <v>84</v>
      </c>
      <c r="B66" s="36" t="s">
        <v>13</v>
      </c>
      <c r="C66" s="67">
        <v>310223174</v>
      </c>
      <c r="D66" s="48" t="s">
        <v>213</v>
      </c>
      <c r="E66" s="46" t="s">
        <v>214</v>
      </c>
      <c r="F66" s="39">
        <f>9373.3+1497.8+15466.2+97.4+222.5</f>
        <v>26657.200000000001</v>
      </c>
      <c r="G66" s="26">
        <v>21817</v>
      </c>
      <c r="H66" s="26">
        <f t="shared" si="2"/>
        <v>81.8</v>
      </c>
    </row>
    <row r="67" spans="1:8" x14ac:dyDescent="0.3">
      <c r="A67" s="36" t="s">
        <v>84</v>
      </c>
      <c r="B67" s="36" t="s">
        <v>13</v>
      </c>
      <c r="C67" s="67">
        <v>310223174</v>
      </c>
      <c r="D67" s="48" t="s">
        <v>119</v>
      </c>
      <c r="E67" s="46" t="s">
        <v>120</v>
      </c>
      <c r="F67" s="39">
        <v>16.3</v>
      </c>
      <c r="G67" s="26">
        <v>16.3</v>
      </c>
      <c r="H67" s="26">
        <f t="shared" si="2"/>
        <v>100</v>
      </c>
    </row>
    <row r="68" spans="1:8" ht="26.4" x14ac:dyDescent="0.3">
      <c r="A68" s="68" t="s">
        <v>84</v>
      </c>
      <c r="B68" s="68" t="s">
        <v>13</v>
      </c>
      <c r="C68" s="69">
        <v>9900000000</v>
      </c>
      <c r="D68" s="68"/>
      <c r="E68" s="70" t="s">
        <v>126</v>
      </c>
      <c r="F68" s="62">
        <f>F69+F78+F73</f>
        <v>38483.299999999996</v>
      </c>
      <c r="G68" s="62">
        <f>G69+G78+G73</f>
        <v>17860.7</v>
      </c>
      <c r="H68" s="26">
        <f t="shared" si="2"/>
        <v>46.4</v>
      </c>
    </row>
    <row r="69" spans="1:8" ht="27" x14ac:dyDescent="0.3">
      <c r="A69" s="36" t="s">
        <v>84</v>
      </c>
      <c r="B69" s="36" t="s">
        <v>13</v>
      </c>
      <c r="C69" s="37">
        <v>9930000000</v>
      </c>
      <c r="D69" s="36"/>
      <c r="E69" s="49" t="s">
        <v>38</v>
      </c>
      <c r="F69" s="42">
        <f>F70</f>
        <v>239.6</v>
      </c>
      <c r="G69" s="42">
        <f>G70</f>
        <v>83.5</v>
      </c>
      <c r="H69" s="26">
        <f t="shared" si="2"/>
        <v>34.799999999999997</v>
      </c>
    </row>
    <row r="70" spans="1:8" ht="40.200000000000003" x14ac:dyDescent="0.3">
      <c r="A70" s="36" t="s">
        <v>84</v>
      </c>
      <c r="B70" s="36" t="s">
        <v>13</v>
      </c>
      <c r="C70" s="37">
        <v>9930010540</v>
      </c>
      <c r="D70" s="36"/>
      <c r="E70" s="49" t="s">
        <v>18</v>
      </c>
      <c r="F70" s="42">
        <f>F71+F72</f>
        <v>239.6</v>
      </c>
      <c r="G70" s="42">
        <f>G71+G72</f>
        <v>83.5</v>
      </c>
      <c r="H70" s="26">
        <f t="shared" si="2"/>
        <v>34.799999999999997</v>
      </c>
    </row>
    <row r="71" spans="1:8" ht="26.25" customHeight="1" x14ac:dyDescent="0.3">
      <c r="A71" s="36" t="s">
        <v>84</v>
      </c>
      <c r="B71" s="36" t="s">
        <v>13</v>
      </c>
      <c r="C71" s="37">
        <v>9930010540</v>
      </c>
      <c r="D71" s="36" t="s">
        <v>61</v>
      </c>
      <c r="E71" s="50" t="s">
        <v>62</v>
      </c>
      <c r="F71" s="42">
        <v>217.7</v>
      </c>
      <c r="G71" s="26">
        <v>71.5</v>
      </c>
      <c r="H71" s="26">
        <f t="shared" si="2"/>
        <v>32.799999999999997</v>
      </c>
    </row>
    <row r="72" spans="1:8" ht="39.6" x14ac:dyDescent="0.3">
      <c r="A72" s="36" t="s">
        <v>84</v>
      </c>
      <c r="B72" s="36" t="s">
        <v>13</v>
      </c>
      <c r="C72" s="37">
        <v>9930010540</v>
      </c>
      <c r="D72" s="48" t="s">
        <v>213</v>
      </c>
      <c r="E72" s="46" t="s">
        <v>214</v>
      </c>
      <c r="F72" s="42">
        <v>21.9</v>
      </c>
      <c r="G72" s="26">
        <v>12</v>
      </c>
      <c r="H72" s="26">
        <f t="shared" si="2"/>
        <v>54.8</v>
      </c>
    </row>
    <row r="73" spans="1:8" ht="27" x14ac:dyDescent="0.3">
      <c r="A73" s="36" t="s">
        <v>84</v>
      </c>
      <c r="B73" s="36" t="s">
        <v>13</v>
      </c>
      <c r="C73" s="36" t="s">
        <v>24</v>
      </c>
      <c r="D73" s="36"/>
      <c r="E73" s="41" t="s">
        <v>36</v>
      </c>
      <c r="F73" s="42">
        <f>F74</f>
        <v>2533.6999999999998</v>
      </c>
      <c r="G73" s="42">
        <f>G74</f>
        <v>1908.3</v>
      </c>
      <c r="H73" s="26">
        <f t="shared" si="2"/>
        <v>75.3</v>
      </c>
    </row>
    <row r="74" spans="1:8" ht="27" x14ac:dyDescent="0.3">
      <c r="A74" s="36" t="s">
        <v>84</v>
      </c>
      <c r="B74" s="36" t="s">
        <v>13</v>
      </c>
      <c r="C74" s="48" t="s">
        <v>311</v>
      </c>
      <c r="D74" s="36"/>
      <c r="E74" s="41" t="s">
        <v>37</v>
      </c>
      <c r="F74" s="42">
        <f>SUM(F75:F77)</f>
        <v>2533.6999999999998</v>
      </c>
      <c r="G74" s="42">
        <f>SUM(G75:G77)</f>
        <v>1908.3</v>
      </c>
      <c r="H74" s="26">
        <f t="shared" ref="H74:H123" si="6">ROUND((G74/F74*100),1)</f>
        <v>75.3</v>
      </c>
    </row>
    <row r="75" spans="1:8" ht="39.6" x14ac:dyDescent="0.3">
      <c r="A75" s="36" t="s">
        <v>84</v>
      </c>
      <c r="B75" s="36" t="s">
        <v>13</v>
      </c>
      <c r="C75" s="48" t="s">
        <v>311</v>
      </c>
      <c r="D75" s="48" t="s">
        <v>213</v>
      </c>
      <c r="E75" s="46" t="s">
        <v>214</v>
      </c>
      <c r="F75" s="42">
        <f>242+70</f>
        <v>312</v>
      </c>
      <c r="G75" s="26">
        <v>109.6</v>
      </c>
      <c r="H75" s="26">
        <f t="shared" si="6"/>
        <v>35.1</v>
      </c>
    </row>
    <row r="76" spans="1:8" x14ac:dyDescent="0.3">
      <c r="A76" s="36" t="s">
        <v>84</v>
      </c>
      <c r="B76" s="36" t="s">
        <v>13</v>
      </c>
      <c r="C76" s="48" t="s">
        <v>311</v>
      </c>
      <c r="D76" s="36" t="s">
        <v>79</v>
      </c>
      <c r="E76" s="46" t="s">
        <v>80</v>
      </c>
      <c r="F76" s="42">
        <v>426</v>
      </c>
      <c r="G76" s="26">
        <v>20</v>
      </c>
      <c r="H76" s="26">
        <f t="shared" si="6"/>
        <v>4.7</v>
      </c>
    </row>
    <row r="77" spans="1:8" x14ac:dyDescent="0.3">
      <c r="A77" s="36" t="s">
        <v>84</v>
      </c>
      <c r="B77" s="36" t="s">
        <v>13</v>
      </c>
      <c r="C77" s="48" t="s">
        <v>311</v>
      </c>
      <c r="D77" s="48" t="s">
        <v>119</v>
      </c>
      <c r="E77" s="46" t="s">
        <v>120</v>
      </c>
      <c r="F77" s="42">
        <f>602+893.7+210+90</f>
        <v>1795.7</v>
      </c>
      <c r="G77" s="26">
        <v>1778.7</v>
      </c>
      <c r="H77" s="26">
        <f t="shared" si="6"/>
        <v>99.1</v>
      </c>
    </row>
    <row r="78" spans="1:8" ht="27" x14ac:dyDescent="0.3">
      <c r="A78" s="36" t="s">
        <v>84</v>
      </c>
      <c r="B78" s="36" t="s">
        <v>13</v>
      </c>
      <c r="C78" s="48" t="s">
        <v>171</v>
      </c>
      <c r="D78" s="36"/>
      <c r="E78" s="41" t="s">
        <v>172</v>
      </c>
      <c r="F78" s="42">
        <f>F79+F82</f>
        <v>35710</v>
      </c>
      <c r="G78" s="42">
        <f>G79+G82</f>
        <v>15868.9</v>
      </c>
      <c r="H78" s="26">
        <f t="shared" si="6"/>
        <v>44.4</v>
      </c>
    </row>
    <row r="79" spans="1:8" ht="39.6" x14ac:dyDescent="0.3">
      <c r="A79" s="36" t="s">
        <v>84</v>
      </c>
      <c r="B79" s="36" t="s">
        <v>13</v>
      </c>
      <c r="C79" s="47" t="s">
        <v>312</v>
      </c>
      <c r="D79" s="71"/>
      <c r="E79" s="40" t="s">
        <v>219</v>
      </c>
      <c r="F79" s="39">
        <f>SUM(F80:F81)</f>
        <v>9871</v>
      </c>
      <c r="G79" s="39">
        <f>SUM(G80:G81)</f>
        <v>5050.5</v>
      </c>
      <c r="H79" s="26">
        <f t="shared" si="6"/>
        <v>51.2</v>
      </c>
    </row>
    <row r="80" spans="1:8" s="24" customFormat="1" ht="26.4" x14ac:dyDescent="0.3">
      <c r="A80" s="36" t="s">
        <v>84</v>
      </c>
      <c r="B80" s="36" t="s">
        <v>13</v>
      </c>
      <c r="C80" s="47" t="s">
        <v>312</v>
      </c>
      <c r="D80" s="36" t="s">
        <v>63</v>
      </c>
      <c r="E80" s="50" t="s">
        <v>118</v>
      </c>
      <c r="F80" s="39">
        <f>8277.8+830.1</f>
        <v>9107.9</v>
      </c>
      <c r="G80" s="27">
        <v>4778.5</v>
      </c>
      <c r="H80" s="26">
        <f t="shared" si="6"/>
        <v>52.5</v>
      </c>
    </row>
    <row r="81" spans="1:8" ht="39.6" x14ac:dyDescent="0.3">
      <c r="A81" s="36" t="s">
        <v>84</v>
      </c>
      <c r="B81" s="36" t="s">
        <v>13</v>
      </c>
      <c r="C81" s="47" t="s">
        <v>312</v>
      </c>
      <c r="D81" s="48" t="s">
        <v>213</v>
      </c>
      <c r="E81" s="46" t="s">
        <v>214</v>
      </c>
      <c r="F81" s="39">
        <v>763.1</v>
      </c>
      <c r="G81" s="26">
        <v>272</v>
      </c>
      <c r="H81" s="26">
        <f t="shared" si="6"/>
        <v>35.6</v>
      </c>
    </row>
    <row r="82" spans="1:8" ht="52.8" x14ac:dyDescent="0.3">
      <c r="A82" s="36" t="s">
        <v>84</v>
      </c>
      <c r="B82" s="36" t="s">
        <v>13</v>
      </c>
      <c r="C82" s="47" t="s">
        <v>313</v>
      </c>
      <c r="D82" s="71"/>
      <c r="E82" s="40" t="s">
        <v>314</v>
      </c>
      <c r="F82" s="39">
        <f>SUM(F83:F85)</f>
        <v>25838.999999999996</v>
      </c>
      <c r="G82" s="39">
        <f>SUM(G83:G85)</f>
        <v>10818.4</v>
      </c>
      <c r="H82" s="26">
        <f t="shared" si="6"/>
        <v>41.9</v>
      </c>
    </row>
    <row r="83" spans="1:8" ht="26.4" x14ac:dyDescent="0.3">
      <c r="A83" s="36" t="s">
        <v>84</v>
      </c>
      <c r="B83" s="36" t="s">
        <v>13</v>
      </c>
      <c r="C83" s="47" t="s">
        <v>313</v>
      </c>
      <c r="D83" s="36" t="s">
        <v>63</v>
      </c>
      <c r="E83" s="50" t="s">
        <v>118</v>
      </c>
      <c r="F83" s="39">
        <f>9754.4+975.4-235</f>
        <v>10494.8</v>
      </c>
      <c r="G83" s="26">
        <v>4732.5</v>
      </c>
      <c r="H83" s="26">
        <f t="shared" si="6"/>
        <v>45.1</v>
      </c>
    </row>
    <row r="84" spans="1:8" ht="39.6" x14ac:dyDescent="0.3">
      <c r="A84" s="36" t="s">
        <v>84</v>
      </c>
      <c r="B84" s="36" t="s">
        <v>13</v>
      </c>
      <c r="C84" s="47" t="s">
        <v>313</v>
      </c>
      <c r="D84" s="48" t="s">
        <v>213</v>
      </c>
      <c r="E84" s="46" t="s">
        <v>214</v>
      </c>
      <c r="F84" s="39">
        <v>15223.4</v>
      </c>
      <c r="G84" s="26">
        <v>6064.6</v>
      </c>
      <c r="H84" s="26">
        <f t="shared" si="6"/>
        <v>39.799999999999997</v>
      </c>
    </row>
    <row r="85" spans="1:8" x14ac:dyDescent="0.3">
      <c r="A85" s="36" t="s">
        <v>84</v>
      </c>
      <c r="B85" s="36" t="s">
        <v>13</v>
      </c>
      <c r="C85" s="47" t="s">
        <v>313</v>
      </c>
      <c r="D85" s="48" t="s">
        <v>119</v>
      </c>
      <c r="E85" s="46" t="s">
        <v>120</v>
      </c>
      <c r="F85" s="54">
        <v>120.8</v>
      </c>
      <c r="G85" s="26">
        <v>21.3</v>
      </c>
      <c r="H85" s="26">
        <f t="shared" si="6"/>
        <v>17.600000000000001</v>
      </c>
    </row>
    <row r="86" spans="1:8" ht="27.75" customHeight="1" x14ac:dyDescent="0.3">
      <c r="A86" s="29" t="s">
        <v>87</v>
      </c>
      <c r="B86" s="72"/>
      <c r="C86" s="72"/>
      <c r="D86" s="72"/>
      <c r="E86" s="73" t="s">
        <v>92</v>
      </c>
      <c r="F86" s="32">
        <f>F87+F93+F119</f>
        <v>9582.2999999999993</v>
      </c>
      <c r="G86" s="32">
        <f>G87+G93+G119</f>
        <v>3618.7999999999997</v>
      </c>
      <c r="H86" s="26">
        <f t="shared" si="6"/>
        <v>37.799999999999997</v>
      </c>
    </row>
    <row r="87" spans="1:8" x14ac:dyDescent="0.3">
      <c r="A87" s="74" t="s">
        <v>87</v>
      </c>
      <c r="B87" s="74" t="s">
        <v>88</v>
      </c>
      <c r="C87" s="74"/>
      <c r="D87" s="75"/>
      <c r="E87" s="34" t="s">
        <v>20</v>
      </c>
      <c r="F87" s="35">
        <f>F90</f>
        <v>1202</v>
      </c>
      <c r="G87" s="35">
        <f>G90</f>
        <v>611.6</v>
      </c>
      <c r="H87" s="26">
        <f t="shared" si="6"/>
        <v>50.9</v>
      </c>
    </row>
    <row r="88" spans="1:8" ht="26.4" x14ac:dyDescent="0.3">
      <c r="A88" s="36" t="s">
        <v>87</v>
      </c>
      <c r="B88" s="36" t="s">
        <v>88</v>
      </c>
      <c r="C88" s="37">
        <v>9900000000</v>
      </c>
      <c r="D88" s="75"/>
      <c r="E88" s="38" t="s">
        <v>126</v>
      </c>
      <c r="F88" s="39">
        <f t="shared" ref="F88:G89" si="7">F89</f>
        <v>1202</v>
      </c>
      <c r="G88" s="39">
        <f t="shared" si="7"/>
        <v>611.6</v>
      </c>
      <c r="H88" s="26">
        <f t="shared" si="6"/>
        <v>50.9</v>
      </c>
    </row>
    <row r="89" spans="1:8" ht="27" x14ac:dyDescent="0.3">
      <c r="A89" s="36" t="s">
        <v>87</v>
      </c>
      <c r="B89" s="36" t="s">
        <v>88</v>
      </c>
      <c r="C89" s="37">
        <v>9930000000</v>
      </c>
      <c r="D89" s="36"/>
      <c r="E89" s="49" t="s">
        <v>38</v>
      </c>
      <c r="F89" s="39">
        <f t="shared" si="7"/>
        <v>1202</v>
      </c>
      <c r="G89" s="39">
        <f t="shared" si="7"/>
        <v>611.6</v>
      </c>
      <c r="H89" s="26">
        <f t="shared" si="6"/>
        <v>50.9</v>
      </c>
    </row>
    <row r="90" spans="1:8" ht="53.4" x14ac:dyDescent="0.3">
      <c r="A90" s="36" t="s">
        <v>87</v>
      </c>
      <c r="B90" s="36" t="s">
        <v>88</v>
      </c>
      <c r="C90" s="37">
        <v>9930059302</v>
      </c>
      <c r="D90" s="36"/>
      <c r="E90" s="41" t="s">
        <v>282</v>
      </c>
      <c r="F90" s="42">
        <f>SUM(F91:F92)</f>
        <v>1202</v>
      </c>
      <c r="G90" s="42">
        <f>SUM(G91:G92)</f>
        <v>611.6</v>
      </c>
      <c r="H90" s="26">
        <f t="shared" si="6"/>
        <v>50.9</v>
      </c>
    </row>
    <row r="91" spans="1:8" ht="25.5" customHeight="1" x14ac:dyDescent="0.3">
      <c r="A91" s="36" t="s">
        <v>87</v>
      </c>
      <c r="B91" s="36" t="s">
        <v>88</v>
      </c>
      <c r="C91" s="37">
        <v>9930059302</v>
      </c>
      <c r="D91" s="36" t="s">
        <v>61</v>
      </c>
      <c r="E91" s="38" t="s">
        <v>62</v>
      </c>
      <c r="F91" s="42">
        <v>1136.9000000000001</v>
      </c>
      <c r="G91" s="26">
        <v>583.4</v>
      </c>
      <c r="H91" s="26">
        <f t="shared" si="6"/>
        <v>51.3</v>
      </c>
    </row>
    <row r="92" spans="1:8" ht="39.6" x14ac:dyDescent="0.3">
      <c r="A92" s="36" t="s">
        <v>87</v>
      </c>
      <c r="B92" s="36" t="s">
        <v>88</v>
      </c>
      <c r="C92" s="37">
        <v>9930059302</v>
      </c>
      <c r="D92" s="48" t="s">
        <v>213</v>
      </c>
      <c r="E92" s="46" t="s">
        <v>214</v>
      </c>
      <c r="F92" s="42">
        <v>65.099999999999994</v>
      </c>
      <c r="G92" s="26">
        <v>28.2</v>
      </c>
      <c r="H92" s="26">
        <f t="shared" si="6"/>
        <v>43.3</v>
      </c>
    </row>
    <row r="93" spans="1:8" ht="53.4" x14ac:dyDescent="0.3">
      <c r="A93" s="74" t="s">
        <v>87</v>
      </c>
      <c r="B93" s="74" t="s">
        <v>104</v>
      </c>
      <c r="C93" s="74"/>
      <c r="D93" s="75"/>
      <c r="E93" s="44" t="s">
        <v>299</v>
      </c>
      <c r="F93" s="35">
        <f>F94+F114</f>
        <v>8346.2999999999993</v>
      </c>
      <c r="G93" s="35">
        <f>G94+G114</f>
        <v>2997.7</v>
      </c>
      <c r="H93" s="26">
        <f t="shared" si="6"/>
        <v>35.9</v>
      </c>
    </row>
    <row r="94" spans="1:8" ht="93" x14ac:dyDescent="0.3">
      <c r="A94" s="47" t="s">
        <v>87</v>
      </c>
      <c r="B94" s="47" t="s">
        <v>104</v>
      </c>
      <c r="C94" s="60" t="s">
        <v>48</v>
      </c>
      <c r="D94" s="36"/>
      <c r="E94" s="76" t="s">
        <v>315</v>
      </c>
      <c r="F94" s="77">
        <f>F95+F100+F104+F109</f>
        <v>2334.7999999999997</v>
      </c>
      <c r="G94" s="77">
        <f>G95+G100+G104+G109</f>
        <v>516.69999999999993</v>
      </c>
      <c r="H94" s="26">
        <f t="shared" si="6"/>
        <v>22.1</v>
      </c>
    </row>
    <row r="95" spans="1:8" ht="53.4" x14ac:dyDescent="0.3">
      <c r="A95" s="47" t="s">
        <v>87</v>
      </c>
      <c r="B95" s="47" t="s">
        <v>104</v>
      </c>
      <c r="C95" s="63" t="s">
        <v>49</v>
      </c>
      <c r="D95" s="36"/>
      <c r="E95" s="44" t="s">
        <v>183</v>
      </c>
      <c r="F95" s="64">
        <f>F96+F98</f>
        <v>337.4</v>
      </c>
      <c r="G95" s="64">
        <f>G96+G98</f>
        <v>229.7</v>
      </c>
      <c r="H95" s="26">
        <f t="shared" si="6"/>
        <v>68.099999999999994</v>
      </c>
    </row>
    <row r="96" spans="1:8" ht="27" x14ac:dyDescent="0.3">
      <c r="A96" s="47" t="s">
        <v>87</v>
      </c>
      <c r="B96" s="47" t="s">
        <v>104</v>
      </c>
      <c r="C96" s="67">
        <v>1110123305</v>
      </c>
      <c r="D96" s="36"/>
      <c r="E96" s="41" t="s">
        <v>220</v>
      </c>
      <c r="F96" s="42">
        <f>F97</f>
        <v>297.39999999999998</v>
      </c>
      <c r="G96" s="42">
        <f>G97</f>
        <v>229.7</v>
      </c>
      <c r="H96" s="26">
        <f t="shared" si="6"/>
        <v>77.2</v>
      </c>
    </row>
    <row r="97" spans="1:8" s="24" customFormat="1" ht="39.6" x14ac:dyDescent="0.3">
      <c r="A97" s="47" t="s">
        <v>87</v>
      </c>
      <c r="B97" s="47" t="s">
        <v>104</v>
      </c>
      <c r="C97" s="67">
        <v>1110123305</v>
      </c>
      <c r="D97" s="48" t="s">
        <v>213</v>
      </c>
      <c r="E97" s="46" t="s">
        <v>214</v>
      </c>
      <c r="F97" s="42">
        <v>297.39999999999998</v>
      </c>
      <c r="G97" s="26">
        <v>229.7</v>
      </c>
      <c r="H97" s="26">
        <f t="shared" si="6"/>
        <v>77.2</v>
      </c>
    </row>
    <row r="98" spans="1:8" s="24" customFormat="1" ht="53.4" x14ac:dyDescent="0.3">
      <c r="A98" s="47" t="s">
        <v>87</v>
      </c>
      <c r="B98" s="47" t="s">
        <v>104</v>
      </c>
      <c r="C98" s="67">
        <v>1110123310</v>
      </c>
      <c r="D98" s="36"/>
      <c r="E98" s="41" t="s">
        <v>186</v>
      </c>
      <c r="F98" s="39">
        <f>F99</f>
        <v>40</v>
      </c>
      <c r="G98" s="39">
        <f>G99</f>
        <v>0</v>
      </c>
      <c r="H98" s="27">
        <f t="shared" si="6"/>
        <v>0</v>
      </c>
    </row>
    <row r="99" spans="1:8" s="24" customFormat="1" ht="39.6" x14ac:dyDescent="0.3">
      <c r="A99" s="47" t="s">
        <v>87</v>
      </c>
      <c r="B99" s="47" t="s">
        <v>104</v>
      </c>
      <c r="C99" s="67">
        <v>1110123310</v>
      </c>
      <c r="D99" s="48" t="s">
        <v>213</v>
      </c>
      <c r="E99" s="46" t="s">
        <v>214</v>
      </c>
      <c r="F99" s="39">
        <v>40</v>
      </c>
      <c r="G99" s="26">
        <v>0</v>
      </c>
      <c r="H99" s="26">
        <f t="shared" si="6"/>
        <v>0</v>
      </c>
    </row>
    <row r="100" spans="1:8" s="24" customFormat="1" ht="40.200000000000003" x14ac:dyDescent="0.3">
      <c r="A100" s="47" t="s">
        <v>87</v>
      </c>
      <c r="B100" s="47" t="s">
        <v>104</v>
      </c>
      <c r="C100" s="63" t="s">
        <v>50</v>
      </c>
      <c r="D100" s="36"/>
      <c r="E100" s="44" t="s">
        <v>179</v>
      </c>
      <c r="F100" s="64">
        <f>F101</f>
        <v>1972.3999999999999</v>
      </c>
      <c r="G100" s="64">
        <f>G101</f>
        <v>280.2</v>
      </c>
      <c r="H100" s="26">
        <f t="shared" si="6"/>
        <v>14.2</v>
      </c>
    </row>
    <row r="101" spans="1:8" s="24" customFormat="1" ht="39.6" x14ac:dyDescent="0.3">
      <c r="A101" s="47" t="s">
        <v>87</v>
      </c>
      <c r="B101" s="47" t="s">
        <v>104</v>
      </c>
      <c r="C101" s="67">
        <v>1120123315</v>
      </c>
      <c r="D101" s="36"/>
      <c r="E101" s="46" t="s">
        <v>316</v>
      </c>
      <c r="F101" s="39">
        <f>SUM(F102:F103)</f>
        <v>1972.3999999999999</v>
      </c>
      <c r="G101" s="39">
        <f>SUM(G102:G103)</f>
        <v>280.2</v>
      </c>
      <c r="H101" s="26">
        <f t="shared" si="6"/>
        <v>14.2</v>
      </c>
    </row>
    <row r="102" spans="1:8" s="24" customFormat="1" ht="26.4" x14ac:dyDescent="0.3">
      <c r="A102" s="47" t="s">
        <v>87</v>
      </c>
      <c r="B102" s="47" t="s">
        <v>104</v>
      </c>
      <c r="C102" s="67">
        <v>1120123315</v>
      </c>
      <c r="D102" s="48" t="s">
        <v>63</v>
      </c>
      <c r="E102" s="38" t="s">
        <v>118</v>
      </c>
      <c r="F102" s="39">
        <v>118.1</v>
      </c>
      <c r="G102" s="26">
        <v>3</v>
      </c>
      <c r="H102" s="26">
        <f t="shared" si="6"/>
        <v>2.5</v>
      </c>
    </row>
    <row r="103" spans="1:8" s="24" customFormat="1" ht="39.6" x14ac:dyDescent="0.3">
      <c r="A103" s="47" t="s">
        <v>87</v>
      </c>
      <c r="B103" s="47" t="s">
        <v>104</v>
      </c>
      <c r="C103" s="67">
        <v>1120123315</v>
      </c>
      <c r="D103" s="48" t="s">
        <v>213</v>
      </c>
      <c r="E103" s="46" t="s">
        <v>214</v>
      </c>
      <c r="F103" s="39">
        <v>1854.3</v>
      </c>
      <c r="G103" s="26">
        <v>277.2</v>
      </c>
      <c r="H103" s="26">
        <f t="shared" si="6"/>
        <v>14.9</v>
      </c>
    </row>
    <row r="104" spans="1:8" s="24" customFormat="1" ht="53.4" x14ac:dyDescent="0.3">
      <c r="A104" s="47" t="s">
        <v>87</v>
      </c>
      <c r="B104" s="47" t="s">
        <v>104</v>
      </c>
      <c r="C104" s="63" t="s">
        <v>51</v>
      </c>
      <c r="D104" s="36"/>
      <c r="E104" s="44" t="s">
        <v>221</v>
      </c>
      <c r="F104" s="64">
        <f>F105+F107</f>
        <v>10</v>
      </c>
      <c r="G104" s="64">
        <f>G105+G107</f>
        <v>6.8</v>
      </c>
      <c r="H104" s="26">
        <f t="shared" si="6"/>
        <v>68</v>
      </c>
    </row>
    <row r="105" spans="1:8" s="24" customFormat="1" ht="26.4" x14ac:dyDescent="0.3">
      <c r="A105" s="47" t="s">
        <v>87</v>
      </c>
      <c r="B105" s="47" t="s">
        <v>104</v>
      </c>
      <c r="C105" s="67">
        <v>1130123320</v>
      </c>
      <c r="D105" s="36"/>
      <c r="E105" s="46" t="s">
        <v>222</v>
      </c>
      <c r="F105" s="39">
        <f>F106</f>
        <v>8</v>
      </c>
      <c r="G105" s="39">
        <f>G106</f>
        <v>6.8</v>
      </c>
      <c r="H105" s="26">
        <f t="shared" si="6"/>
        <v>85</v>
      </c>
    </row>
    <row r="106" spans="1:8" s="24" customFormat="1" ht="39.6" x14ac:dyDescent="0.3">
      <c r="A106" s="47" t="s">
        <v>87</v>
      </c>
      <c r="B106" s="47" t="s">
        <v>104</v>
      </c>
      <c r="C106" s="67">
        <v>1130123320</v>
      </c>
      <c r="D106" s="48" t="s">
        <v>213</v>
      </c>
      <c r="E106" s="46" t="s">
        <v>214</v>
      </c>
      <c r="F106" s="39">
        <v>8</v>
      </c>
      <c r="G106" s="26">
        <v>6.8</v>
      </c>
      <c r="H106" s="26">
        <f t="shared" si="6"/>
        <v>85</v>
      </c>
    </row>
    <row r="107" spans="1:8" s="24" customFormat="1" ht="39.6" x14ac:dyDescent="0.3">
      <c r="A107" s="47" t="s">
        <v>87</v>
      </c>
      <c r="B107" s="47" t="s">
        <v>104</v>
      </c>
      <c r="C107" s="67">
        <v>1130123325</v>
      </c>
      <c r="D107" s="36"/>
      <c r="E107" s="46" t="s">
        <v>223</v>
      </c>
      <c r="F107" s="39">
        <f>F108</f>
        <v>2</v>
      </c>
      <c r="G107" s="39">
        <f>G108</f>
        <v>0</v>
      </c>
      <c r="H107" s="26">
        <f t="shared" si="6"/>
        <v>0</v>
      </c>
    </row>
    <row r="108" spans="1:8" s="24" customFormat="1" ht="39.6" x14ac:dyDescent="0.3">
      <c r="A108" s="47" t="s">
        <v>87</v>
      </c>
      <c r="B108" s="47" t="s">
        <v>104</v>
      </c>
      <c r="C108" s="67">
        <v>1130123325</v>
      </c>
      <c r="D108" s="48" t="s">
        <v>213</v>
      </c>
      <c r="E108" s="46" t="s">
        <v>214</v>
      </c>
      <c r="F108" s="39">
        <v>2</v>
      </c>
      <c r="G108" s="26">
        <v>0</v>
      </c>
      <c r="H108" s="26">
        <f t="shared" si="6"/>
        <v>0</v>
      </c>
    </row>
    <row r="109" spans="1:8" s="24" customFormat="1" ht="54.75" customHeight="1" x14ac:dyDescent="0.3">
      <c r="A109" s="47" t="s">
        <v>87</v>
      </c>
      <c r="B109" s="47" t="s">
        <v>104</v>
      </c>
      <c r="C109" s="63" t="s">
        <v>52</v>
      </c>
      <c r="D109" s="36"/>
      <c r="E109" s="44" t="s">
        <v>184</v>
      </c>
      <c r="F109" s="64">
        <f>F110+F112</f>
        <v>15</v>
      </c>
      <c r="G109" s="64">
        <f>G110+G112</f>
        <v>0</v>
      </c>
      <c r="H109" s="26">
        <f t="shared" si="6"/>
        <v>0</v>
      </c>
    </row>
    <row r="110" spans="1:8" s="24" customFormat="1" ht="26.4" x14ac:dyDescent="0.3">
      <c r="A110" s="47" t="s">
        <v>87</v>
      </c>
      <c r="B110" s="47" t="s">
        <v>104</v>
      </c>
      <c r="C110" s="67">
        <v>1140123330</v>
      </c>
      <c r="D110" s="36"/>
      <c r="E110" s="46" t="s">
        <v>317</v>
      </c>
      <c r="F110" s="39">
        <f>F111</f>
        <v>12</v>
      </c>
      <c r="G110" s="39">
        <f>G111</f>
        <v>0</v>
      </c>
      <c r="H110" s="26">
        <f t="shared" si="6"/>
        <v>0</v>
      </c>
    </row>
    <row r="111" spans="1:8" s="24" customFormat="1" ht="39.6" x14ac:dyDescent="0.3">
      <c r="A111" s="47" t="s">
        <v>87</v>
      </c>
      <c r="B111" s="47" t="s">
        <v>104</v>
      </c>
      <c r="C111" s="67">
        <v>1140123330</v>
      </c>
      <c r="D111" s="48" t="s">
        <v>213</v>
      </c>
      <c r="E111" s="46" t="s">
        <v>214</v>
      </c>
      <c r="F111" s="39">
        <v>12</v>
      </c>
      <c r="G111" s="39">
        <v>0</v>
      </c>
      <c r="H111" s="26">
        <f t="shared" si="6"/>
        <v>0</v>
      </c>
    </row>
    <row r="112" spans="1:8" s="24" customFormat="1" ht="39.6" x14ac:dyDescent="0.3">
      <c r="A112" s="47" t="s">
        <v>87</v>
      </c>
      <c r="B112" s="47" t="s">
        <v>104</v>
      </c>
      <c r="C112" s="67">
        <v>1140123335</v>
      </c>
      <c r="D112" s="36"/>
      <c r="E112" s="46" t="s">
        <v>224</v>
      </c>
      <c r="F112" s="39">
        <f>F113</f>
        <v>3</v>
      </c>
      <c r="G112" s="39">
        <f>G113</f>
        <v>0</v>
      </c>
      <c r="H112" s="26">
        <f t="shared" si="6"/>
        <v>0</v>
      </c>
    </row>
    <row r="113" spans="1:8" s="24" customFormat="1" ht="39.6" x14ac:dyDescent="0.3">
      <c r="A113" s="47" t="s">
        <v>87</v>
      </c>
      <c r="B113" s="47" t="s">
        <v>104</v>
      </c>
      <c r="C113" s="67">
        <v>1140123335</v>
      </c>
      <c r="D113" s="48" t="s">
        <v>213</v>
      </c>
      <c r="E113" s="46" t="s">
        <v>214</v>
      </c>
      <c r="F113" s="39">
        <v>3</v>
      </c>
      <c r="G113" s="26">
        <v>0</v>
      </c>
      <c r="H113" s="26">
        <f t="shared" si="6"/>
        <v>0</v>
      </c>
    </row>
    <row r="114" spans="1:8" s="24" customFormat="1" ht="26.4" x14ac:dyDescent="0.3">
      <c r="A114" s="78" t="s">
        <v>87</v>
      </c>
      <c r="B114" s="78" t="s">
        <v>104</v>
      </c>
      <c r="C114" s="60" t="s">
        <v>171</v>
      </c>
      <c r="D114" s="58"/>
      <c r="E114" s="70" t="s">
        <v>126</v>
      </c>
      <c r="F114" s="79">
        <f>F115</f>
        <v>6011.5</v>
      </c>
      <c r="G114" s="79">
        <f>G115</f>
        <v>2481</v>
      </c>
      <c r="H114" s="26">
        <f t="shared" si="6"/>
        <v>41.3</v>
      </c>
    </row>
    <row r="115" spans="1:8" s="24" customFormat="1" ht="52.8" x14ac:dyDescent="0.3">
      <c r="A115" s="47" t="s">
        <v>87</v>
      </c>
      <c r="B115" s="47" t="s">
        <v>104</v>
      </c>
      <c r="C115" s="47" t="s">
        <v>318</v>
      </c>
      <c r="D115" s="71"/>
      <c r="E115" s="40" t="s">
        <v>319</v>
      </c>
      <c r="F115" s="39">
        <f>SUM(F116:F118)</f>
        <v>6011.5</v>
      </c>
      <c r="G115" s="39">
        <f>SUM(G116:G118)</f>
        <v>2481</v>
      </c>
      <c r="H115" s="26">
        <f t="shared" si="6"/>
        <v>41.3</v>
      </c>
    </row>
    <row r="116" spans="1:8" s="24" customFormat="1" ht="26.4" x14ac:dyDescent="0.3">
      <c r="A116" s="47" t="s">
        <v>87</v>
      </c>
      <c r="B116" s="47" t="s">
        <v>104</v>
      </c>
      <c r="C116" s="47" t="s">
        <v>318</v>
      </c>
      <c r="D116" s="36" t="s">
        <v>63</v>
      </c>
      <c r="E116" s="50" t="s">
        <v>118</v>
      </c>
      <c r="F116" s="39">
        <f>4638.4+525</f>
        <v>5163.3999999999996</v>
      </c>
      <c r="G116" s="26">
        <v>2217.8000000000002</v>
      </c>
      <c r="H116" s="26">
        <f t="shared" si="6"/>
        <v>43</v>
      </c>
    </row>
    <row r="117" spans="1:8" s="24" customFormat="1" ht="39.6" x14ac:dyDescent="0.3">
      <c r="A117" s="47" t="s">
        <v>87</v>
      </c>
      <c r="B117" s="47" t="s">
        <v>104</v>
      </c>
      <c r="C117" s="47" t="s">
        <v>318</v>
      </c>
      <c r="D117" s="48" t="s">
        <v>213</v>
      </c>
      <c r="E117" s="46" t="s">
        <v>214</v>
      </c>
      <c r="F117" s="39">
        <v>843.1</v>
      </c>
      <c r="G117" s="26">
        <v>263.2</v>
      </c>
      <c r="H117" s="26">
        <f t="shared" si="6"/>
        <v>31.2</v>
      </c>
    </row>
    <row r="118" spans="1:8" s="24" customFormat="1" x14ac:dyDescent="0.3">
      <c r="A118" s="47" t="s">
        <v>87</v>
      </c>
      <c r="B118" s="47" t="s">
        <v>104</v>
      </c>
      <c r="C118" s="47" t="s">
        <v>318</v>
      </c>
      <c r="D118" s="48" t="s">
        <v>119</v>
      </c>
      <c r="E118" s="46" t="s">
        <v>120</v>
      </c>
      <c r="F118" s="39">
        <v>5</v>
      </c>
      <c r="G118" s="26">
        <v>0</v>
      </c>
      <c r="H118" s="26">
        <f t="shared" si="6"/>
        <v>0</v>
      </c>
    </row>
    <row r="119" spans="1:8" s="24" customFormat="1" ht="40.200000000000003" x14ac:dyDescent="0.3">
      <c r="A119" s="74" t="s">
        <v>87</v>
      </c>
      <c r="B119" s="74" t="s">
        <v>112</v>
      </c>
      <c r="C119" s="74"/>
      <c r="D119" s="75"/>
      <c r="E119" s="34" t="s">
        <v>22</v>
      </c>
      <c r="F119" s="35">
        <f>F120</f>
        <v>34</v>
      </c>
      <c r="G119" s="35">
        <f>G120</f>
        <v>9.5</v>
      </c>
      <c r="H119" s="26">
        <f t="shared" si="6"/>
        <v>27.9</v>
      </c>
    </row>
    <row r="120" spans="1:8" s="24" customFormat="1" ht="79.8" x14ac:dyDescent="0.3">
      <c r="A120" s="60" t="s">
        <v>87</v>
      </c>
      <c r="B120" s="60" t="s">
        <v>112</v>
      </c>
      <c r="C120" s="60" t="s">
        <v>70</v>
      </c>
      <c r="D120" s="36"/>
      <c r="E120" s="80" t="s">
        <v>320</v>
      </c>
      <c r="F120" s="62">
        <f t="shared" ref="F120:G122" si="8">F121</f>
        <v>34</v>
      </c>
      <c r="G120" s="62">
        <f t="shared" si="8"/>
        <v>9.5</v>
      </c>
      <c r="H120" s="26">
        <f t="shared" si="6"/>
        <v>27.9</v>
      </c>
    </row>
    <row r="121" spans="1:8" s="24" customFormat="1" ht="52.8" x14ac:dyDescent="0.3">
      <c r="A121" s="47" t="s">
        <v>87</v>
      </c>
      <c r="B121" s="47" t="s">
        <v>112</v>
      </c>
      <c r="C121" s="63" t="s">
        <v>71</v>
      </c>
      <c r="D121" s="36"/>
      <c r="E121" s="81" t="s">
        <v>168</v>
      </c>
      <c r="F121" s="82">
        <f t="shared" si="8"/>
        <v>34</v>
      </c>
      <c r="G121" s="82">
        <f t="shared" si="8"/>
        <v>9.5</v>
      </c>
      <c r="H121" s="26">
        <f t="shared" si="6"/>
        <v>27.9</v>
      </c>
    </row>
    <row r="122" spans="1:8" s="24" customFormat="1" ht="66" x14ac:dyDescent="0.3">
      <c r="A122" s="47" t="s">
        <v>87</v>
      </c>
      <c r="B122" s="47" t="s">
        <v>112</v>
      </c>
      <c r="C122" s="47" t="s">
        <v>321</v>
      </c>
      <c r="D122" s="36"/>
      <c r="E122" s="46" t="s">
        <v>260</v>
      </c>
      <c r="F122" s="39">
        <f t="shared" si="8"/>
        <v>34</v>
      </c>
      <c r="G122" s="39">
        <f t="shared" si="8"/>
        <v>9.5</v>
      </c>
      <c r="H122" s="26">
        <f t="shared" si="6"/>
        <v>27.9</v>
      </c>
    </row>
    <row r="123" spans="1:8" s="24" customFormat="1" ht="26.4" x14ac:dyDescent="0.3">
      <c r="A123" s="47" t="s">
        <v>87</v>
      </c>
      <c r="B123" s="47" t="s">
        <v>112</v>
      </c>
      <c r="C123" s="47" t="s">
        <v>321</v>
      </c>
      <c r="D123" s="48" t="s">
        <v>63</v>
      </c>
      <c r="E123" s="38" t="s">
        <v>118</v>
      </c>
      <c r="F123" s="39">
        <v>34</v>
      </c>
      <c r="G123" s="26">
        <v>9.5</v>
      </c>
      <c r="H123" s="26">
        <f t="shared" si="6"/>
        <v>27.9</v>
      </c>
    </row>
    <row r="124" spans="1:8" s="24" customFormat="1" x14ac:dyDescent="0.3">
      <c r="A124" s="29" t="s">
        <v>88</v>
      </c>
      <c r="B124" s="72"/>
      <c r="C124" s="72"/>
      <c r="D124" s="72"/>
      <c r="E124" s="73" t="s">
        <v>94</v>
      </c>
      <c r="F124" s="32">
        <f>F125+F135+F144+F189</f>
        <v>209374.60000000003</v>
      </c>
      <c r="G124" s="32">
        <f>G125+G135+G144+G189</f>
        <v>42138.400000000009</v>
      </c>
      <c r="H124" s="26">
        <f t="shared" ref="H124:H160" si="9">ROUND((G124/F124*100),1)</f>
        <v>20.100000000000001</v>
      </c>
    </row>
    <row r="125" spans="1:8" s="24" customFormat="1" x14ac:dyDescent="0.3">
      <c r="A125" s="33" t="s">
        <v>88</v>
      </c>
      <c r="B125" s="33" t="s">
        <v>89</v>
      </c>
      <c r="C125" s="33"/>
      <c r="D125" s="33"/>
      <c r="E125" s="59" t="s">
        <v>97</v>
      </c>
      <c r="F125" s="35">
        <f>F126+F130</f>
        <v>5355.3</v>
      </c>
      <c r="G125" s="35">
        <f>G126+G130</f>
        <v>1048.8</v>
      </c>
      <c r="H125" s="26">
        <f t="shared" si="9"/>
        <v>19.600000000000001</v>
      </c>
    </row>
    <row r="126" spans="1:8" s="24" customFormat="1" ht="79.2" x14ac:dyDescent="0.3">
      <c r="A126" s="48" t="s">
        <v>88</v>
      </c>
      <c r="B126" s="48" t="s">
        <v>89</v>
      </c>
      <c r="C126" s="60" t="s">
        <v>68</v>
      </c>
      <c r="D126" s="36"/>
      <c r="E126" s="61" t="s">
        <v>307</v>
      </c>
      <c r="F126" s="62">
        <f t="shared" ref="F126:G128" si="10">F127</f>
        <v>3973</v>
      </c>
      <c r="G126" s="62">
        <f t="shared" si="10"/>
        <v>0</v>
      </c>
      <c r="H126" s="26">
        <f t="shared" si="9"/>
        <v>0</v>
      </c>
    </row>
    <row r="127" spans="1:8" s="24" customFormat="1" ht="40.200000000000003" x14ac:dyDescent="0.3">
      <c r="A127" s="48" t="s">
        <v>88</v>
      </c>
      <c r="B127" s="48" t="s">
        <v>89</v>
      </c>
      <c r="C127" s="63" t="s">
        <v>144</v>
      </c>
      <c r="D127" s="36"/>
      <c r="E127" s="41" t="s">
        <v>143</v>
      </c>
      <c r="F127" s="42">
        <f t="shared" si="10"/>
        <v>3973</v>
      </c>
      <c r="G127" s="42">
        <f t="shared" si="10"/>
        <v>0</v>
      </c>
      <c r="H127" s="26">
        <f t="shared" si="9"/>
        <v>0</v>
      </c>
    </row>
    <row r="128" spans="1:8" s="24" customFormat="1" ht="27.75" customHeight="1" x14ac:dyDescent="0.3">
      <c r="A128" s="48" t="s">
        <v>88</v>
      </c>
      <c r="B128" s="48" t="s">
        <v>89</v>
      </c>
      <c r="C128" s="47" t="s">
        <v>466</v>
      </c>
      <c r="D128" s="36"/>
      <c r="E128" s="41" t="s">
        <v>545</v>
      </c>
      <c r="F128" s="42">
        <f t="shared" si="10"/>
        <v>3973</v>
      </c>
      <c r="G128" s="42">
        <f t="shared" si="10"/>
        <v>0</v>
      </c>
      <c r="H128" s="26">
        <f t="shared" si="9"/>
        <v>0</v>
      </c>
    </row>
    <row r="129" spans="1:8" s="24" customFormat="1" ht="39.6" x14ac:dyDescent="0.3">
      <c r="A129" s="48" t="s">
        <v>88</v>
      </c>
      <c r="B129" s="48" t="s">
        <v>89</v>
      </c>
      <c r="C129" s="47" t="s">
        <v>466</v>
      </c>
      <c r="D129" s="48" t="s">
        <v>213</v>
      </c>
      <c r="E129" s="46" t="s">
        <v>214</v>
      </c>
      <c r="F129" s="42">
        <f>43.7+3929.3</f>
        <v>3973</v>
      </c>
      <c r="G129" s="26">
        <v>0</v>
      </c>
      <c r="H129" s="26">
        <f t="shared" si="9"/>
        <v>0</v>
      </c>
    </row>
    <row r="130" spans="1:8" s="24" customFormat="1" ht="93" x14ac:dyDescent="0.3">
      <c r="A130" s="68" t="s">
        <v>88</v>
      </c>
      <c r="B130" s="68" t="s">
        <v>89</v>
      </c>
      <c r="C130" s="83">
        <v>400000000</v>
      </c>
      <c r="D130" s="33"/>
      <c r="E130" s="84" t="s">
        <v>323</v>
      </c>
      <c r="F130" s="62">
        <f t="shared" ref="F130:G132" si="11">F131</f>
        <v>1382.3</v>
      </c>
      <c r="G130" s="62">
        <f t="shared" si="11"/>
        <v>1048.8</v>
      </c>
      <c r="H130" s="26">
        <f t="shared" si="9"/>
        <v>75.900000000000006</v>
      </c>
    </row>
    <row r="131" spans="1:8" s="24" customFormat="1" ht="53.4" x14ac:dyDescent="0.3">
      <c r="A131" s="71" t="s">
        <v>88</v>
      </c>
      <c r="B131" s="71" t="s">
        <v>89</v>
      </c>
      <c r="C131" s="85">
        <v>410000000</v>
      </c>
      <c r="D131" s="33"/>
      <c r="E131" s="34" t="s">
        <v>324</v>
      </c>
      <c r="F131" s="64">
        <f t="shared" si="11"/>
        <v>1382.3</v>
      </c>
      <c r="G131" s="64">
        <f t="shared" si="11"/>
        <v>1048.8</v>
      </c>
      <c r="H131" s="26">
        <f t="shared" si="9"/>
        <v>75.900000000000006</v>
      </c>
    </row>
    <row r="132" spans="1:8" s="24" customFormat="1" ht="39.75" customHeight="1" x14ac:dyDescent="0.3">
      <c r="A132" s="48" t="s">
        <v>88</v>
      </c>
      <c r="B132" s="48" t="s">
        <v>89</v>
      </c>
      <c r="C132" s="67">
        <v>410100000</v>
      </c>
      <c r="D132" s="33"/>
      <c r="E132" s="65" t="s">
        <v>325</v>
      </c>
      <c r="F132" s="64">
        <f t="shared" si="11"/>
        <v>1382.3</v>
      </c>
      <c r="G132" s="64">
        <f t="shared" si="11"/>
        <v>1048.8</v>
      </c>
      <c r="H132" s="26">
        <f t="shared" si="9"/>
        <v>75.900000000000006</v>
      </c>
    </row>
    <row r="133" spans="1:8" s="24" customFormat="1" ht="27" x14ac:dyDescent="0.3">
      <c r="A133" s="48" t="s">
        <v>88</v>
      </c>
      <c r="B133" s="48" t="s">
        <v>89</v>
      </c>
      <c r="C133" s="66" t="s">
        <v>467</v>
      </c>
      <c r="D133" s="36"/>
      <c r="E133" s="41" t="s">
        <v>150</v>
      </c>
      <c r="F133" s="42">
        <f>F134</f>
        <v>1382.3</v>
      </c>
      <c r="G133" s="42">
        <f>G134</f>
        <v>1048.8</v>
      </c>
      <c r="H133" s="26">
        <f t="shared" si="9"/>
        <v>75.900000000000006</v>
      </c>
    </row>
    <row r="134" spans="1:8" s="24" customFormat="1" ht="39.6" x14ac:dyDescent="0.3">
      <c r="A134" s="48" t="s">
        <v>88</v>
      </c>
      <c r="B134" s="48" t="s">
        <v>89</v>
      </c>
      <c r="C134" s="66" t="s">
        <v>467</v>
      </c>
      <c r="D134" s="48" t="s">
        <v>213</v>
      </c>
      <c r="E134" s="46" t="s">
        <v>214</v>
      </c>
      <c r="F134" s="42">
        <v>1382.3</v>
      </c>
      <c r="G134" s="26">
        <v>1048.8</v>
      </c>
      <c r="H134" s="26">
        <f t="shared" si="9"/>
        <v>75.900000000000006</v>
      </c>
    </row>
    <row r="135" spans="1:8" x14ac:dyDescent="0.3">
      <c r="A135" s="33" t="s">
        <v>88</v>
      </c>
      <c r="B135" s="33" t="s">
        <v>95</v>
      </c>
      <c r="C135" s="33"/>
      <c r="D135" s="33"/>
      <c r="E135" s="55" t="s">
        <v>5</v>
      </c>
      <c r="F135" s="35">
        <f t="shared" ref="F135:G136" si="12">F136</f>
        <v>27260.9</v>
      </c>
      <c r="G135" s="35">
        <f t="shared" si="12"/>
        <v>13327.5</v>
      </c>
      <c r="H135" s="26">
        <f t="shared" si="9"/>
        <v>48.9</v>
      </c>
    </row>
    <row r="136" spans="1:8" ht="93" x14ac:dyDescent="0.3">
      <c r="A136" s="68" t="s">
        <v>88</v>
      </c>
      <c r="B136" s="68" t="s">
        <v>95</v>
      </c>
      <c r="C136" s="60" t="s">
        <v>66</v>
      </c>
      <c r="D136" s="33"/>
      <c r="E136" s="84" t="s">
        <v>326</v>
      </c>
      <c r="F136" s="62">
        <f t="shared" si="12"/>
        <v>27260.9</v>
      </c>
      <c r="G136" s="62">
        <f t="shared" si="12"/>
        <v>13327.5</v>
      </c>
      <c r="H136" s="26">
        <f t="shared" si="9"/>
        <v>48.9</v>
      </c>
    </row>
    <row r="137" spans="1:8" ht="66.599999999999994" x14ac:dyDescent="0.3">
      <c r="A137" s="36" t="s">
        <v>88</v>
      </c>
      <c r="B137" s="36" t="s">
        <v>95</v>
      </c>
      <c r="C137" s="63" t="s">
        <v>228</v>
      </c>
      <c r="D137" s="33"/>
      <c r="E137" s="34" t="s">
        <v>167</v>
      </c>
      <c r="F137" s="64">
        <f>F138+F140+F142</f>
        <v>27260.9</v>
      </c>
      <c r="G137" s="64">
        <f>G138+G140+G142</f>
        <v>13327.5</v>
      </c>
      <c r="H137" s="26">
        <f t="shared" si="9"/>
        <v>48.9</v>
      </c>
    </row>
    <row r="138" spans="1:8" ht="66.599999999999994" x14ac:dyDescent="0.3">
      <c r="A138" s="36" t="s">
        <v>88</v>
      </c>
      <c r="B138" s="36" t="s">
        <v>95</v>
      </c>
      <c r="C138" s="67" t="s">
        <v>229</v>
      </c>
      <c r="D138" s="33"/>
      <c r="E138" s="65" t="s">
        <v>230</v>
      </c>
      <c r="F138" s="42">
        <f>F139</f>
        <v>5028.8</v>
      </c>
      <c r="G138" s="42">
        <f>G139</f>
        <v>2472.3000000000002</v>
      </c>
      <c r="H138" s="26">
        <f t="shared" si="9"/>
        <v>49.2</v>
      </c>
    </row>
    <row r="139" spans="1:8" ht="39.6" x14ac:dyDescent="0.3">
      <c r="A139" s="36" t="s">
        <v>88</v>
      </c>
      <c r="B139" s="36" t="s">
        <v>95</v>
      </c>
      <c r="C139" s="67" t="s">
        <v>229</v>
      </c>
      <c r="D139" s="48" t="s">
        <v>213</v>
      </c>
      <c r="E139" s="46" t="s">
        <v>214</v>
      </c>
      <c r="F139" s="42">
        <v>5028.8</v>
      </c>
      <c r="G139" s="26">
        <v>2472.3000000000002</v>
      </c>
      <c r="H139" s="26">
        <f t="shared" si="9"/>
        <v>49.2</v>
      </c>
    </row>
    <row r="140" spans="1:8" ht="53.4" x14ac:dyDescent="0.3">
      <c r="A140" s="36" t="s">
        <v>88</v>
      </c>
      <c r="B140" s="36" t="s">
        <v>95</v>
      </c>
      <c r="C140" s="67">
        <v>920110300</v>
      </c>
      <c r="D140" s="36"/>
      <c r="E140" s="65" t="s">
        <v>546</v>
      </c>
      <c r="F140" s="42">
        <f>F141</f>
        <v>20115.2</v>
      </c>
      <c r="G140" s="27">
        <f>G141</f>
        <v>9889</v>
      </c>
      <c r="H140" s="26">
        <f t="shared" si="9"/>
        <v>49.2</v>
      </c>
    </row>
    <row r="141" spans="1:8" s="24" customFormat="1" ht="39.6" x14ac:dyDescent="0.3">
      <c r="A141" s="36" t="s">
        <v>88</v>
      </c>
      <c r="B141" s="36" t="s">
        <v>95</v>
      </c>
      <c r="C141" s="67">
        <v>920110300</v>
      </c>
      <c r="D141" s="48" t="s">
        <v>213</v>
      </c>
      <c r="E141" s="46" t="s">
        <v>214</v>
      </c>
      <c r="F141" s="42">
        <v>20115.2</v>
      </c>
      <c r="G141" s="27">
        <v>9889</v>
      </c>
      <c r="H141" s="26">
        <f t="shared" si="9"/>
        <v>49.2</v>
      </c>
    </row>
    <row r="142" spans="1:8" s="24" customFormat="1" ht="66" x14ac:dyDescent="0.3">
      <c r="A142" s="36" t="s">
        <v>88</v>
      </c>
      <c r="B142" s="36" t="s">
        <v>95</v>
      </c>
      <c r="C142" s="67">
        <v>920123495</v>
      </c>
      <c r="D142" s="48"/>
      <c r="E142" s="40" t="s">
        <v>327</v>
      </c>
      <c r="F142" s="42">
        <f>F143</f>
        <v>2116.9</v>
      </c>
      <c r="G142" s="27">
        <f>G143</f>
        <v>966.2</v>
      </c>
      <c r="H142" s="26">
        <f t="shared" si="9"/>
        <v>45.6</v>
      </c>
    </row>
    <row r="143" spans="1:8" s="24" customFormat="1" ht="39.6" x14ac:dyDescent="0.3">
      <c r="A143" s="36" t="s">
        <v>88</v>
      </c>
      <c r="B143" s="36" t="s">
        <v>95</v>
      </c>
      <c r="C143" s="67">
        <v>920123495</v>
      </c>
      <c r="D143" s="48" t="s">
        <v>213</v>
      </c>
      <c r="E143" s="46" t="s">
        <v>214</v>
      </c>
      <c r="F143" s="42">
        <v>2116.9</v>
      </c>
      <c r="G143" s="27">
        <v>966.2</v>
      </c>
      <c r="H143" s="26">
        <f t="shared" si="9"/>
        <v>45.6</v>
      </c>
    </row>
    <row r="144" spans="1:8" s="24" customFormat="1" ht="28.8" x14ac:dyDescent="0.3">
      <c r="A144" s="33" t="s">
        <v>88</v>
      </c>
      <c r="B144" s="33" t="s">
        <v>93</v>
      </c>
      <c r="C144" s="33"/>
      <c r="D144" s="33"/>
      <c r="E144" s="86" t="s">
        <v>178</v>
      </c>
      <c r="F144" s="35">
        <f>F145+F171</f>
        <v>172577.2</v>
      </c>
      <c r="G144" s="35">
        <f>G145+G171</f>
        <v>26320.800000000003</v>
      </c>
      <c r="H144" s="26">
        <f t="shared" si="9"/>
        <v>15.3</v>
      </c>
    </row>
    <row r="145" spans="1:8" s="24" customFormat="1" ht="93" x14ac:dyDescent="0.3">
      <c r="A145" s="68" t="s">
        <v>88</v>
      </c>
      <c r="B145" s="68" t="s">
        <v>93</v>
      </c>
      <c r="C145" s="60" t="s">
        <v>66</v>
      </c>
      <c r="D145" s="33"/>
      <c r="E145" s="84" t="s">
        <v>326</v>
      </c>
      <c r="F145" s="62">
        <f>F146</f>
        <v>163618.6</v>
      </c>
      <c r="G145" s="62">
        <f>G146</f>
        <v>25543.4</v>
      </c>
      <c r="H145" s="26">
        <f t="shared" si="9"/>
        <v>15.6</v>
      </c>
    </row>
    <row r="146" spans="1:8" s="24" customFormat="1" ht="66.599999999999994" x14ac:dyDescent="0.3">
      <c r="A146" s="36" t="s">
        <v>88</v>
      </c>
      <c r="B146" s="36" t="s">
        <v>93</v>
      </c>
      <c r="C146" s="63" t="s">
        <v>67</v>
      </c>
      <c r="D146" s="33"/>
      <c r="E146" s="34" t="s">
        <v>146</v>
      </c>
      <c r="F146" s="64">
        <f>F147+F149+F151+F153+F155+F157+F159+F161+F163+F165+F167+F169</f>
        <v>163618.6</v>
      </c>
      <c r="G146" s="64">
        <f>G147+G149+G151+G153+G155+G157+G159+G161+G163+G165+G167+G169</f>
        <v>25543.4</v>
      </c>
      <c r="H146" s="26">
        <f t="shared" si="9"/>
        <v>15.6</v>
      </c>
    </row>
    <row r="147" spans="1:8" s="24" customFormat="1" ht="78" customHeight="1" x14ac:dyDescent="0.3">
      <c r="A147" s="36" t="s">
        <v>88</v>
      </c>
      <c r="B147" s="36" t="s">
        <v>93</v>
      </c>
      <c r="C147" s="67">
        <v>910123405</v>
      </c>
      <c r="D147" s="33"/>
      <c r="E147" s="65" t="s">
        <v>231</v>
      </c>
      <c r="F147" s="42">
        <f>F148</f>
        <v>15376.7</v>
      </c>
      <c r="G147" s="42">
        <f>G148</f>
        <v>7036.2</v>
      </c>
      <c r="H147" s="26">
        <f t="shared" si="9"/>
        <v>45.8</v>
      </c>
    </row>
    <row r="148" spans="1:8" s="24" customFormat="1" ht="39.6" x14ac:dyDescent="0.3">
      <c r="A148" s="36" t="s">
        <v>88</v>
      </c>
      <c r="B148" s="36" t="s">
        <v>93</v>
      </c>
      <c r="C148" s="67">
        <v>910123405</v>
      </c>
      <c r="D148" s="48" t="s">
        <v>213</v>
      </c>
      <c r="E148" s="46" t="s">
        <v>214</v>
      </c>
      <c r="F148" s="42">
        <v>15376.7</v>
      </c>
      <c r="G148" s="26">
        <v>7036.2</v>
      </c>
      <c r="H148" s="26">
        <f t="shared" si="9"/>
        <v>45.8</v>
      </c>
    </row>
    <row r="149" spans="1:8" s="24" customFormat="1" ht="66.599999999999994" x14ac:dyDescent="0.3">
      <c r="A149" s="36" t="s">
        <v>88</v>
      </c>
      <c r="B149" s="36" t="s">
        <v>93</v>
      </c>
      <c r="C149" s="67">
        <v>910110520</v>
      </c>
      <c r="D149" s="33"/>
      <c r="E149" s="65" t="s">
        <v>165</v>
      </c>
      <c r="F149" s="42">
        <f>F150</f>
        <v>20020.599999999999</v>
      </c>
      <c r="G149" s="42">
        <f>G150</f>
        <v>6800.3</v>
      </c>
      <c r="H149" s="26">
        <f t="shared" si="9"/>
        <v>34</v>
      </c>
    </row>
    <row r="150" spans="1:8" s="24" customFormat="1" ht="39.6" x14ac:dyDescent="0.3">
      <c r="A150" s="36" t="s">
        <v>88</v>
      </c>
      <c r="B150" s="36" t="s">
        <v>93</v>
      </c>
      <c r="C150" s="67">
        <v>910110520</v>
      </c>
      <c r="D150" s="48" t="s">
        <v>213</v>
      </c>
      <c r="E150" s="46" t="s">
        <v>214</v>
      </c>
      <c r="F150" s="87">
        <v>20020.599999999999</v>
      </c>
      <c r="G150" s="27">
        <v>6800.3</v>
      </c>
      <c r="H150" s="26">
        <f t="shared" si="9"/>
        <v>34</v>
      </c>
    </row>
    <row r="151" spans="1:8" s="24" customFormat="1" ht="26.4" x14ac:dyDescent="0.3">
      <c r="A151" s="36" t="s">
        <v>88</v>
      </c>
      <c r="B151" s="36" t="s">
        <v>93</v>
      </c>
      <c r="C151" s="67">
        <v>910123410</v>
      </c>
      <c r="D151" s="36"/>
      <c r="E151" s="46" t="s">
        <v>166</v>
      </c>
      <c r="F151" s="42">
        <f>F152</f>
        <v>19002.400000000001</v>
      </c>
      <c r="G151" s="42">
        <f>G152</f>
        <v>8209.1</v>
      </c>
      <c r="H151" s="26">
        <f t="shared" si="9"/>
        <v>43.2</v>
      </c>
    </row>
    <row r="152" spans="1:8" s="24" customFormat="1" ht="39.6" x14ac:dyDescent="0.3">
      <c r="A152" s="36" t="s">
        <v>88</v>
      </c>
      <c r="B152" s="36" t="s">
        <v>93</v>
      </c>
      <c r="C152" s="67">
        <v>910123410</v>
      </c>
      <c r="D152" s="48" t="s">
        <v>213</v>
      </c>
      <c r="E152" s="46" t="s">
        <v>214</v>
      </c>
      <c r="F152" s="42">
        <f>16457+1413.5+1131.9</f>
        <v>19002.400000000001</v>
      </c>
      <c r="G152" s="27">
        <v>8209.1</v>
      </c>
      <c r="H152" s="26">
        <f t="shared" si="9"/>
        <v>43.2</v>
      </c>
    </row>
    <row r="153" spans="1:8" s="24" customFormat="1" ht="93" x14ac:dyDescent="0.3">
      <c r="A153" s="36" t="s">
        <v>88</v>
      </c>
      <c r="B153" s="36" t="s">
        <v>93</v>
      </c>
      <c r="C153" s="67">
        <v>910123415</v>
      </c>
      <c r="D153" s="48"/>
      <c r="E153" s="88" t="s">
        <v>232</v>
      </c>
      <c r="F153" s="42">
        <f>F154</f>
        <v>5480</v>
      </c>
      <c r="G153" s="42">
        <f>G154</f>
        <v>414.9</v>
      </c>
      <c r="H153" s="26">
        <f t="shared" si="9"/>
        <v>7.6</v>
      </c>
    </row>
    <row r="154" spans="1:8" s="24" customFormat="1" ht="39.6" x14ac:dyDescent="0.3">
      <c r="A154" s="36" t="s">
        <v>88</v>
      </c>
      <c r="B154" s="36" t="s">
        <v>93</v>
      </c>
      <c r="C154" s="67">
        <v>910123415</v>
      </c>
      <c r="D154" s="48" t="s">
        <v>213</v>
      </c>
      <c r="E154" s="46" t="s">
        <v>214</v>
      </c>
      <c r="F154" s="42">
        <f>100+380+5000</f>
        <v>5480</v>
      </c>
      <c r="G154" s="27">
        <v>414.9</v>
      </c>
      <c r="H154" s="26">
        <f t="shared" si="9"/>
        <v>7.6</v>
      </c>
    </row>
    <row r="155" spans="1:8" s="24" customFormat="1" ht="80.25" customHeight="1" x14ac:dyDescent="0.3">
      <c r="A155" s="36" t="s">
        <v>88</v>
      </c>
      <c r="B155" s="36" t="s">
        <v>93</v>
      </c>
      <c r="C155" s="67" t="s">
        <v>547</v>
      </c>
      <c r="D155" s="48"/>
      <c r="E155" s="89" t="s">
        <v>548</v>
      </c>
      <c r="F155" s="42">
        <f>F156</f>
        <v>1161.8</v>
      </c>
      <c r="G155" s="26">
        <v>0</v>
      </c>
      <c r="H155" s="26">
        <f t="shared" si="9"/>
        <v>0</v>
      </c>
    </row>
    <row r="156" spans="1:8" s="24" customFormat="1" ht="39.6" x14ac:dyDescent="0.3">
      <c r="A156" s="36" t="s">
        <v>88</v>
      </c>
      <c r="B156" s="36" t="s">
        <v>93</v>
      </c>
      <c r="C156" s="67" t="s">
        <v>547</v>
      </c>
      <c r="D156" s="48" t="s">
        <v>213</v>
      </c>
      <c r="E156" s="46" t="s">
        <v>214</v>
      </c>
      <c r="F156" s="42">
        <v>1161.8</v>
      </c>
      <c r="G156" s="27">
        <v>0</v>
      </c>
      <c r="H156" s="26">
        <f t="shared" si="9"/>
        <v>0</v>
      </c>
    </row>
    <row r="157" spans="1:8" s="24" customFormat="1" ht="91.5" customHeight="1" x14ac:dyDescent="0.3">
      <c r="A157" s="36" t="s">
        <v>88</v>
      </c>
      <c r="B157" s="36" t="s">
        <v>93</v>
      </c>
      <c r="C157" s="67">
        <v>910110220</v>
      </c>
      <c r="D157" s="48"/>
      <c r="E157" s="89" t="s">
        <v>549</v>
      </c>
      <c r="F157" s="42">
        <f>F158</f>
        <v>10456.4</v>
      </c>
      <c r="G157" s="26">
        <v>0</v>
      </c>
      <c r="H157" s="26">
        <f t="shared" si="9"/>
        <v>0</v>
      </c>
    </row>
    <row r="158" spans="1:8" s="24" customFormat="1" ht="39.6" x14ac:dyDescent="0.3">
      <c r="A158" s="36" t="s">
        <v>88</v>
      </c>
      <c r="B158" s="36" t="s">
        <v>93</v>
      </c>
      <c r="C158" s="67">
        <v>910110220</v>
      </c>
      <c r="D158" s="48" t="s">
        <v>213</v>
      </c>
      <c r="E158" s="46" t="s">
        <v>214</v>
      </c>
      <c r="F158" s="42">
        <v>10456.4</v>
      </c>
      <c r="G158" s="26">
        <v>0</v>
      </c>
      <c r="H158" s="26">
        <f t="shared" si="9"/>
        <v>0</v>
      </c>
    </row>
    <row r="159" spans="1:8" s="24" customFormat="1" ht="52.8" x14ac:dyDescent="0.3">
      <c r="A159" s="36" t="s">
        <v>88</v>
      </c>
      <c r="B159" s="36" t="s">
        <v>93</v>
      </c>
      <c r="C159" s="67" t="s">
        <v>261</v>
      </c>
      <c r="D159" s="48"/>
      <c r="E159" s="90" t="s">
        <v>262</v>
      </c>
      <c r="F159" s="42">
        <f>F160</f>
        <v>4447.7</v>
      </c>
      <c r="G159" s="26">
        <f t="shared" ref="G159" si="13">G160</f>
        <v>0</v>
      </c>
      <c r="H159" s="26">
        <f t="shared" si="9"/>
        <v>0</v>
      </c>
    </row>
    <row r="160" spans="1:8" s="24" customFormat="1" ht="39.6" x14ac:dyDescent="0.3">
      <c r="A160" s="36" t="s">
        <v>88</v>
      </c>
      <c r="B160" s="36" t="s">
        <v>93</v>
      </c>
      <c r="C160" s="67" t="s">
        <v>261</v>
      </c>
      <c r="D160" s="48" t="s">
        <v>213</v>
      </c>
      <c r="E160" s="46" t="s">
        <v>214</v>
      </c>
      <c r="F160" s="42">
        <f>2317.6-1000+3130.1</f>
        <v>4447.7</v>
      </c>
      <c r="G160" s="26">
        <v>0</v>
      </c>
      <c r="H160" s="26">
        <f t="shared" si="9"/>
        <v>0</v>
      </c>
    </row>
    <row r="161" spans="1:8" s="24" customFormat="1" ht="51" customHeight="1" x14ac:dyDescent="0.3">
      <c r="A161" s="36" t="s">
        <v>88</v>
      </c>
      <c r="B161" s="36" t="s">
        <v>93</v>
      </c>
      <c r="C161" s="91" t="s">
        <v>328</v>
      </c>
      <c r="D161" s="48"/>
      <c r="E161" s="90" t="s">
        <v>263</v>
      </c>
      <c r="F161" s="42">
        <f>F162</f>
        <v>9270.5</v>
      </c>
      <c r="G161" s="26">
        <v>0</v>
      </c>
      <c r="H161" s="26">
        <f t="shared" ref="H161:H200" si="14">ROUND((G161/F161*100),1)</f>
        <v>0</v>
      </c>
    </row>
    <row r="162" spans="1:8" s="24" customFormat="1" ht="39.6" x14ac:dyDescent="0.3">
      <c r="A162" s="36" t="s">
        <v>88</v>
      </c>
      <c r="B162" s="36" t="s">
        <v>93</v>
      </c>
      <c r="C162" s="91" t="s">
        <v>328</v>
      </c>
      <c r="D162" s="48" t="s">
        <v>213</v>
      </c>
      <c r="E162" s="46" t="s">
        <v>214</v>
      </c>
      <c r="F162" s="87">
        <v>9270.5</v>
      </c>
      <c r="G162" s="26">
        <v>0</v>
      </c>
      <c r="H162" s="26">
        <f t="shared" si="14"/>
        <v>0</v>
      </c>
    </row>
    <row r="163" spans="1:8" s="24" customFormat="1" ht="26.4" x14ac:dyDescent="0.3">
      <c r="A163" s="36" t="s">
        <v>88</v>
      </c>
      <c r="B163" s="36" t="s">
        <v>93</v>
      </c>
      <c r="C163" s="67" t="s">
        <v>264</v>
      </c>
      <c r="D163" s="48"/>
      <c r="E163" s="46" t="s">
        <v>265</v>
      </c>
      <c r="F163" s="42">
        <f>F164</f>
        <v>10872.3</v>
      </c>
      <c r="G163" s="42">
        <f>G164</f>
        <v>0</v>
      </c>
      <c r="H163" s="26">
        <f t="shared" si="14"/>
        <v>0</v>
      </c>
    </row>
    <row r="164" spans="1:8" s="24" customFormat="1" ht="39.6" x14ac:dyDescent="0.3">
      <c r="A164" s="36" t="s">
        <v>88</v>
      </c>
      <c r="B164" s="36" t="s">
        <v>93</v>
      </c>
      <c r="C164" s="67" t="s">
        <v>264</v>
      </c>
      <c r="D164" s="48" t="s">
        <v>213</v>
      </c>
      <c r="E164" s="46" t="s">
        <v>214</v>
      </c>
      <c r="F164" s="42">
        <f>14380.3+396.5-800-5193.4-1842.6+3931.5</f>
        <v>10872.3</v>
      </c>
      <c r="G164" s="26">
        <v>0</v>
      </c>
      <c r="H164" s="26">
        <f t="shared" si="14"/>
        <v>0</v>
      </c>
    </row>
    <row r="165" spans="1:8" s="24" customFormat="1" ht="26.4" x14ac:dyDescent="0.3">
      <c r="A165" s="36" t="s">
        <v>88</v>
      </c>
      <c r="B165" s="36" t="s">
        <v>93</v>
      </c>
      <c r="C165" s="92" t="s">
        <v>329</v>
      </c>
      <c r="D165" s="48"/>
      <c r="E165" s="46" t="s">
        <v>266</v>
      </c>
      <c r="F165" s="42">
        <f>F166</f>
        <v>57521.3</v>
      </c>
      <c r="G165" s="42">
        <f>G166</f>
        <v>0</v>
      </c>
      <c r="H165" s="26">
        <f t="shared" si="14"/>
        <v>0</v>
      </c>
    </row>
    <row r="166" spans="1:8" s="24" customFormat="1" ht="39.6" x14ac:dyDescent="0.3">
      <c r="A166" s="36" t="s">
        <v>88</v>
      </c>
      <c r="B166" s="36" t="s">
        <v>93</v>
      </c>
      <c r="C166" s="92" t="s">
        <v>329</v>
      </c>
      <c r="D166" s="48" t="s">
        <v>213</v>
      </c>
      <c r="E166" s="46" t="s">
        <v>214</v>
      </c>
      <c r="F166" s="42">
        <v>57521.3</v>
      </c>
      <c r="G166" s="26">
        <v>0</v>
      </c>
      <c r="H166" s="26">
        <f t="shared" si="14"/>
        <v>0</v>
      </c>
    </row>
    <row r="167" spans="1:8" s="24" customFormat="1" ht="26.4" x14ac:dyDescent="0.3">
      <c r="A167" s="36" t="s">
        <v>88</v>
      </c>
      <c r="B167" s="36" t="s">
        <v>93</v>
      </c>
      <c r="C167" s="67">
        <v>910123425</v>
      </c>
      <c r="D167" s="48"/>
      <c r="E167" s="46" t="s">
        <v>284</v>
      </c>
      <c r="F167" s="42">
        <f>F168</f>
        <v>8854.9000000000015</v>
      </c>
      <c r="G167" s="42">
        <f>G168</f>
        <v>3082.9</v>
      </c>
      <c r="H167" s="26">
        <f t="shared" si="14"/>
        <v>34.799999999999997</v>
      </c>
    </row>
    <row r="168" spans="1:8" s="24" customFormat="1" ht="39.6" x14ac:dyDescent="0.3">
      <c r="A168" s="36" t="s">
        <v>88</v>
      </c>
      <c r="B168" s="36" t="s">
        <v>93</v>
      </c>
      <c r="C168" s="67">
        <v>910123425</v>
      </c>
      <c r="D168" s="48" t="s">
        <v>213</v>
      </c>
      <c r="E168" s="46" t="s">
        <v>214</v>
      </c>
      <c r="F168" s="42">
        <f>1590+1493.2+1306.4+2176+2289.3</f>
        <v>8854.9000000000015</v>
      </c>
      <c r="G168" s="26">
        <v>3082.9</v>
      </c>
      <c r="H168" s="26">
        <f t="shared" si="14"/>
        <v>34.799999999999997</v>
      </c>
    </row>
    <row r="169" spans="1:8" s="24" customFormat="1" x14ac:dyDescent="0.3">
      <c r="A169" s="36" t="s">
        <v>88</v>
      </c>
      <c r="B169" s="36" t="s">
        <v>93</v>
      </c>
      <c r="C169" s="67">
        <v>910123430</v>
      </c>
      <c r="D169" s="48"/>
      <c r="E169" s="46" t="s">
        <v>468</v>
      </c>
      <c r="F169" s="42">
        <f>F170</f>
        <v>1154</v>
      </c>
      <c r="G169" s="26">
        <v>0</v>
      </c>
      <c r="H169" s="26">
        <f t="shared" si="14"/>
        <v>0</v>
      </c>
    </row>
    <row r="170" spans="1:8" s="24" customFormat="1" ht="39.6" x14ac:dyDescent="0.3">
      <c r="A170" s="36" t="s">
        <v>88</v>
      </c>
      <c r="B170" s="36" t="s">
        <v>93</v>
      </c>
      <c r="C170" s="67">
        <v>910123430</v>
      </c>
      <c r="D170" s="48" t="s">
        <v>213</v>
      </c>
      <c r="E170" s="46" t="s">
        <v>214</v>
      </c>
      <c r="F170" s="42">
        <f>817+337</f>
        <v>1154</v>
      </c>
      <c r="G170" s="26">
        <v>0</v>
      </c>
      <c r="H170" s="26">
        <f t="shared" si="14"/>
        <v>0</v>
      </c>
    </row>
    <row r="171" spans="1:8" s="24" customFormat="1" ht="80.25" customHeight="1" x14ac:dyDescent="0.3">
      <c r="A171" s="60" t="s">
        <v>88</v>
      </c>
      <c r="B171" s="60" t="s">
        <v>93</v>
      </c>
      <c r="C171" s="60" t="s">
        <v>233</v>
      </c>
      <c r="D171" s="36"/>
      <c r="E171" s="76" t="s">
        <v>322</v>
      </c>
      <c r="F171" s="62">
        <f>F172</f>
        <v>8958.5999999999985</v>
      </c>
      <c r="G171" s="62">
        <f>G172</f>
        <v>777.4</v>
      </c>
      <c r="H171" s="26">
        <f t="shared" si="14"/>
        <v>8.6999999999999993</v>
      </c>
    </row>
    <row r="172" spans="1:8" s="24" customFormat="1" ht="38.25" customHeight="1" x14ac:dyDescent="0.3">
      <c r="A172" s="47" t="s">
        <v>88</v>
      </c>
      <c r="B172" s="47" t="s">
        <v>93</v>
      </c>
      <c r="C172" s="63" t="s">
        <v>234</v>
      </c>
      <c r="D172" s="36"/>
      <c r="E172" s="44" t="s">
        <v>235</v>
      </c>
      <c r="F172" s="82">
        <f>F173+F175+F177+F179+F181+F183+F185+F187</f>
        <v>8958.5999999999985</v>
      </c>
      <c r="G172" s="82">
        <f>G173+G175+G177+G179+G181+G183+G185+G187</f>
        <v>777.4</v>
      </c>
      <c r="H172" s="26">
        <f t="shared" si="14"/>
        <v>8.6999999999999993</v>
      </c>
    </row>
    <row r="173" spans="1:8" s="24" customFormat="1" ht="39.6" x14ac:dyDescent="0.3">
      <c r="A173" s="47" t="s">
        <v>88</v>
      </c>
      <c r="B173" s="47" t="s">
        <v>93</v>
      </c>
      <c r="C173" s="47" t="s">
        <v>469</v>
      </c>
      <c r="D173" s="48"/>
      <c r="E173" s="46" t="s">
        <v>470</v>
      </c>
      <c r="F173" s="39">
        <f>F174</f>
        <v>2442.6999999999998</v>
      </c>
      <c r="G173" s="39">
        <f>G174</f>
        <v>0</v>
      </c>
      <c r="H173" s="26">
        <f t="shared" si="14"/>
        <v>0</v>
      </c>
    </row>
    <row r="174" spans="1:8" s="24" customFormat="1" ht="39.6" x14ac:dyDescent="0.3">
      <c r="A174" s="47" t="s">
        <v>88</v>
      </c>
      <c r="B174" s="47" t="s">
        <v>93</v>
      </c>
      <c r="C174" s="47" t="s">
        <v>469</v>
      </c>
      <c r="D174" s="48" t="s">
        <v>213</v>
      </c>
      <c r="E174" s="46" t="s">
        <v>214</v>
      </c>
      <c r="F174" s="39">
        <f>2972.1-529.4</f>
        <v>2442.6999999999998</v>
      </c>
      <c r="G174" s="26">
        <v>0</v>
      </c>
      <c r="H174" s="26">
        <f t="shared" si="14"/>
        <v>0</v>
      </c>
    </row>
    <row r="175" spans="1:8" s="24" customFormat="1" ht="26.4" x14ac:dyDescent="0.3">
      <c r="A175" s="47" t="s">
        <v>88</v>
      </c>
      <c r="B175" s="47" t="s">
        <v>93</v>
      </c>
      <c r="C175" s="47" t="s">
        <v>471</v>
      </c>
      <c r="D175" s="48"/>
      <c r="E175" s="46" t="s">
        <v>472</v>
      </c>
      <c r="F175" s="39">
        <f>F176</f>
        <v>529.4</v>
      </c>
      <c r="G175" s="39">
        <f>G176</f>
        <v>529.4</v>
      </c>
      <c r="H175" s="26">
        <f t="shared" si="14"/>
        <v>100</v>
      </c>
    </row>
    <row r="176" spans="1:8" s="24" customFormat="1" ht="39.6" x14ac:dyDescent="0.3">
      <c r="A176" s="47" t="s">
        <v>88</v>
      </c>
      <c r="B176" s="47" t="s">
        <v>93</v>
      </c>
      <c r="C176" s="47" t="s">
        <v>471</v>
      </c>
      <c r="D176" s="48" t="s">
        <v>213</v>
      </c>
      <c r="E176" s="46" t="s">
        <v>214</v>
      </c>
      <c r="F176" s="39">
        <v>529.4</v>
      </c>
      <c r="G176" s="26">
        <v>529.4</v>
      </c>
      <c r="H176" s="26">
        <f t="shared" si="14"/>
        <v>100</v>
      </c>
    </row>
    <row r="177" spans="1:8" s="24" customFormat="1" x14ac:dyDescent="0.3">
      <c r="A177" s="47" t="s">
        <v>88</v>
      </c>
      <c r="B177" s="47" t="s">
        <v>93</v>
      </c>
      <c r="C177" s="47" t="s">
        <v>332</v>
      </c>
      <c r="D177" s="36"/>
      <c r="E177" s="46" t="s">
        <v>276</v>
      </c>
      <c r="F177" s="39">
        <f>F178</f>
        <v>401</v>
      </c>
      <c r="G177" s="39">
        <f>G178</f>
        <v>70</v>
      </c>
      <c r="H177" s="27">
        <f t="shared" si="14"/>
        <v>17.5</v>
      </c>
    </row>
    <row r="178" spans="1:8" ht="39.6" x14ac:dyDescent="0.3">
      <c r="A178" s="47" t="s">
        <v>88</v>
      </c>
      <c r="B178" s="47" t="s">
        <v>93</v>
      </c>
      <c r="C178" s="47" t="s">
        <v>332</v>
      </c>
      <c r="D178" s="48" t="s">
        <v>213</v>
      </c>
      <c r="E178" s="46" t="s">
        <v>214</v>
      </c>
      <c r="F178" s="39">
        <f>370+31</f>
        <v>401</v>
      </c>
      <c r="G178" s="26">
        <v>70</v>
      </c>
      <c r="H178" s="27">
        <f t="shared" si="14"/>
        <v>17.5</v>
      </c>
    </row>
    <row r="179" spans="1:8" ht="39.6" x14ac:dyDescent="0.3">
      <c r="A179" s="47" t="s">
        <v>88</v>
      </c>
      <c r="B179" s="47" t="s">
        <v>93</v>
      </c>
      <c r="C179" s="47" t="s">
        <v>473</v>
      </c>
      <c r="D179" s="48"/>
      <c r="E179" s="46" t="s">
        <v>474</v>
      </c>
      <c r="F179" s="39">
        <f>F180</f>
        <v>178</v>
      </c>
      <c r="G179" s="39">
        <f>G180</f>
        <v>178</v>
      </c>
      <c r="H179" s="27">
        <f t="shared" si="14"/>
        <v>100</v>
      </c>
    </row>
    <row r="180" spans="1:8" ht="39.6" x14ac:dyDescent="0.3">
      <c r="A180" s="47" t="s">
        <v>88</v>
      </c>
      <c r="B180" s="47" t="s">
        <v>93</v>
      </c>
      <c r="C180" s="47" t="s">
        <v>473</v>
      </c>
      <c r="D180" s="48" t="s">
        <v>213</v>
      </c>
      <c r="E180" s="46" t="s">
        <v>214</v>
      </c>
      <c r="F180" s="39">
        <v>178</v>
      </c>
      <c r="G180" s="26">
        <v>178</v>
      </c>
      <c r="H180" s="27">
        <f t="shared" si="14"/>
        <v>100</v>
      </c>
    </row>
    <row r="181" spans="1:8" ht="26.4" x14ac:dyDescent="0.3">
      <c r="A181" s="47" t="s">
        <v>88</v>
      </c>
      <c r="B181" s="47" t="s">
        <v>93</v>
      </c>
      <c r="C181" s="47" t="s">
        <v>475</v>
      </c>
      <c r="D181" s="48"/>
      <c r="E181" s="46" t="s">
        <v>476</v>
      </c>
      <c r="F181" s="39">
        <f>F182</f>
        <v>944.6</v>
      </c>
      <c r="G181" s="39">
        <f>G182</f>
        <v>0</v>
      </c>
      <c r="H181" s="27">
        <f t="shared" si="14"/>
        <v>0</v>
      </c>
    </row>
    <row r="182" spans="1:8" ht="39.6" x14ac:dyDescent="0.3">
      <c r="A182" s="47" t="s">
        <v>88</v>
      </c>
      <c r="B182" s="47" t="s">
        <v>93</v>
      </c>
      <c r="C182" s="47" t="s">
        <v>475</v>
      </c>
      <c r="D182" s="48" t="s">
        <v>213</v>
      </c>
      <c r="E182" s="46" t="s">
        <v>214</v>
      </c>
      <c r="F182" s="39">
        <f>990-45.4</f>
        <v>944.6</v>
      </c>
      <c r="G182" s="26">
        <v>0</v>
      </c>
      <c r="H182" s="27">
        <f t="shared" si="14"/>
        <v>0</v>
      </c>
    </row>
    <row r="183" spans="1:8" x14ac:dyDescent="0.3">
      <c r="A183" s="47" t="s">
        <v>88</v>
      </c>
      <c r="B183" s="47" t="s">
        <v>93</v>
      </c>
      <c r="C183" s="47" t="s">
        <v>477</v>
      </c>
      <c r="D183" s="48"/>
      <c r="E183" s="46" t="s">
        <v>478</v>
      </c>
      <c r="F183" s="39">
        <f>F184</f>
        <v>499</v>
      </c>
      <c r="G183" s="39">
        <f>G184</f>
        <v>0</v>
      </c>
      <c r="H183" s="26">
        <f t="shared" si="14"/>
        <v>0</v>
      </c>
    </row>
    <row r="184" spans="1:8" ht="39.6" x14ac:dyDescent="0.3">
      <c r="A184" s="47" t="s">
        <v>88</v>
      </c>
      <c r="B184" s="47" t="s">
        <v>93</v>
      </c>
      <c r="C184" s="47" t="s">
        <v>477</v>
      </c>
      <c r="D184" s="48" t="s">
        <v>213</v>
      </c>
      <c r="E184" s="46" t="s">
        <v>214</v>
      </c>
      <c r="F184" s="39">
        <f>600-98.6-2.4</f>
        <v>499</v>
      </c>
      <c r="G184" s="26">
        <v>0</v>
      </c>
      <c r="H184" s="26">
        <f t="shared" si="14"/>
        <v>0</v>
      </c>
    </row>
    <row r="185" spans="1:8" ht="39.6" x14ac:dyDescent="0.3">
      <c r="A185" s="47" t="s">
        <v>88</v>
      </c>
      <c r="B185" s="47" t="s">
        <v>93</v>
      </c>
      <c r="C185" s="95" t="s">
        <v>285</v>
      </c>
      <c r="D185" s="48"/>
      <c r="E185" s="46" t="s">
        <v>267</v>
      </c>
      <c r="F185" s="39">
        <f>F186</f>
        <v>396.4</v>
      </c>
      <c r="G185" s="39">
        <f>G186</f>
        <v>0</v>
      </c>
      <c r="H185" s="26">
        <f t="shared" si="14"/>
        <v>0</v>
      </c>
    </row>
    <row r="186" spans="1:8" ht="39.6" x14ac:dyDescent="0.3">
      <c r="A186" s="47" t="s">
        <v>88</v>
      </c>
      <c r="B186" s="47" t="s">
        <v>93</v>
      </c>
      <c r="C186" s="95" t="s">
        <v>285</v>
      </c>
      <c r="D186" s="48" t="s">
        <v>213</v>
      </c>
      <c r="E186" s="46" t="s">
        <v>214</v>
      </c>
      <c r="F186" s="42">
        <f>891.9-495.5</f>
        <v>396.4</v>
      </c>
      <c r="G186" s="26">
        <v>0</v>
      </c>
      <c r="H186" s="26">
        <f t="shared" si="14"/>
        <v>0</v>
      </c>
    </row>
    <row r="187" spans="1:8" ht="52.8" x14ac:dyDescent="0.3">
      <c r="A187" s="47" t="s">
        <v>88</v>
      </c>
      <c r="B187" s="47" t="s">
        <v>93</v>
      </c>
      <c r="C187" s="95" t="s">
        <v>286</v>
      </c>
      <c r="D187" s="48"/>
      <c r="E187" s="46" t="s">
        <v>268</v>
      </c>
      <c r="F187" s="39">
        <f>F188</f>
        <v>3567.5</v>
      </c>
      <c r="G187" s="39">
        <f>G188</f>
        <v>0</v>
      </c>
      <c r="H187" s="26">
        <f t="shared" si="14"/>
        <v>0</v>
      </c>
    </row>
    <row r="188" spans="1:8" ht="39.6" x14ac:dyDescent="0.3">
      <c r="A188" s="47" t="s">
        <v>88</v>
      </c>
      <c r="B188" s="47" t="s">
        <v>93</v>
      </c>
      <c r="C188" s="95" t="s">
        <v>286</v>
      </c>
      <c r="D188" s="48" t="s">
        <v>213</v>
      </c>
      <c r="E188" s="46" t="s">
        <v>214</v>
      </c>
      <c r="F188" s="39">
        <v>3567.5</v>
      </c>
      <c r="G188" s="26">
        <v>0</v>
      </c>
      <c r="H188" s="26">
        <f t="shared" si="14"/>
        <v>0</v>
      </c>
    </row>
    <row r="189" spans="1:8" ht="27" x14ac:dyDescent="0.3">
      <c r="A189" s="47" t="s">
        <v>88</v>
      </c>
      <c r="B189" s="47" t="s">
        <v>113</v>
      </c>
      <c r="C189" s="33"/>
      <c r="D189" s="33"/>
      <c r="E189" s="34" t="s">
        <v>8</v>
      </c>
      <c r="F189" s="35">
        <f>F190+F198+F218</f>
        <v>4181.2000000000007</v>
      </c>
      <c r="G189" s="35">
        <f>G190+G198+G218</f>
        <v>1441.3000000000002</v>
      </c>
      <c r="H189" s="26">
        <f t="shared" si="14"/>
        <v>34.5</v>
      </c>
    </row>
    <row r="190" spans="1:8" ht="79.2" x14ac:dyDescent="0.3">
      <c r="A190" s="68" t="s">
        <v>88</v>
      </c>
      <c r="B190" s="68" t="s">
        <v>113</v>
      </c>
      <c r="C190" s="60" t="s">
        <v>68</v>
      </c>
      <c r="D190" s="36"/>
      <c r="E190" s="61" t="s">
        <v>307</v>
      </c>
      <c r="F190" s="62">
        <f>F191</f>
        <v>406.3</v>
      </c>
      <c r="G190" s="62">
        <f>G191</f>
        <v>313.60000000000002</v>
      </c>
      <c r="H190" s="26">
        <f t="shared" si="14"/>
        <v>77.2</v>
      </c>
    </row>
    <row r="191" spans="1:8" ht="40.200000000000003" x14ac:dyDescent="0.3">
      <c r="A191" s="36" t="s">
        <v>88</v>
      </c>
      <c r="B191" s="36" t="s">
        <v>113</v>
      </c>
      <c r="C191" s="63" t="s">
        <v>144</v>
      </c>
      <c r="D191" s="36"/>
      <c r="E191" s="44" t="s">
        <v>143</v>
      </c>
      <c r="F191" s="39">
        <f>F192+F194+F196</f>
        <v>406.3</v>
      </c>
      <c r="G191" s="39">
        <f>G192+G194+G196</f>
        <v>313.60000000000002</v>
      </c>
      <c r="H191" s="26">
        <f t="shared" si="14"/>
        <v>77.2</v>
      </c>
    </row>
    <row r="192" spans="1:8" ht="53.4" x14ac:dyDescent="0.3">
      <c r="A192" s="36" t="s">
        <v>88</v>
      </c>
      <c r="B192" s="36" t="s">
        <v>113</v>
      </c>
      <c r="C192" s="47" t="s">
        <v>333</v>
      </c>
      <c r="D192" s="33"/>
      <c r="E192" s="65" t="s">
        <v>145</v>
      </c>
      <c r="F192" s="39">
        <f>F193</f>
        <v>164</v>
      </c>
      <c r="G192" s="39">
        <f>G193</f>
        <v>111.5</v>
      </c>
      <c r="H192" s="26">
        <f t="shared" si="14"/>
        <v>68</v>
      </c>
    </row>
    <row r="193" spans="1:8" ht="39.6" x14ac:dyDescent="0.3">
      <c r="A193" s="36" t="s">
        <v>88</v>
      </c>
      <c r="B193" s="36" t="s">
        <v>113</v>
      </c>
      <c r="C193" s="47" t="s">
        <v>333</v>
      </c>
      <c r="D193" s="48" t="s">
        <v>213</v>
      </c>
      <c r="E193" s="46" t="s">
        <v>214</v>
      </c>
      <c r="F193" s="42">
        <v>164</v>
      </c>
      <c r="G193" s="26">
        <v>111.5</v>
      </c>
      <c r="H193" s="26">
        <f t="shared" si="14"/>
        <v>68</v>
      </c>
    </row>
    <row r="194" spans="1:8" ht="40.200000000000003" x14ac:dyDescent="0.3">
      <c r="A194" s="36" t="s">
        <v>88</v>
      </c>
      <c r="B194" s="36" t="s">
        <v>113</v>
      </c>
      <c r="C194" s="48" t="s">
        <v>334</v>
      </c>
      <c r="D194" s="33"/>
      <c r="E194" s="65" t="s">
        <v>148</v>
      </c>
      <c r="F194" s="39">
        <f>F195</f>
        <v>36</v>
      </c>
      <c r="G194" s="39">
        <f>G195</f>
        <v>0</v>
      </c>
      <c r="H194" s="26">
        <f t="shared" si="14"/>
        <v>0</v>
      </c>
    </row>
    <row r="195" spans="1:8" ht="39.6" x14ac:dyDescent="0.3">
      <c r="A195" s="36" t="s">
        <v>88</v>
      </c>
      <c r="B195" s="36" t="s">
        <v>113</v>
      </c>
      <c r="C195" s="48" t="s">
        <v>334</v>
      </c>
      <c r="D195" s="48" t="s">
        <v>213</v>
      </c>
      <c r="E195" s="46" t="s">
        <v>214</v>
      </c>
      <c r="F195" s="39">
        <v>36</v>
      </c>
      <c r="G195" s="26">
        <v>0</v>
      </c>
      <c r="H195" s="26">
        <f t="shared" si="14"/>
        <v>0</v>
      </c>
    </row>
    <row r="196" spans="1:8" ht="56.25" customHeight="1" x14ac:dyDescent="0.3">
      <c r="A196" s="36" t="s">
        <v>88</v>
      </c>
      <c r="B196" s="36" t="s">
        <v>113</v>
      </c>
      <c r="C196" s="48" t="s">
        <v>479</v>
      </c>
      <c r="D196" s="48"/>
      <c r="E196" s="46" t="s">
        <v>480</v>
      </c>
      <c r="F196" s="39">
        <f>F197</f>
        <v>206.3</v>
      </c>
      <c r="G196" s="39">
        <f>G197</f>
        <v>202.1</v>
      </c>
      <c r="H196" s="26">
        <f t="shared" si="14"/>
        <v>98</v>
      </c>
    </row>
    <row r="197" spans="1:8" ht="39.6" x14ac:dyDescent="0.3">
      <c r="A197" s="36" t="s">
        <v>88</v>
      </c>
      <c r="B197" s="36" t="s">
        <v>113</v>
      </c>
      <c r="C197" s="48" t="s">
        <v>479</v>
      </c>
      <c r="D197" s="48" t="s">
        <v>213</v>
      </c>
      <c r="E197" s="46" t="s">
        <v>214</v>
      </c>
      <c r="F197" s="39">
        <f>250-43.7</f>
        <v>206.3</v>
      </c>
      <c r="G197" s="26">
        <v>202.1</v>
      </c>
      <c r="H197" s="26">
        <f t="shared" si="14"/>
        <v>98</v>
      </c>
    </row>
    <row r="198" spans="1:8" ht="93" x14ac:dyDescent="0.3">
      <c r="A198" s="68" t="s">
        <v>88</v>
      </c>
      <c r="B198" s="68" t="s">
        <v>113</v>
      </c>
      <c r="C198" s="83">
        <v>400000000</v>
      </c>
      <c r="D198" s="36"/>
      <c r="E198" s="84" t="s">
        <v>323</v>
      </c>
      <c r="F198" s="62">
        <f>F199</f>
        <v>2453.5</v>
      </c>
      <c r="G198" s="62">
        <f>G199</f>
        <v>1127.7</v>
      </c>
      <c r="H198" s="26">
        <f t="shared" si="14"/>
        <v>46</v>
      </c>
    </row>
    <row r="199" spans="1:8" ht="53.4" x14ac:dyDescent="0.3">
      <c r="A199" s="71" t="s">
        <v>88</v>
      </c>
      <c r="B199" s="71" t="s">
        <v>113</v>
      </c>
      <c r="C199" s="85">
        <v>410000000</v>
      </c>
      <c r="D199" s="33"/>
      <c r="E199" s="34" t="s">
        <v>324</v>
      </c>
      <c r="F199" s="64">
        <f>F200+F202+F204+F206+F208+F210+F212+F214+F216</f>
        <v>2453.5</v>
      </c>
      <c r="G199" s="64">
        <f>G200+G202+G204+G206+G208+G210+G212+G214+G216</f>
        <v>1127.7</v>
      </c>
      <c r="H199" s="26">
        <f t="shared" si="14"/>
        <v>46</v>
      </c>
    </row>
    <row r="200" spans="1:8" ht="66" customHeight="1" x14ac:dyDescent="0.3">
      <c r="A200" s="36" t="s">
        <v>88</v>
      </c>
      <c r="B200" s="36" t="s">
        <v>113</v>
      </c>
      <c r="C200" s="66" t="s">
        <v>335</v>
      </c>
      <c r="D200" s="48"/>
      <c r="E200" s="46" t="s">
        <v>481</v>
      </c>
      <c r="F200" s="42">
        <f t="shared" ref="F200:G200" si="15">F201</f>
        <v>50</v>
      </c>
      <c r="G200" s="42">
        <f t="shared" si="15"/>
        <v>25.2</v>
      </c>
      <c r="H200" s="26">
        <f t="shared" si="14"/>
        <v>50.4</v>
      </c>
    </row>
    <row r="201" spans="1:8" ht="39.6" x14ac:dyDescent="0.3">
      <c r="A201" s="36" t="s">
        <v>88</v>
      </c>
      <c r="B201" s="36" t="s">
        <v>113</v>
      </c>
      <c r="C201" s="66" t="s">
        <v>335</v>
      </c>
      <c r="D201" s="48" t="s">
        <v>213</v>
      </c>
      <c r="E201" s="46" t="s">
        <v>214</v>
      </c>
      <c r="F201" s="42">
        <v>50</v>
      </c>
      <c r="G201" s="26">
        <v>25.2</v>
      </c>
      <c r="H201" s="26">
        <f t="shared" ref="H201:H220" si="16">ROUND((G201/F201*100),1)</f>
        <v>50.4</v>
      </c>
    </row>
    <row r="202" spans="1:8" ht="26.4" x14ac:dyDescent="0.3">
      <c r="A202" s="36" t="s">
        <v>88</v>
      </c>
      <c r="B202" s="36" t="s">
        <v>113</v>
      </c>
      <c r="C202" s="66" t="s">
        <v>336</v>
      </c>
      <c r="D202" s="48"/>
      <c r="E202" s="46" t="s">
        <v>337</v>
      </c>
      <c r="F202" s="42">
        <f>F203</f>
        <v>30</v>
      </c>
      <c r="G202" s="42">
        <f>G203</f>
        <v>0</v>
      </c>
      <c r="H202" s="26">
        <f t="shared" si="16"/>
        <v>0</v>
      </c>
    </row>
    <row r="203" spans="1:8" ht="39.6" x14ac:dyDescent="0.3">
      <c r="A203" s="36" t="s">
        <v>88</v>
      </c>
      <c r="B203" s="36" t="s">
        <v>113</v>
      </c>
      <c r="C203" s="66" t="s">
        <v>336</v>
      </c>
      <c r="D203" s="48" t="s">
        <v>213</v>
      </c>
      <c r="E203" s="46" t="s">
        <v>214</v>
      </c>
      <c r="F203" s="42">
        <v>30</v>
      </c>
      <c r="G203" s="26">
        <v>0</v>
      </c>
      <c r="H203" s="26">
        <f t="shared" si="16"/>
        <v>0</v>
      </c>
    </row>
    <row r="204" spans="1:8" ht="39.6" x14ac:dyDescent="0.3">
      <c r="A204" s="36" t="s">
        <v>88</v>
      </c>
      <c r="B204" s="36" t="s">
        <v>113</v>
      </c>
      <c r="C204" s="66" t="s">
        <v>482</v>
      </c>
      <c r="D204" s="48"/>
      <c r="E204" s="46" t="s">
        <v>483</v>
      </c>
      <c r="F204" s="42">
        <f>F205</f>
        <v>82.5</v>
      </c>
      <c r="G204" s="42">
        <f>G205</f>
        <v>82.5</v>
      </c>
      <c r="H204" s="26">
        <f t="shared" si="16"/>
        <v>100</v>
      </c>
    </row>
    <row r="205" spans="1:8" ht="39.6" x14ac:dyDescent="0.3">
      <c r="A205" s="36" t="s">
        <v>88</v>
      </c>
      <c r="B205" s="36" t="s">
        <v>113</v>
      </c>
      <c r="C205" s="66" t="s">
        <v>482</v>
      </c>
      <c r="D205" s="48" t="s">
        <v>213</v>
      </c>
      <c r="E205" s="46" t="s">
        <v>214</v>
      </c>
      <c r="F205" s="42">
        <v>82.5</v>
      </c>
      <c r="G205" s="26">
        <v>82.5</v>
      </c>
      <c r="H205" s="26">
        <f t="shared" si="16"/>
        <v>100</v>
      </c>
    </row>
    <row r="206" spans="1:8" x14ac:dyDescent="0.3">
      <c r="A206" s="36" t="s">
        <v>88</v>
      </c>
      <c r="B206" s="36" t="s">
        <v>113</v>
      </c>
      <c r="C206" s="66" t="s">
        <v>484</v>
      </c>
      <c r="D206" s="48"/>
      <c r="E206" s="46" t="s">
        <v>485</v>
      </c>
      <c r="F206" s="42">
        <f>F207</f>
        <v>5</v>
      </c>
      <c r="G206" s="42">
        <f>G207</f>
        <v>0</v>
      </c>
      <c r="H206" s="26">
        <f t="shared" si="16"/>
        <v>0</v>
      </c>
    </row>
    <row r="207" spans="1:8" ht="39.6" x14ac:dyDescent="0.3">
      <c r="A207" s="36" t="s">
        <v>88</v>
      </c>
      <c r="B207" s="36" t="s">
        <v>113</v>
      </c>
      <c r="C207" s="66" t="s">
        <v>484</v>
      </c>
      <c r="D207" s="48" t="s">
        <v>213</v>
      </c>
      <c r="E207" s="46" t="s">
        <v>214</v>
      </c>
      <c r="F207" s="42">
        <v>5</v>
      </c>
      <c r="G207" s="26">
        <v>0</v>
      </c>
      <c r="H207" s="26">
        <f t="shared" si="16"/>
        <v>0</v>
      </c>
    </row>
    <row r="208" spans="1:8" ht="52.8" x14ac:dyDescent="0.3">
      <c r="A208" s="36" t="s">
        <v>88</v>
      </c>
      <c r="B208" s="36" t="s">
        <v>113</v>
      </c>
      <c r="C208" s="66" t="s">
        <v>338</v>
      </c>
      <c r="D208" s="48"/>
      <c r="E208" s="46" t="s">
        <v>486</v>
      </c>
      <c r="F208" s="42">
        <f>F209</f>
        <v>150</v>
      </c>
      <c r="G208" s="42">
        <f>G209</f>
        <v>150</v>
      </c>
      <c r="H208" s="26">
        <f t="shared" si="16"/>
        <v>100</v>
      </c>
    </row>
    <row r="209" spans="1:8" ht="66" x14ac:dyDescent="0.3">
      <c r="A209" s="36" t="s">
        <v>88</v>
      </c>
      <c r="B209" s="36" t="s">
        <v>113</v>
      </c>
      <c r="C209" s="66" t="s">
        <v>338</v>
      </c>
      <c r="D209" s="36" t="s">
        <v>227</v>
      </c>
      <c r="E209" s="46" t="s">
        <v>283</v>
      </c>
      <c r="F209" s="42">
        <v>150</v>
      </c>
      <c r="G209" s="26">
        <v>150</v>
      </c>
      <c r="H209" s="26">
        <f t="shared" si="16"/>
        <v>100</v>
      </c>
    </row>
    <row r="210" spans="1:8" ht="66" x14ac:dyDescent="0.3">
      <c r="A210" s="36" t="s">
        <v>88</v>
      </c>
      <c r="B210" s="36" t="s">
        <v>113</v>
      </c>
      <c r="C210" s="66" t="s">
        <v>339</v>
      </c>
      <c r="D210" s="48"/>
      <c r="E210" s="46" t="s">
        <v>340</v>
      </c>
      <c r="F210" s="42">
        <f>F211</f>
        <v>1000</v>
      </c>
      <c r="G210" s="26">
        <v>0</v>
      </c>
      <c r="H210" s="26">
        <f t="shared" si="16"/>
        <v>0</v>
      </c>
    </row>
    <row r="211" spans="1:8" ht="66" x14ac:dyDescent="0.3">
      <c r="A211" s="36" t="s">
        <v>88</v>
      </c>
      <c r="B211" s="36" t="s">
        <v>113</v>
      </c>
      <c r="C211" s="66" t="s">
        <v>339</v>
      </c>
      <c r="D211" s="36" t="s">
        <v>227</v>
      </c>
      <c r="E211" s="46" t="s">
        <v>283</v>
      </c>
      <c r="F211" s="42">
        <v>1000</v>
      </c>
      <c r="G211" s="26">
        <v>0</v>
      </c>
      <c r="H211" s="26">
        <f t="shared" si="16"/>
        <v>0</v>
      </c>
    </row>
    <row r="212" spans="1:8" ht="92.4" x14ac:dyDescent="0.3">
      <c r="A212" s="36" t="s">
        <v>88</v>
      </c>
      <c r="B212" s="36" t="s">
        <v>113</v>
      </c>
      <c r="C212" s="66" t="s">
        <v>341</v>
      </c>
      <c r="D212" s="48"/>
      <c r="E212" s="46" t="s">
        <v>342</v>
      </c>
      <c r="F212" s="42">
        <f>F213</f>
        <v>80</v>
      </c>
      <c r="G212" s="42">
        <f>G213</f>
        <v>80</v>
      </c>
      <c r="H212" s="26">
        <f t="shared" si="16"/>
        <v>100</v>
      </c>
    </row>
    <row r="213" spans="1:8" ht="66" x14ac:dyDescent="0.3">
      <c r="A213" s="36" t="s">
        <v>88</v>
      </c>
      <c r="B213" s="36" t="s">
        <v>113</v>
      </c>
      <c r="C213" s="66" t="s">
        <v>341</v>
      </c>
      <c r="D213" s="36" t="s">
        <v>227</v>
      </c>
      <c r="E213" s="46" t="s">
        <v>283</v>
      </c>
      <c r="F213" s="42">
        <v>80</v>
      </c>
      <c r="G213" s="27">
        <v>80</v>
      </c>
      <c r="H213" s="26">
        <f t="shared" si="16"/>
        <v>100</v>
      </c>
    </row>
    <row r="214" spans="1:8" ht="92.4" x14ac:dyDescent="0.3">
      <c r="A214" s="36" t="s">
        <v>88</v>
      </c>
      <c r="B214" s="36" t="s">
        <v>113</v>
      </c>
      <c r="C214" s="66" t="s">
        <v>343</v>
      </c>
      <c r="D214" s="48"/>
      <c r="E214" s="46" t="s">
        <v>344</v>
      </c>
      <c r="F214" s="42">
        <f>F215</f>
        <v>700</v>
      </c>
      <c r="G214" s="42">
        <f>G215</f>
        <v>700</v>
      </c>
      <c r="H214" s="26">
        <f t="shared" si="16"/>
        <v>100</v>
      </c>
    </row>
    <row r="215" spans="1:8" ht="66" x14ac:dyDescent="0.3">
      <c r="A215" s="36" t="s">
        <v>88</v>
      </c>
      <c r="B215" s="36" t="s">
        <v>113</v>
      </c>
      <c r="C215" s="66" t="s">
        <v>343</v>
      </c>
      <c r="D215" s="36" t="s">
        <v>227</v>
      </c>
      <c r="E215" s="46" t="s">
        <v>283</v>
      </c>
      <c r="F215" s="42">
        <v>700</v>
      </c>
      <c r="G215" s="26">
        <v>700</v>
      </c>
      <c r="H215" s="26">
        <f t="shared" si="16"/>
        <v>100</v>
      </c>
    </row>
    <row r="216" spans="1:8" ht="79.2" x14ac:dyDescent="0.3">
      <c r="A216" s="36" t="s">
        <v>88</v>
      </c>
      <c r="B216" s="36" t="s">
        <v>113</v>
      </c>
      <c r="C216" s="66" t="s">
        <v>487</v>
      </c>
      <c r="D216" s="36"/>
      <c r="E216" s="46" t="s">
        <v>488</v>
      </c>
      <c r="F216" s="42">
        <f>F217</f>
        <v>356</v>
      </c>
      <c r="G216" s="42">
        <f>G217</f>
        <v>90</v>
      </c>
      <c r="H216" s="26">
        <f t="shared" si="16"/>
        <v>25.3</v>
      </c>
    </row>
    <row r="217" spans="1:8" ht="66" x14ac:dyDescent="0.3">
      <c r="A217" s="36" t="s">
        <v>88</v>
      </c>
      <c r="B217" s="36" t="s">
        <v>113</v>
      </c>
      <c r="C217" s="66" t="s">
        <v>487</v>
      </c>
      <c r="D217" s="36" t="s">
        <v>227</v>
      </c>
      <c r="E217" s="46" t="s">
        <v>283</v>
      </c>
      <c r="F217" s="42">
        <v>356</v>
      </c>
      <c r="G217" s="26">
        <v>90</v>
      </c>
      <c r="H217" s="26">
        <f t="shared" si="16"/>
        <v>25.3</v>
      </c>
    </row>
    <row r="218" spans="1:8" ht="79.2" x14ac:dyDescent="0.3">
      <c r="A218" s="68" t="s">
        <v>88</v>
      </c>
      <c r="B218" s="68" t="s">
        <v>113</v>
      </c>
      <c r="C218" s="60" t="s">
        <v>128</v>
      </c>
      <c r="D218" s="36"/>
      <c r="E218" s="96" t="s">
        <v>345</v>
      </c>
      <c r="F218" s="62">
        <f>F219</f>
        <v>1321.4</v>
      </c>
      <c r="G218" s="62">
        <f>G219</f>
        <v>0</v>
      </c>
      <c r="H218" s="26">
        <f t="shared" si="16"/>
        <v>0</v>
      </c>
    </row>
    <row r="219" spans="1:8" ht="51" customHeight="1" x14ac:dyDescent="0.3">
      <c r="A219" s="71" t="s">
        <v>88</v>
      </c>
      <c r="B219" s="71" t="s">
        <v>113</v>
      </c>
      <c r="C219" s="63" t="s">
        <v>129</v>
      </c>
      <c r="D219" s="36"/>
      <c r="E219" s="44" t="s">
        <v>346</v>
      </c>
      <c r="F219" s="64">
        <f>F220+F222+F224</f>
        <v>1321.4</v>
      </c>
      <c r="G219" s="64">
        <f>G220+G222+G224</f>
        <v>0</v>
      </c>
      <c r="H219" s="26">
        <f t="shared" si="16"/>
        <v>0</v>
      </c>
    </row>
    <row r="220" spans="1:8" ht="79.8" x14ac:dyDescent="0.3">
      <c r="A220" s="36" t="s">
        <v>88</v>
      </c>
      <c r="B220" s="36" t="s">
        <v>113</v>
      </c>
      <c r="C220" s="67">
        <v>810123102</v>
      </c>
      <c r="D220" s="36"/>
      <c r="E220" s="41" t="s">
        <v>489</v>
      </c>
      <c r="F220" s="42">
        <f>F221</f>
        <v>591</v>
      </c>
      <c r="G220" s="42">
        <f>G221</f>
        <v>0</v>
      </c>
      <c r="H220" s="26">
        <f t="shared" si="16"/>
        <v>0</v>
      </c>
    </row>
    <row r="221" spans="1:8" ht="39.6" x14ac:dyDescent="0.3">
      <c r="A221" s="36" t="s">
        <v>88</v>
      </c>
      <c r="B221" s="36" t="s">
        <v>113</v>
      </c>
      <c r="C221" s="67">
        <v>810123102</v>
      </c>
      <c r="D221" s="48" t="s">
        <v>213</v>
      </c>
      <c r="E221" s="46" t="s">
        <v>214</v>
      </c>
      <c r="F221" s="42">
        <v>591</v>
      </c>
      <c r="G221" s="26">
        <f>G222</f>
        <v>0</v>
      </c>
      <c r="H221" s="26">
        <f t="shared" ref="H221:H235" si="17">ROUND((G221/F221*100),1)</f>
        <v>0</v>
      </c>
    </row>
    <row r="222" spans="1:8" ht="79.2" x14ac:dyDescent="0.3">
      <c r="A222" s="36" t="s">
        <v>88</v>
      </c>
      <c r="B222" s="36" t="s">
        <v>113</v>
      </c>
      <c r="C222" s="67">
        <v>810123103</v>
      </c>
      <c r="D222" s="48"/>
      <c r="E222" s="46" t="s">
        <v>490</v>
      </c>
      <c r="F222" s="42">
        <f>F223</f>
        <v>435</v>
      </c>
      <c r="G222" s="26">
        <v>0</v>
      </c>
      <c r="H222" s="26">
        <f t="shared" si="17"/>
        <v>0</v>
      </c>
    </row>
    <row r="223" spans="1:8" ht="39.6" x14ac:dyDescent="0.3">
      <c r="A223" s="36" t="s">
        <v>88</v>
      </c>
      <c r="B223" s="36" t="s">
        <v>113</v>
      </c>
      <c r="C223" s="67">
        <v>810123103</v>
      </c>
      <c r="D223" s="48" t="s">
        <v>213</v>
      </c>
      <c r="E223" s="46" t="s">
        <v>214</v>
      </c>
      <c r="F223" s="42">
        <v>435</v>
      </c>
      <c r="G223" s="27">
        <v>0</v>
      </c>
      <c r="H223" s="26">
        <f t="shared" si="17"/>
        <v>0</v>
      </c>
    </row>
    <row r="224" spans="1:8" ht="92.4" x14ac:dyDescent="0.3">
      <c r="A224" s="36" t="s">
        <v>88</v>
      </c>
      <c r="B224" s="36" t="s">
        <v>113</v>
      </c>
      <c r="C224" s="67">
        <v>810123104</v>
      </c>
      <c r="D224" s="48"/>
      <c r="E224" s="46" t="s">
        <v>491</v>
      </c>
      <c r="F224" s="42">
        <f>F225</f>
        <v>295.39999999999998</v>
      </c>
      <c r="G224" s="42">
        <f>G225</f>
        <v>0</v>
      </c>
      <c r="H224" s="26">
        <f t="shared" si="17"/>
        <v>0</v>
      </c>
    </row>
    <row r="225" spans="1:8" ht="39.6" x14ac:dyDescent="0.3">
      <c r="A225" s="36" t="s">
        <v>88</v>
      </c>
      <c r="B225" s="36" t="s">
        <v>113</v>
      </c>
      <c r="C225" s="67">
        <v>810123104</v>
      </c>
      <c r="D225" s="48" t="s">
        <v>213</v>
      </c>
      <c r="E225" s="46" t="s">
        <v>214</v>
      </c>
      <c r="F225" s="42">
        <v>295.39999999999998</v>
      </c>
      <c r="G225" s="26">
        <v>0</v>
      </c>
      <c r="H225" s="26">
        <f t="shared" si="17"/>
        <v>0</v>
      </c>
    </row>
    <row r="226" spans="1:8" ht="18" customHeight="1" x14ac:dyDescent="0.3">
      <c r="A226" s="29" t="s">
        <v>89</v>
      </c>
      <c r="B226" s="72"/>
      <c r="C226" s="72"/>
      <c r="D226" s="72"/>
      <c r="E226" s="73" t="s">
        <v>45</v>
      </c>
      <c r="F226" s="32">
        <f>F227+F248+F284+F341</f>
        <v>98106.9</v>
      </c>
      <c r="G226" s="32">
        <f>G227+G248+G284+G341</f>
        <v>35155.800000000003</v>
      </c>
      <c r="H226" s="26">
        <f t="shared" si="17"/>
        <v>35.799999999999997</v>
      </c>
    </row>
    <row r="227" spans="1:8" x14ac:dyDescent="0.3">
      <c r="A227" s="33" t="s">
        <v>89</v>
      </c>
      <c r="B227" s="33" t="s">
        <v>84</v>
      </c>
      <c r="C227" s="33"/>
      <c r="D227" s="33"/>
      <c r="E227" s="55" t="s">
        <v>40</v>
      </c>
      <c r="F227" s="35">
        <f>F228</f>
        <v>7265.2</v>
      </c>
      <c r="G227" s="35">
        <f>G228</f>
        <v>5527.1</v>
      </c>
      <c r="H227" s="26">
        <f t="shared" si="17"/>
        <v>76.099999999999994</v>
      </c>
    </row>
    <row r="228" spans="1:8" ht="79.8" x14ac:dyDescent="0.3">
      <c r="A228" s="68" t="s">
        <v>89</v>
      </c>
      <c r="B228" s="68" t="s">
        <v>84</v>
      </c>
      <c r="C228" s="60" t="s">
        <v>136</v>
      </c>
      <c r="D228" s="36"/>
      <c r="E228" s="84" t="s">
        <v>347</v>
      </c>
      <c r="F228" s="62">
        <f>F229+F235+F243</f>
        <v>7265.2</v>
      </c>
      <c r="G228" s="62">
        <f>G229+G235+G243</f>
        <v>5527.1</v>
      </c>
      <c r="H228" s="26">
        <f t="shared" si="17"/>
        <v>76.099999999999994</v>
      </c>
    </row>
    <row r="229" spans="1:8" ht="40.200000000000003" x14ac:dyDescent="0.3">
      <c r="A229" s="71" t="s">
        <v>89</v>
      </c>
      <c r="B229" s="71" t="s">
        <v>84</v>
      </c>
      <c r="C229" s="63" t="s">
        <v>132</v>
      </c>
      <c r="D229" s="36"/>
      <c r="E229" s="44" t="s">
        <v>236</v>
      </c>
      <c r="F229" s="64">
        <f>F230+F233</f>
        <v>1618</v>
      </c>
      <c r="G229" s="64">
        <f>G230+G233</f>
        <v>898.30000000000007</v>
      </c>
      <c r="H229" s="26">
        <f t="shared" si="17"/>
        <v>55.5</v>
      </c>
    </row>
    <row r="230" spans="1:8" ht="41.25" customHeight="1" x14ac:dyDescent="0.3">
      <c r="A230" s="36" t="s">
        <v>89</v>
      </c>
      <c r="B230" s="36" t="s">
        <v>84</v>
      </c>
      <c r="C230" s="97" t="s">
        <v>348</v>
      </c>
      <c r="D230" s="72"/>
      <c r="E230" s="46" t="s">
        <v>237</v>
      </c>
      <c r="F230" s="39">
        <f>SUM(F231:F232)</f>
        <v>1040.5</v>
      </c>
      <c r="G230" s="39">
        <f>SUM(G231:G232)</f>
        <v>898.30000000000007</v>
      </c>
      <c r="H230" s="26">
        <f t="shared" si="17"/>
        <v>86.3</v>
      </c>
    </row>
    <row r="231" spans="1:8" ht="39.6" x14ac:dyDescent="0.3">
      <c r="A231" s="36" t="s">
        <v>89</v>
      </c>
      <c r="B231" s="36" t="s">
        <v>84</v>
      </c>
      <c r="C231" s="97" t="s">
        <v>348</v>
      </c>
      <c r="D231" s="48" t="s">
        <v>213</v>
      </c>
      <c r="E231" s="46" t="s">
        <v>214</v>
      </c>
      <c r="F231" s="39">
        <f>100+853.3+72.8+2.5</f>
        <v>1028.5999999999999</v>
      </c>
      <c r="G231" s="26">
        <v>890.7</v>
      </c>
      <c r="H231" s="26">
        <f t="shared" si="17"/>
        <v>86.6</v>
      </c>
    </row>
    <row r="232" spans="1:8" x14ac:dyDescent="0.3">
      <c r="A232" s="36" t="s">
        <v>89</v>
      </c>
      <c r="B232" s="36" t="s">
        <v>84</v>
      </c>
      <c r="C232" s="97" t="s">
        <v>348</v>
      </c>
      <c r="D232" s="48" t="s">
        <v>217</v>
      </c>
      <c r="E232" s="46" t="s">
        <v>218</v>
      </c>
      <c r="F232" s="39">
        <f>7.6+4.3</f>
        <v>11.899999999999999</v>
      </c>
      <c r="G232" s="26">
        <v>7.6</v>
      </c>
      <c r="H232" s="26">
        <f t="shared" si="17"/>
        <v>63.9</v>
      </c>
    </row>
    <row r="233" spans="1:8" ht="26.4" x14ac:dyDescent="0.3">
      <c r="A233" s="36" t="s">
        <v>89</v>
      </c>
      <c r="B233" s="36" t="s">
        <v>84</v>
      </c>
      <c r="C233" s="47" t="s">
        <v>349</v>
      </c>
      <c r="D233" s="72"/>
      <c r="E233" s="46" t="s">
        <v>269</v>
      </c>
      <c r="F233" s="39">
        <f>F234</f>
        <v>577.5</v>
      </c>
      <c r="G233" s="26">
        <f t="shared" ref="G233" si="18">G234</f>
        <v>0</v>
      </c>
      <c r="H233" s="26">
        <f t="shared" si="17"/>
        <v>0</v>
      </c>
    </row>
    <row r="234" spans="1:8" ht="39.6" x14ac:dyDescent="0.3">
      <c r="A234" s="36" t="s">
        <v>89</v>
      </c>
      <c r="B234" s="36" t="s">
        <v>84</v>
      </c>
      <c r="C234" s="47" t="s">
        <v>349</v>
      </c>
      <c r="D234" s="48" t="s">
        <v>213</v>
      </c>
      <c r="E234" s="46" t="s">
        <v>214</v>
      </c>
      <c r="F234" s="42">
        <f>800-222.5</f>
        <v>577.5</v>
      </c>
      <c r="G234" s="26">
        <v>0</v>
      </c>
      <c r="H234" s="26">
        <f t="shared" si="17"/>
        <v>0</v>
      </c>
    </row>
    <row r="235" spans="1:8" ht="40.200000000000003" x14ac:dyDescent="0.3">
      <c r="A235" s="71" t="s">
        <v>89</v>
      </c>
      <c r="B235" s="71" t="s">
        <v>84</v>
      </c>
      <c r="C235" s="63" t="s">
        <v>133</v>
      </c>
      <c r="D235" s="36"/>
      <c r="E235" s="44" t="s">
        <v>130</v>
      </c>
      <c r="F235" s="64">
        <f>F236+F238+F240</f>
        <v>2270.5</v>
      </c>
      <c r="G235" s="64">
        <f>G236+G238+G240</f>
        <v>1915.5</v>
      </c>
      <c r="H235" s="26">
        <f t="shared" si="17"/>
        <v>84.4</v>
      </c>
    </row>
    <row r="236" spans="1:8" ht="39.75" customHeight="1" x14ac:dyDescent="0.3">
      <c r="A236" s="36" t="s">
        <v>89</v>
      </c>
      <c r="B236" s="36" t="s">
        <v>84</v>
      </c>
      <c r="C236" s="37">
        <v>520123262</v>
      </c>
      <c r="D236" s="36"/>
      <c r="E236" s="46" t="s">
        <v>492</v>
      </c>
      <c r="F236" s="39">
        <f>F237</f>
        <v>20</v>
      </c>
      <c r="G236" s="39">
        <f>G237</f>
        <v>0</v>
      </c>
      <c r="H236" s="26">
        <f t="shared" ref="H236:H273" si="19">ROUND((G236/F236*100),1)</f>
        <v>0</v>
      </c>
    </row>
    <row r="237" spans="1:8" ht="39.6" x14ac:dyDescent="0.3">
      <c r="A237" s="36" t="s">
        <v>89</v>
      </c>
      <c r="B237" s="36" t="s">
        <v>84</v>
      </c>
      <c r="C237" s="37">
        <v>520123262</v>
      </c>
      <c r="D237" s="48" t="s">
        <v>213</v>
      </c>
      <c r="E237" s="46" t="s">
        <v>214</v>
      </c>
      <c r="F237" s="39">
        <v>20</v>
      </c>
      <c r="G237" s="26">
        <v>0</v>
      </c>
      <c r="H237" s="26">
        <f t="shared" si="19"/>
        <v>0</v>
      </c>
    </row>
    <row r="238" spans="1:8" ht="18.75" customHeight="1" x14ac:dyDescent="0.3">
      <c r="A238" s="36" t="s">
        <v>89</v>
      </c>
      <c r="B238" s="36" t="s">
        <v>84</v>
      </c>
      <c r="C238" s="97" t="s">
        <v>350</v>
      </c>
      <c r="D238" s="48"/>
      <c r="E238" s="46" t="s">
        <v>351</v>
      </c>
      <c r="F238" s="39">
        <f>F239</f>
        <v>200</v>
      </c>
      <c r="G238" s="26">
        <f>G239</f>
        <v>200</v>
      </c>
      <c r="H238" s="26">
        <f t="shared" si="19"/>
        <v>100</v>
      </c>
    </row>
    <row r="239" spans="1:8" ht="39.6" x14ac:dyDescent="0.3">
      <c r="A239" s="36" t="s">
        <v>89</v>
      </c>
      <c r="B239" s="36" t="s">
        <v>84</v>
      </c>
      <c r="C239" s="97" t="s">
        <v>350</v>
      </c>
      <c r="D239" s="48" t="s">
        <v>213</v>
      </c>
      <c r="E239" s="46" t="s">
        <v>214</v>
      </c>
      <c r="F239" s="39">
        <v>200</v>
      </c>
      <c r="G239" s="26">
        <v>200</v>
      </c>
      <c r="H239" s="26">
        <f t="shared" si="19"/>
        <v>100</v>
      </c>
    </row>
    <row r="240" spans="1:8" ht="39.6" x14ac:dyDescent="0.3">
      <c r="A240" s="36" t="s">
        <v>89</v>
      </c>
      <c r="B240" s="36" t="s">
        <v>84</v>
      </c>
      <c r="C240" s="37">
        <v>520223264</v>
      </c>
      <c r="D240" s="48"/>
      <c r="E240" s="46" t="s">
        <v>493</v>
      </c>
      <c r="F240" s="39">
        <f>SUM(F241:F242)</f>
        <v>2050.5</v>
      </c>
      <c r="G240" s="39">
        <f>SUM(G241:G242)</f>
        <v>1715.5</v>
      </c>
      <c r="H240" s="26">
        <f t="shared" si="19"/>
        <v>83.7</v>
      </c>
    </row>
    <row r="241" spans="1:8" x14ac:dyDescent="0.3">
      <c r="A241" s="36" t="s">
        <v>89</v>
      </c>
      <c r="B241" s="36" t="s">
        <v>84</v>
      </c>
      <c r="C241" s="37">
        <v>520223264</v>
      </c>
      <c r="D241" s="48" t="s">
        <v>217</v>
      </c>
      <c r="E241" s="46" t="s">
        <v>218</v>
      </c>
      <c r="F241" s="39">
        <f>67.5+9.8</f>
        <v>77.3</v>
      </c>
      <c r="G241" s="26">
        <v>67.5</v>
      </c>
      <c r="H241" s="26">
        <f t="shared" si="19"/>
        <v>87.3</v>
      </c>
    </row>
    <row r="242" spans="1:8" x14ac:dyDescent="0.3">
      <c r="A242" s="36" t="s">
        <v>89</v>
      </c>
      <c r="B242" s="36" t="s">
        <v>84</v>
      </c>
      <c r="C242" s="37">
        <v>520223264</v>
      </c>
      <c r="D242" s="48" t="s">
        <v>119</v>
      </c>
      <c r="E242" s="46" t="s">
        <v>120</v>
      </c>
      <c r="F242" s="39">
        <f>1648+325.2</f>
        <v>1973.2</v>
      </c>
      <c r="G242" s="26">
        <v>1648</v>
      </c>
      <c r="H242" s="26">
        <f t="shared" si="19"/>
        <v>83.5</v>
      </c>
    </row>
    <row r="243" spans="1:8" ht="53.4" x14ac:dyDescent="0.3">
      <c r="A243" s="71" t="s">
        <v>89</v>
      </c>
      <c r="B243" s="71" t="s">
        <v>84</v>
      </c>
      <c r="C243" s="63" t="s">
        <v>134</v>
      </c>
      <c r="D243" s="36"/>
      <c r="E243" s="44" t="s">
        <v>131</v>
      </c>
      <c r="F243" s="64">
        <f>F244+F246</f>
        <v>3376.7</v>
      </c>
      <c r="G243" s="64">
        <f>G244+G246</f>
        <v>2713.3</v>
      </c>
      <c r="H243" s="26">
        <f t="shared" si="19"/>
        <v>80.400000000000006</v>
      </c>
    </row>
    <row r="244" spans="1:8" ht="66" x14ac:dyDescent="0.3">
      <c r="A244" s="48" t="s">
        <v>89</v>
      </c>
      <c r="B244" s="48" t="s">
        <v>84</v>
      </c>
      <c r="C244" s="37">
        <v>530123271</v>
      </c>
      <c r="D244" s="36"/>
      <c r="E244" s="46" t="s">
        <v>135</v>
      </c>
      <c r="F244" s="39">
        <f>F245</f>
        <v>1454.6000000000001</v>
      </c>
      <c r="G244" s="39">
        <f>G245</f>
        <v>791.2</v>
      </c>
      <c r="H244" s="26">
        <f t="shared" si="19"/>
        <v>54.4</v>
      </c>
    </row>
    <row r="245" spans="1:8" ht="39.6" x14ac:dyDescent="0.3">
      <c r="A245" s="36" t="s">
        <v>89</v>
      </c>
      <c r="B245" s="36" t="s">
        <v>84</v>
      </c>
      <c r="C245" s="37">
        <v>530123271</v>
      </c>
      <c r="D245" s="48" t="s">
        <v>213</v>
      </c>
      <c r="E245" s="46" t="s">
        <v>214</v>
      </c>
      <c r="F245" s="87">
        <f>1461.4-6.8</f>
        <v>1454.6000000000001</v>
      </c>
      <c r="G245" s="26">
        <v>791.2</v>
      </c>
      <c r="H245" s="26">
        <f t="shared" si="19"/>
        <v>54.4</v>
      </c>
    </row>
    <row r="246" spans="1:8" s="24" customFormat="1" ht="52.8" x14ac:dyDescent="0.3">
      <c r="A246" s="36" t="s">
        <v>89</v>
      </c>
      <c r="B246" s="36" t="s">
        <v>84</v>
      </c>
      <c r="C246" s="37">
        <v>530223272</v>
      </c>
      <c r="D246" s="36"/>
      <c r="E246" s="46" t="s">
        <v>352</v>
      </c>
      <c r="F246" s="39">
        <f t="shared" ref="F246" si="20">F247</f>
        <v>1922.1</v>
      </c>
      <c r="G246" s="26">
        <f t="shared" ref="G246" si="21">G247</f>
        <v>1922.1</v>
      </c>
      <c r="H246" s="26">
        <f t="shared" si="19"/>
        <v>100</v>
      </c>
    </row>
    <row r="247" spans="1:8" s="24" customFormat="1" ht="39.6" x14ac:dyDescent="0.3">
      <c r="A247" s="36" t="s">
        <v>89</v>
      </c>
      <c r="B247" s="36" t="s">
        <v>84</v>
      </c>
      <c r="C247" s="37">
        <v>530223272</v>
      </c>
      <c r="D247" s="48" t="s">
        <v>213</v>
      </c>
      <c r="E247" s="46" t="s">
        <v>214</v>
      </c>
      <c r="F247" s="39">
        <v>1922.1</v>
      </c>
      <c r="G247" s="39">
        <v>1922.1</v>
      </c>
      <c r="H247" s="26">
        <f t="shared" si="19"/>
        <v>100</v>
      </c>
    </row>
    <row r="248" spans="1:8" s="24" customFormat="1" x14ac:dyDescent="0.3">
      <c r="A248" s="33" t="s">
        <v>89</v>
      </c>
      <c r="B248" s="33" t="s">
        <v>85</v>
      </c>
      <c r="C248" s="33"/>
      <c r="D248" s="33"/>
      <c r="E248" s="55" t="s">
        <v>39</v>
      </c>
      <c r="F248" s="35">
        <f>F249+F263+F281</f>
        <v>32534</v>
      </c>
      <c r="G248" s="35">
        <f>G249+G263+G281</f>
        <v>9621.4</v>
      </c>
      <c r="H248" s="26">
        <f t="shared" si="19"/>
        <v>29.6</v>
      </c>
    </row>
    <row r="249" spans="1:8" s="24" customFormat="1" ht="53.4" x14ac:dyDescent="0.3">
      <c r="A249" s="68" t="s">
        <v>89</v>
      </c>
      <c r="B249" s="68" t="s">
        <v>85</v>
      </c>
      <c r="C249" s="83">
        <v>400000000</v>
      </c>
      <c r="D249" s="68"/>
      <c r="E249" s="76" t="s">
        <v>353</v>
      </c>
      <c r="F249" s="62">
        <f t="shared" ref="F249:G249" si="22">F250</f>
        <v>14691.8</v>
      </c>
      <c r="G249" s="62">
        <f t="shared" si="22"/>
        <v>7614.9</v>
      </c>
      <c r="H249" s="26">
        <f t="shared" si="19"/>
        <v>51.8</v>
      </c>
    </row>
    <row r="250" spans="1:8" s="24" customFormat="1" ht="79.8" x14ac:dyDescent="0.3">
      <c r="A250" s="36" t="s">
        <v>89</v>
      </c>
      <c r="B250" s="36" t="s">
        <v>85</v>
      </c>
      <c r="C250" s="85">
        <v>430000000</v>
      </c>
      <c r="D250" s="36"/>
      <c r="E250" s="34" t="s">
        <v>494</v>
      </c>
      <c r="F250" s="64">
        <f>F251+F253+F255+F257+F259+F261</f>
        <v>14691.8</v>
      </c>
      <c r="G250" s="64">
        <f>G251+G253+G255+G257+G259+G261</f>
        <v>7614.9</v>
      </c>
      <c r="H250" s="26">
        <v>0</v>
      </c>
    </row>
    <row r="251" spans="1:8" s="24" customFormat="1" ht="105.6" x14ac:dyDescent="0.3">
      <c r="A251" s="36" t="s">
        <v>89</v>
      </c>
      <c r="B251" s="36" t="s">
        <v>85</v>
      </c>
      <c r="C251" s="67">
        <v>430227340</v>
      </c>
      <c r="D251" s="36"/>
      <c r="E251" s="46" t="s">
        <v>495</v>
      </c>
      <c r="F251" s="42">
        <f>F252</f>
        <v>1720</v>
      </c>
      <c r="G251" s="42">
        <f>G252</f>
        <v>711.4</v>
      </c>
      <c r="H251" s="26">
        <f t="shared" si="19"/>
        <v>41.4</v>
      </c>
    </row>
    <row r="252" spans="1:8" s="24" customFormat="1" ht="66" x14ac:dyDescent="0.3">
      <c r="A252" s="36" t="s">
        <v>89</v>
      </c>
      <c r="B252" s="36" t="s">
        <v>85</v>
      </c>
      <c r="C252" s="67">
        <v>430227340</v>
      </c>
      <c r="D252" s="36" t="s">
        <v>227</v>
      </c>
      <c r="E252" s="46" t="s">
        <v>300</v>
      </c>
      <c r="F252" s="42">
        <v>1720</v>
      </c>
      <c r="G252" s="26">
        <v>711.4</v>
      </c>
      <c r="H252" s="26">
        <f t="shared" si="19"/>
        <v>41.4</v>
      </c>
    </row>
    <row r="253" spans="1:8" s="24" customFormat="1" ht="118.8" x14ac:dyDescent="0.3">
      <c r="A253" s="36" t="s">
        <v>89</v>
      </c>
      <c r="B253" s="36" t="s">
        <v>85</v>
      </c>
      <c r="C253" s="67">
        <v>430227350</v>
      </c>
      <c r="D253" s="36"/>
      <c r="E253" s="46" t="s">
        <v>496</v>
      </c>
      <c r="F253" s="42">
        <f>F254</f>
        <v>21.7</v>
      </c>
      <c r="G253" s="26">
        <f>G254</f>
        <v>9.6</v>
      </c>
      <c r="H253" s="26">
        <f t="shared" si="19"/>
        <v>44.2</v>
      </c>
    </row>
    <row r="254" spans="1:8" s="24" customFormat="1" ht="66" x14ac:dyDescent="0.3">
      <c r="A254" s="36" t="s">
        <v>89</v>
      </c>
      <c r="B254" s="36" t="s">
        <v>85</v>
      </c>
      <c r="C254" s="67">
        <v>430227350</v>
      </c>
      <c r="D254" s="36" t="s">
        <v>227</v>
      </c>
      <c r="E254" s="46" t="s">
        <v>300</v>
      </c>
      <c r="F254" s="42">
        <v>21.7</v>
      </c>
      <c r="G254" s="26">
        <v>9.6</v>
      </c>
      <c r="H254" s="26">
        <f t="shared" si="19"/>
        <v>44.2</v>
      </c>
    </row>
    <row r="255" spans="1:8" s="24" customFormat="1" ht="118.8" x14ac:dyDescent="0.3">
      <c r="A255" s="36" t="s">
        <v>89</v>
      </c>
      <c r="B255" s="36" t="s">
        <v>85</v>
      </c>
      <c r="C255" s="67">
        <v>430227360</v>
      </c>
      <c r="D255" s="36"/>
      <c r="E255" s="46" t="s">
        <v>497</v>
      </c>
      <c r="F255" s="42">
        <f>F256</f>
        <v>5227.7</v>
      </c>
      <c r="G255" s="42">
        <f>G256</f>
        <v>3860.7</v>
      </c>
      <c r="H255" s="26">
        <f t="shared" si="19"/>
        <v>73.900000000000006</v>
      </c>
    </row>
    <row r="256" spans="1:8" s="24" customFormat="1" ht="66" x14ac:dyDescent="0.3">
      <c r="A256" s="36" t="s">
        <v>89</v>
      </c>
      <c r="B256" s="36" t="s">
        <v>85</v>
      </c>
      <c r="C256" s="67">
        <v>430227360</v>
      </c>
      <c r="D256" s="36" t="s">
        <v>227</v>
      </c>
      <c r="E256" s="46" t="s">
        <v>300</v>
      </c>
      <c r="F256" s="42">
        <v>5227.7</v>
      </c>
      <c r="G256" s="27">
        <v>3860.7</v>
      </c>
      <c r="H256" s="26">
        <f t="shared" si="19"/>
        <v>73.900000000000006</v>
      </c>
    </row>
    <row r="257" spans="1:8" s="24" customFormat="1" ht="171.6" x14ac:dyDescent="0.3">
      <c r="A257" s="36" t="s">
        <v>89</v>
      </c>
      <c r="B257" s="36" t="s">
        <v>85</v>
      </c>
      <c r="C257" s="67">
        <v>430227370</v>
      </c>
      <c r="D257" s="36"/>
      <c r="E257" s="46" t="s">
        <v>498</v>
      </c>
      <c r="F257" s="42">
        <f>F258</f>
        <v>1606.6</v>
      </c>
      <c r="G257" s="42">
        <f>G258</f>
        <v>642.1</v>
      </c>
      <c r="H257" s="26">
        <f t="shared" si="19"/>
        <v>40</v>
      </c>
    </row>
    <row r="258" spans="1:8" s="24" customFormat="1" ht="66" x14ac:dyDescent="0.3">
      <c r="A258" s="36" t="s">
        <v>89</v>
      </c>
      <c r="B258" s="36" t="s">
        <v>85</v>
      </c>
      <c r="C258" s="67">
        <v>430227370</v>
      </c>
      <c r="D258" s="36" t="s">
        <v>227</v>
      </c>
      <c r="E258" s="46" t="s">
        <v>300</v>
      </c>
      <c r="F258" s="42">
        <v>1606.6</v>
      </c>
      <c r="G258" s="27">
        <v>642.1</v>
      </c>
      <c r="H258" s="26">
        <f t="shared" si="19"/>
        <v>40</v>
      </c>
    </row>
    <row r="259" spans="1:8" s="24" customFormat="1" ht="105.6" x14ac:dyDescent="0.3">
      <c r="A259" s="36" t="s">
        <v>89</v>
      </c>
      <c r="B259" s="36" t="s">
        <v>85</v>
      </c>
      <c r="C259" s="67">
        <v>430227380</v>
      </c>
      <c r="D259" s="36"/>
      <c r="E259" s="46" t="s">
        <v>499</v>
      </c>
      <c r="F259" s="42">
        <f>F260</f>
        <v>3000</v>
      </c>
      <c r="G259" s="26">
        <v>0</v>
      </c>
      <c r="H259" s="26">
        <f t="shared" si="19"/>
        <v>0</v>
      </c>
    </row>
    <row r="260" spans="1:8" s="24" customFormat="1" ht="66" x14ac:dyDescent="0.3">
      <c r="A260" s="36" t="s">
        <v>89</v>
      </c>
      <c r="B260" s="36" t="s">
        <v>85</v>
      </c>
      <c r="C260" s="67">
        <v>430227380</v>
      </c>
      <c r="D260" s="36" t="s">
        <v>227</v>
      </c>
      <c r="E260" s="46" t="s">
        <v>300</v>
      </c>
      <c r="F260" s="42">
        <v>3000</v>
      </c>
      <c r="G260" s="27">
        <v>0</v>
      </c>
      <c r="H260" s="26">
        <f t="shared" si="19"/>
        <v>0</v>
      </c>
    </row>
    <row r="261" spans="1:8" s="24" customFormat="1" ht="118.8" x14ac:dyDescent="0.3">
      <c r="A261" s="36" t="s">
        <v>89</v>
      </c>
      <c r="B261" s="36" t="s">
        <v>85</v>
      </c>
      <c r="C261" s="67">
        <v>430227390</v>
      </c>
      <c r="D261" s="36"/>
      <c r="E261" s="46" t="s">
        <v>500</v>
      </c>
      <c r="F261" s="42">
        <f>F262</f>
        <v>3115.8</v>
      </c>
      <c r="G261" s="42">
        <f>G262</f>
        <v>2391.1</v>
      </c>
      <c r="H261" s="26">
        <f t="shared" si="19"/>
        <v>76.7</v>
      </c>
    </row>
    <row r="262" spans="1:8" s="24" customFormat="1" ht="66" x14ac:dyDescent="0.3">
      <c r="A262" s="36" t="s">
        <v>89</v>
      </c>
      <c r="B262" s="36" t="s">
        <v>85</v>
      </c>
      <c r="C262" s="67">
        <v>430227390</v>
      </c>
      <c r="D262" s="36" t="s">
        <v>227</v>
      </c>
      <c r="E262" s="46" t="s">
        <v>300</v>
      </c>
      <c r="F262" s="42">
        <v>3115.8</v>
      </c>
      <c r="G262" s="26">
        <v>2391.1</v>
      </c>
      <c r="H262" s="26">
        <f t="shared" si="19"/>
        <v>76.7</v>
      </c>
    </row>
    <row r="263" spans="1:8" s="24" customFormat="1" ht="93" x14ac:dyDescent="0.3">
      <c r="A263" s="68" t="s">
        <v>89</v>
      </c>
      <c r="B263" s="68" t="s">
        <v>85</v>
      </c>
      <c r="C263" s="78" t="s">
        <v>30</v>
      </c>
      <c r="D263" s="36"/>
      <c r="E263" s="80" t="s">
        <v>354</v>
      </c>
      <c r="F263" s="62">
        <f>F264+F269+F274</f>
        <v>17792.2</v>
      </c>
      <c r="G263" s="62">
        <f>G264+G269+G274</f>
        <v>2006.5</v>
      </c>
      <c r="H263" s="26">
        <f t="shared" si="19"/>
        <v>11.3</v>
      </c>
    </row>
    <row r="264" spans="1:8" s="24" customFormat="1" ht="40.200000000000003" x14ac:dyDescent="0.3">
      <c r="A264" s="36" t="s">
        <v>89</v>
      </c>
      <c r="B264" s="36" t="s">
        <v>85</v>
      </c>
      <c r="C264" s="63" t="s">
        <v>31</v>
      </c>
      <c r="D264" s="36"/>
      <c r="E264" s="44" t="s">
        <v>355</v>
      </c>
      <c r="F264" s="64">
        <f>F265+F267</f>
        <v>495.7</v>
      </c>
      <c r="G264" s="64">
        <f>G265+G267</f>
        <v>213.9</v>
      </c>
      <c r="H264" s="27">
        <f t="shared" si="19"/>
        <v>43.2</v>
      </c>
    </row>
    <row r="265" spans="1:8" s="24" customFormat="1" ht="26.4" x14ac:dyDescent="0.3">
      <c r="A265" s="36" t="s">
        <v>89</v>
      </c>
      <c r="B265" s="36" t="s">
        <v>85</v>
      </c>
      <c r="C265" s="47" t="s">
        <v>356</v>
      </c>
      <c r="D265" s="72"/>
      <c r="E265" s="46" t="s">
        <v>169</v>
      </c>
      <c r="F265" s="39">
        <f t="shared" ref="F265:G265" si="23">F266</f>
        <v>485.7</v>
      </c>
      <c r="G265" s="39">
        <f t="shared" si="23"/>
        <v>213.9</v>
      </c>
      <c r="H265" s="27">
        <f t="shared" si="19"/>
        <v>44</v>
      </c>
    </row>
    <row r="266" spans="1:8" s="24" customFormat="1" ht="39.6" x14ac:dyDescent="0.3">
      <c r="A266" s="36" t="s">
        <v>89</v>
      </c>
      <c r="B266" s="36" t="s">
        <v>85</v>
      </c>
      <c r="C266" s="47" t="s">
        <v>356</v>
      </c>
      <c r="D266" s="48" t="s">
        <v>213</v>
      </c>
      <c r="E266" s="46" t="s">
        <v>214</v>
      </c>
      <c r="F266" s="39">
        <v>485.7</v>
      </c>
      <c r="G266" s="26">
        <v>213.9</v>
      </c>
      <c r="H266" s="26">
        <f t="shared" si="19"/>
        <v>44</v>
      </c>
    </row>
    <row r="267" spans="1:8" s="24" customFormat="1" ht="26.4" x14ac:dyDescent="0.3">
      <c r="A267" s="36" t="s">
        <v>89</v>
      </c>
      <c r="B267" s="36" t="s">
        <v>85</v>
      </c>
      <c r="C267" s="47" t="s">
        <v>357</v>
      </c>
      <c r="D267" s="36"/>
      <c r="E267" s="46" t="s">
        <v>270</v>
      </c>
      <c r="F267" s="39">
        <f t="shared" ref="F267:G267" si="24">F268</f>
        <v>10</v>
      </c>
      <c r="G267" s="39">
        <f t="shared" si="24"/>
        <v>0</v>
      </c>
      <c r="H267" s="26">
        <f t="shared" si="19"/>
        <v>0</v>
      </c>
    </row>
    <row r="268" spans="1:8" s="24" customFormat="1" ht="39.6" x14ac:dyDescent="0.3">
      <c r="A268" s="36" t="s">
        <v>89</v>
      </c>
      <c r="B268" s="36" t="s">
        <v>85</v>
      </c>
      <c r="C268" s="47" t="s">
        <v>357</v>
      </c>
      <c r="D268" s="48" t="s">
        <v>213</v>
      </c>
      <c r="E268" s="46" t="s">
        <v>214</v>
      </c>
      <c r="F268" s="39">
        <f>8.3+1.7</f>
        <v>10</v>
      </c>
      <c r="G268" s="26">
        <v>0</v>
      </c>
      <c r="H268" s="26">
        <f t="shared" si="19"/>
        <v>0</v>
      </c>
    </row>
    <row r="269" spans="1:8" s="24" customFormat="1" ht="27" x14ac:dyDescent="0.3">
      <c r="A269" s="71" t="s">
        <v>89</v>
      </c>
      <c r="B269" s="71" t="s">
        <v>85</v>
      </c>
      <c r="C269" s="63" t="s">
        <v>271</v>
      </c>
      <c r="D269" s="36"/>
      <c r="E269" s="34" t="s">
        <v>272</v>
      </c>
      <c r="F269" s="64">
        <f>F270+F272</f>
        <v>6026.9</v>
      </c>
      <c r="G269" s="64">
        <f>G270+G272</f>
        <v>704.9</v>
      </c>
      <c r="H269" s="27">
        <f t="shared" si="19"/>
        <v>11.7</v>
      </c>
    </row>
    <row r="270" spans="1:8" s="24" customFormat="1" ht="40.200000000000003" x14ac:dyDescent="0.3">
      <c r="A270" s="36" t="s">
        <v>89</v>
      </c>
      <c r="B270" s="36" t="s">
        <v>85</v>
      </c>
      <c r="C270" s="47" t="s">
        <v>358</v>
      </c>
      <c r="D270" s="36"/>
      <c r="E270" s="65" t="s">
        <v>301</v>
      </c>
      <c r="F270" s="39">
        <f>F271</f>
        <v>178</v>
      </c>
      <c r="G270" s="39">
        <f>G271</f>
        <v>178</v>
      </c>
      <c r="H270" s="26">
        <f t="shared" si="19"/>
        <v>100</v>
      </c>
    </row>
    <row r="271" spans="1:8" s="24" customFormat="1" ht="39.6" x14ac:dyDescent="0.3">
      <c r="A271" s="36" t="s">
        <v>89</v>
      </c>
      <c r="B271" s="36" t="s">
        <v>85</v>
      </c>
      <c r="C271" s="47" t="s">
        <v>358</v>
      </c>
      <c r="D271" s="48" t="s">
        <v>213</v>
      </c>
      <c r="E271" s="46" t="s">
        <v>214</v>
      </c>
      <c r="F271" s="39">
        <f>200-20.3-1.7</f>
        <v>178</v>
      </c>
      <c r="G271" s="26">
        <v>178</v>
      </c>
      <c r="H271" s="26">
        <f t="shared" si="19"/>
        <v>100</v>
      </c>
    </row>
    <row r="272" spans="1:8" s="24" customFormat="1" ht="26.4" x14ac:dyDescent="0.3">
      <c r="A272" s="36" t="s">
        <v>89</v>
      </c>
      <c r="B272" s="36" t="s">
        <v>85</v>
      </c>
      <c r="C272" s="47" t="s">
        <v>359</v>
      </c>
      <c r="D272" s="48"/>
      <c r="E272" s="46" t="s">
        <v>242</v>
      </c>
      <c r="F272" s="39">
        <f>F273</f>
        <v>5848.9</v>
      </c>
      <c r="G272" s="26">
        <f>G273</f>
        <v>526.9</v>
      </c>
      <c r="H272" s="26">
        <f t="shared" si="19"/>
        <v>9</v>
      </c>
    </row>
    <row r="273" spans="1:8" s="24" customFormat="1" ht="39.6" x14ac:dyDescent="0.3">
      <c r="A273" s="36" t="s">
        <v>89</v>
      </c>
      <c r="B273" s="36" t="s">
        <v>85</v>
      </c>
      <c r="C273" s="47" t="s">
        <v>359</v>
      </c>
      <c r="D273" s="48" t="s">
        <v>213</v>
      </c>
      <c r="E273" s="46" t="s">
        <v>214</v>
      </c>
      <c r="F273" s="39">
        <f>500+146.9+280-78+5000</f>
        <v>5848.9</v>
      </c>
      <c r="G273" s="26">
        <v>526.9</v>
      </c>
      <c r="H273" s="26">
        <f t="shared" si="19"/>
        <v>9</v>
      </c>
    </row>
    <row r="274" spans="1:8" s="24" customFormat="1" ht="40.200000000000003" x14ac:dyDescent="0.3">
      <c r="A274" s="36" t="s">
        <v>89</v>
      </c>
      <c r="B274" s="36" t="s">
        <v>85</v>
      </c>
      <c r="C274" s="63" t="s">
        <v>32</v>
      </c>
      <c r="D274" s="36"/>
      <c r="E274" s="34" t="s">
        <v>360</v>
      </c>
      <c r="F274" s="39">
        <f>F275+F277+F279</f>
        <v>11269.6</v>
      </c>
      <c r="G274" s="26">
        <f>G275</f>
        <v>1087.7</v>
      </c>
      <c r="H274" s="26">
        <f t="shared" ref="H274:H322" si="25">ROUND((G274/F274*100),1)</f>
        <v>9.6999999999999993</v>
      </c>
    </row>
    <row r="275" spans="1:8" s="24" customFormat="1" ht="40.200000000000003" x14ac:dyDescent="0.3">
      <c r="A275" s="36" t="s">
        <v>89</v>
      </c>
      <c r="B275" s="36" t="s">
        <v>85</v>
      </c>
      <c r="C275" s="47" t="s">
        <v>361</v>
      </c>
      <c r="D275" s="36"/>
      <c r="E275" s="41" t="s">
        <v>362</v>
      </c>
      <c r="F275" s="39">
        <f>F276</f>
        <v>9663</v>
      </c>
      <c r="G275" s="39">
        <f>G276</f>
        <v>1087.7</v>
      </c>
      <c r="H275" s="26">
        <f t="shared" si="25"/>
        <v>11.3</v>
      </c>
    </row>
    <row r="276" spans="1:8" s="24" customFormat="1" ht="39.6" x14ac:dyDescent="0.3">
      <c r="A276" s="36" t="s">
        <v>89</v>
      </c>
      <c r="B276" s="36" t="s">
        <v>85</v>
      </c>
      <c r="C276" s="47" t="s">
        <v>361</v>
      </c>
      <c r="D276" s="48" t="s">
        <v>213</v>
      </c>
      <c r="E276" s="46" t="s">
        <v>214</v>
      </c>
      <c r="F276" s="39">
        <f>1700-700+700+3849.7+87.7+20.3+43.6+3961.7</f>
        <v>9663</v>
      </c>
      <c r="G276" s="26">
        <v>1087.7</v>
      </c>
      <c r="H276" s="26">
        <f t="shared" si="25"/>
        <v>11.3</v>
      </c>
    </row>
    <row r="277" spans="1:8" s="24" customFormat="1" ht="52.8" x14ac:dyDescent="0.3">
      <c r="A277" s="36" t="s">
        <v>89</v>
      </c>
      <c r="B277" s="36" t="s">
        <v>85</v>
      </c>
      <c r="C277" s="47" t="s">
        <v>501</v>
      </c>
      <c r="D277" s="48"/>
      <c r="E277" s="46" t="s">
        <v>502</v>
      </c>
      <c r="F277" s="39">
        <f>F278</f>
        <v>91</v>
      </c>
      <c r="G277" s="39">
        <f>G278</f>
        <v>0</v>
      </c>
      <c r="H277" s="26">
        <f t="shared" si="25"/>
        <v>0</v>
      </c>
    </row>
    <row r="278" spans="1:8" s="24" customFormat="1" ht="39.6" x14ac:dyDescent="0.3">
      <c r="A278" s="36" t="s">
        <v>89</v>
      </c>
      <c r="B278" s="36" t="s">
        <v>85</v>
      </c>
      <c r="C278" s="47" t="s">
        <v>501</v>
      </c>
      <c r="D278" s="48" t="s">
        <v>213</v>
      </c>
      <c r="E278" s="46" t="s">
        <v>214</v>
      </c>
      <c r="F278" s="39">
        <v>91</v>
      </c>
      <c r="G278" s="26">
        <v>0</v>
      </c>
      <c r="H278" s="26">
        <f t="shared" si="25"/>
        <v>0</v>
      </c>
    </row>
    <row r="279" spans="1:8" s="24" customFormat="1" ht="27" x14ac:dyDescent="0.3">
      <c r="A279" s="36" t="s">
        <v>89</v>
      </c>
      <c r="B279" s="36" t="s">
        <v>85</v>
      </c>
      <c r="C279" s="47" t="s">
        <v>363</v>
      </c>
      <c r="D279" s="36"/>
      <c r="E279" s="41" t="s">
        <v>287</v>
      </c>
      <c r="F279" s="39">
        <f>F280</f>
        <v>1515.6</v>
      </c>
      <c r="G279" s="39">
        <f>G280</f>
        <v>0</v>
      </c>
      <c r="H279" s="26">
        <f t="shared" si="25"/>
        <v>0</v>
      </c>
    </row>
    <row r="280" spans="1:8" s="24" customFormat="1" x14ac:dyDescent="0.3">
      <c r="A280" s="36" t="s">
        <v>89</v>
      </c>
      <c r="B280" s="36" t="s">
        <v>85</v>
      </c>
      <c r="C280" s="47" t="s">
        <v>363</v>
      </c>
      <c r="D280" s="48" t="s">
        <v>240</v>
      </c>
      <c r="E280" s="41" t="s">
        <v>241</v>
      </c>
      <c r="F280" s="39">
        <v>1515.6</v>
      </c>
      <c r="G280" s="26">
        <v>0</v>
      </c>
      <c r="H280" s="26">
        <f t="shared" si="25"/>
        <v>0</v>
      </c>
    </row>
    <row r="281" spans="1:8" ht="27" x14ac:dyDescent="0.3">
      <c r="A281" s="36" t="s">
        <v>89</v>
      </c>
      <c r="B281" s="36" t="s">
        <v>85</v>
      </c>
      <c r="C281" s="48" t="s">
        <v>24</v>
      </c>
      <c r="D281" s="48"/>
      <c r="E281" s="41" t="s">
        <v>36</v>
      </c>
      <c r="F281" s="39">
        <f>F282</f>
        <v>50</v>
      </c>
      <c r="G281" s="39">
        <f>G282</f>
        <v>0</v>
      </c>
      <c r="H281" s="26">
        <f t="shared" si="25"/>
        <v>0</v>
      </c>
    </row>
    <row r="282" spans="1:8" ht="39.6" x14ac:dyDescent="0.3">
      <c r="A282" s="36" t="s">
        <v>89</v>
      </c>
      <c r="B282" s="36" t="s">
        <v>85</v>
      </c>
      <c r="C282" s="48" t="s">
        <v>364</v>
      </c>
      <c r="D282" s="36"/>
      <c r="E282" s="40" t="s">
        <v>273</v>
      </c>
      <c r="F282" s="39">
        <f>SUM(F283:F283)</f>
        <v>50</v>
      </c>
      <c r="G282" s="39">
        <f>SUM(G283:G283)</f>
        <v>0</v>
      </c>
      <c r="H282" s="26">
        <f t="shared" si="25"/>
        <v>0</v>
      </c>
    </row>
    <row r="283" spans="1:8" ht="39.6" x14ac:dyDescent="0.3">
      <c r="A283" s="36" t="s">
        <v>89</v>
      </c>
      <c r="B283" s="36" t="s">
        <v>85</v>
      </c>
      <c r="C283" s="48" t="s">
        <v>364</v>
      </c>
      <c r="D283" s="48" t="s">
        <v>213</v>
      </c>
      <c r="E283" s="46" t="s">
        <v>214</v>
      </c>
      <c r="F283" s="42">
        <v>50</v>
      </c>
      <c r="G283" s="26">
        <v>0</v>
      </c>
      <c r="H283" s="26">
        <f t="shared" ref="H283:H288" si="26">ROUND((G283/F283*100),1)</f>
        <v>0</v>
      </c>
    </row>
    <row r="284" spans="1:8" x14ac:dyDescent="0.3">
      <c r="A284" s="33" t="s">
        <v>89</v>
      </c>
      <c r="B284" s="33" t="s">
        <v>87</v>
      </c>
      <c r="C284" s="33"/>
      <c r="D284" s="33"/>
      <c r="E284" s="55" t="s">
        <v>46</v>
      </c>
      <c r="F284" s="35">
        <f>F285+F291+F321+F329</f>
        <v>57126.8</v>
      </c>
      <c r="G284" s="35">
        <f>G285+G291+G321+G329</f>
        <v>19257.100000000002</v>
      </c>
      <c r="H284" s="26">
        <f t="shared" si="26"/>
        <v>33.700000000000003</v>
      </c>
    </row>
    <row r="285" spans="1:8" ht="79.2" x14ac:dyDescent="0.3">
      <c r="A285" s="68" t="s">
        <v>89</v>
      </c>
      <c r="B285" s="68" t="s">
        <v>87</v>
      </c>
      <c r="C285" s="98" t="s">
        <v>64</v>
      </c>
      <c r="D285" s="36"/>
      <c r="E285" s="96" t="s">
        <v>365</v>
      </c>
      <c r="F285" s="62">
        <f t="shared" ref="F285:G285" si="27">F286</f>
        <v>829.3</v>
      </c>
      <c r="G285" s="62">
        <f t="shared" si="27"/>
        <v>102.10000000000001</v>
      </c>
      <c r="H285" s="26">
        <f t="shared" si="26"/>
        <v>12.3</v>
      </c>
    </row>
    <row r="286" spans="1:8" ht="40.5" customHeight="1" x14ac:dyDescent="0.3">
      <c r="A286" s="71" t="s">
        <v>89</v>
      </c>
      <c r="B286" s="71" t="s">
        <v>87</v>
      </c>
      <c r="C286" s="99" t="s">
        <v>65</v>
      </c>
      <c r="D286" s="36"/>
      <c r="E286" s="81" t="s">
        <v>366</v>
      </c>
      <c r="F286" s="64">
        <f>F287+F289</f>
        <v>829.3</v>
      </c>
      <c r="G286" s="64">
        <f t="shared" ref="G286" si="28">G287+G289</f>
        <v>102.10000000000001</v>
      </c>
      <c r="H286" s="26">
        <f t="shared" si="26"/>
        <v>12.3</v>
      </c>
    </row>
    <row r="287" spans="1:8" ht="39.6" x14ac:dyDescent="0.3">
      <c r="A287" s="48" t="s">
        <v>89</v>
      </c>
      <c r="B287" s="48" t="s">
        <v>87</v>
      </c>
      <c r="C287" s="91" t="s">
        <v>367</v>
      </c>
      <c r="D287" s="36"/>
      <c r="E287" s="46" t="s">
        <v>503</v>
      </c>
      <c r="F287" s="39">
        <f t="shared" ref="F287:G287" si="29">F288</f>
        <v>820.3</v>
      </c>
      <c r="G287" s="39">
        <f t="shared" si="29"/>
        <v>99.4</v>
      </c>
      <c r="H287" s="26">
        <f t="shared" si="26"/>
        <v>12.1</v>
      </c>
    </row>
    <row r="288" spans="1:8" ht="39.6" x14ac:dyDescent="0.3">
      <c r="A288" s="48" t="s">
        <v>89</v>
      </c>
      <c r="B288" s="48" t="s">
        <v>87</v>
      </c>
      <c r="C288" s="91" t="s">
        <v>367</v>
      </c>
      <c r="D288" s="48" t="s">
        <v>213</v>
      </c>
      <c r="E288" s="46" t="s">
        <v>214</v>
      </c>
      <c r="F288" s="39">
        <f>520.3+300</f>
        <v>820.3</v>
      </c>
      <c r="G288" s="26">
        <v>99.4</v>
      </c>
      <c r="H288" s="26">
        <f t="shared" si="26"/>
        <v>12.1</v>
      </c>
    </row>
    <row r="289" spans="1:8" ht="39.6" x14ac:dyDescent="0.3">
      <c r="A289" s="48" t="s">
        <v>89</v>
      </c>
      <c r="B289" s="48" t="s">
        <v>87</v>
      </c>
      <c r="C289" s="91" t="s">
        <v>368</v>
      </c>
      <c r="D289" s="48"/>
      <c r="E289" s="46" t="s">
        <v>369</v>
      </c>
      <c r="F289" s="39">
        <f>F290</f>
        <v>9</v>
      </c>
      <c r="G289" s="26">
        <f>G290</f>
        <v>2.7</v>
      </c>
      <c r="H289" s="26">
        <f t="shared" si="25"/>
        <v>30</v>
      </c>
    </row>
    <row r="290" spans="1:8" ht="39.6" x14ac:dyDescent="0.3">
      <c r="A290" s="48" t="s">
        <v>89</v>
      </c>
      <c r="B290" s="48" t="s">
        <v>87</v>
      </c>
      <c r="C290" s="91" t="s">
        <v>368</v>
      </c>
      <c r="D290" s="48" t="s">
        <v>213</v>
      </c>
      <c r="E290" s="46" t="s">
        <v>214</v>
      </c>
      <c r="F290" s="39">
        <v>9</v>
      </c>
      <c r="G290" s="27">
        <v>2.7</v>
      </c>
      <c r="H290" s="26">
        <f t="shared" si="25"/>
        <v>30</v>
      </c>
    </row>
    <row r="291" spans="1:8" ht="79.8" x14ac:dyDescent="0.3">
      <c r="A291" s="68" t="s">
        <v>89</v>
      </c>
      <c r="B291" s="68" t="s">
        <v>87</v>
      </c>
      <c r="C291" s="60" t="s">
        <v>53</v>
      </c>
      <c r="D291" s="36"/>
      <c r="E291" s="80" t="s">
        <v>370</v>
      </c>
      <c r="F291" s="62">
        <f>F292+F301+F304+F312</f>
        <v>30458.400000000001</v>
      </c>
      <c r="G291" s="62">
        <f>G292+G301+G304+G312</f>
        <v>11875.2</v>
      </c>
      <c r="H291" s="26">
        <f t="shared" si="25"/>
        <v>39</v>
      </c>
    </row>
    <row r="292" spans="1:8" ht="40.200000000000003" x14ac:dyDescent="0.3">
      <c r="A292" s="48" t="s">
        <v>89</v>
      </c>
      <c r="B292" s="48" t="s">
        <v>87</v>
      </c>
      <c r="C292" s="63" t="s">
        <v>54</v>
      </c>
      <c r="D292" s="71"/>
      <c r="E292" s="44" t="s">
        <v>504</v>
      </c>
      <c r="F292" s="64">
        <f>F293+F295+F297+F299</f>
        <v>11013.9</v>
      </c>
      <c r="G292" s="64">
        <f>G293+G295+G297+G299</f>
        <v>3018</v>
      </c>
      <c r="H292" s="26">
        <f t="shared" si="25"/>
        <v>27.4</v>
      </c>
    </row>
    <row r="293" spans="1:8" ht="39.6" x14ac:dyDescent="0.3">
      <c r="A293" s="36" t="s">
        <v>89</v>
      </c>
      <c r="B293" s="48" t="s">
        <v>87</v>
      </c>
      <c r="C293" s="67">
        <v>1210123505</v>
      </c>
      <c r="D293" s="47"/>
      <c r="E293" s="46" t="s">
        <v>371</v>
      </c>
      <c r="F293" s="39">
        <f>F294</f>
        <v>4071.4</v>
      </c>
      <c r="G293" s="39">
        <f>G294</f>
        <v>1649</v>
      </c>
      <c r="H293" s="26">
        <f t="shared" si="25"/>
        <v>40.5</v>
      </c>
    </row>
    <row r="294" spans="1:8" ht="39.6" x14ac:dyDescent="0.3">
      <c r="A294" s="48" t="s">
        <v>89</v>
      </c>
      <c r="B294" s="48" t="s">
        <v>87</v>
      </c>
      <c r="C294" s="67">
        <v>1210123505</v>
      </c>
      <c r="D294" s="48" t="s">
        <v>213</v>
      </c>
      <c r="E294" s="46" t="s">
        <v>214</v>
      </c>
      <c r="F294" s="42">
        <f>4057.1+14.3</f>
        <v>4071.4</v>
      </c>
      <c r="G294" s="26">
        <v>1649</v>
      </c>
      <c r="H294" s="26">
        <f t="shared" si="25"/>
        <v>40.5</v>
      </c>
    </row>
    <row r="295" spans="1:8" ht="66" x14ac:dyDescent="0.3">
      <c r="A295" s="48" t="s">
        <v>89</v>
      </c>
      <c r="B295" s="48" t="s">
        <v>87</v>
      </c>
      <c r="C295" s="67">
        <v>1210123510</v>
      </c>
      <c r="D295" s="47"/>
      <c r="E295" s="46" t="s">
        <v>243</v>
      </c>
      <c r="F295" s="39">
        <f>F296</f>
        <v>5460.6</v>
      </c>
      <c r="G295" s="26">
        <f>G296</f>
        <v>618.79999999999995</v>
      </c>
      <c r="H295" s="26">
        <f t="shared" si="25"/>
        <v>11.3</v>
      </c>
    </row>
    <row r="296" spans="1:8" ht="39.6" x14ac:dyDescent="0.3">
      <c r="A296" s="36" t="s">
        <v>89</v>
      </c>
      <c r="B296" s="48" t="s">
        <v>87</v>
      </c>
      <c r="C296" s="67">
        <v>1210123510</v>
      </c>
      <c r="D296" s="48" t="s">
        <v>213</v>
      </c>
      <c r="E296" s="46" t="s">
        <v>214</v>
      </c>
      <c r="F296" s="39">
        <f>5538.8-14.3-63.9</f>
        <v>5460.6</v>
      </c>
      <c r="G296" s="26">
        <v>618.79999999999995</v>
      </c>
      <c r="H296" s="26">
        <f t="shared" si="25"/>
        <v>11.3</v>
      </c>
    </row>
    <row r="297" spans="1:8" ht="26.4" x14ac:dyDescent="0.3">
      <c r="A297" s="48" t="s">
        <v>89</v>
      </c>
      <c r="B297" s="48" t="s">
        <v>87</v>
      </c>
      <c r="C297" s="67">
        <v>1210123515</v>
      </c>
      <c r="D297" s="36"/>
      <c r="E297" s="46" t="s">
        <v>23</v>
      </c>
      <c r="F297" s="39">
        <f>F298</f>
        <v>1131.9000000000001</v>
      </c>
      <c r="G297" s="26">
        <f>G298</f>
        <v>721</v>
      </c>
      <c r="H297" s="26">
        <f t="shared" si="25"/>
        <v>63.7</v>
      </c>
    </row>
    <row r="298" spans="1:8" ht="39.6" x14ac:dyDescent="0.3">
      <c r="A298" s="48" t="s">
        <v>89</v>
      </c>
      <c r="B298" s="48" t="s">
        <v>87</v>
      </c>
      <c r="C298" s="67">
        <v>1210123515</v>
      </c>
      <c r="D298" s="48" t="s">
        <v>213</v>
      </c>
      <c r="E298" s="46" t="s">
        <v>214</v>
      </c>
      <c r="F298" s="39">
        <v>1131.9000000000001</v>
      </c>
      <c r="G298" s="26">
        <v>721</v>
      </c>
      <c r="H298" s="26">
        <f t="shared" si="25"/>
        <v>63.7</v>
      </c>
    </row>
    <row r="299" spans="1:8" ht="26.4" x14ac:dyDescent="0.3">
      <c r="A299" s="36" t="s">
        <v>89</v>
      </c>
      <c r="B299" s="48" t="s">
        <v>87</v>
      </c>
      <c r="C299" s="67">
        <v>1210223520</v>
      </c>
      <c r="D299" s="36"/>
      <c r="E299" s="46" t="s">
        <v>288</v>
      </c>
      <c r="F299" s="39">
        <f>F300</f>
        <v>350</v>
      </c>
      <c r="G299" s="26">
        <f>G300</f>
        <v>29.2</v>
      </c>
      <c r="H299" s="26">
        <f t="shared" si="25"/>
        <v>8.3000000000000007</v>
      </c>
    </row>
    <row r="300" spans="1:8" ht="39.6" x14ac:dyDescent="0.3">
      <c r="A300" s="48" t="s">
        <v>89</v>
      </c>
      <c r="B300" s="48" t="s">
        <v>87</v>
      </c>
      <c r="C300" s="67">
        <v>1210223520</v>
      </c>
      <c r="D300" s="48" t="s">
        <v>213</v>
      </c>
      <c r="E300" s="46" t="s">
        <v>214</v>
      </c>
      <c r="F300" s="42">
        <v>350</v>
      </c>
      <c r="G300" s="26">
        <v>29.2</v>
      </c>
      <c r="H300" s="26">
        <f t="shared" si="25"/>
        <v>8.3000000000000007</v>
      </c>
    </row>
    <row r="301" spans="1:8" ht="27" x14ac:dyDescent="0.3">
      <c r="A301" s="48" t="s">
        <v>89</v>
      </c>
      <c r="B301" s="48" t="s">
        <v>87</v>
      </c>
      <c r="C301" s="63" t="s">
        <v>55</v>
      </c>
      <c r="D301" s="71"/>
      <c r="E301" s="44" t="s">
        <v>25</v>
      </c>
      <c r="F301" s="64">
        <f>F302</f>
        <v>1972.7</v>
      </c>
      <c r="G301" s="64">
        <f>G302</f>
        <v>578.6</v>
      </c>
      <c r="H301" s="26">
        <f t="shared" si="25"/>
        <v>29.3</v>
      </c>
    </row>
    <row r="302" spans="1:8" ht="26.4" x14ac:dyDescent="0.3">
      <c r="A302" s="48" t="s">
        <v>89</v>
      </c>
      <c r="B302" s="48" t="s">
        <v>87</v>
      </c>
      <c r="C302" s="37">
        <v>1220123525</v>
      </c>
      <c r="D302" s="36"/>
      <c r="E302" s="46" t="s">
        <v>170</v>
      </c>
      <c r="F302" s="39">
        <f t="shared" ref="F302:G302" si="30">F303</f>
        <v>1972.7</v>
      </c>
      <c r="G302" s="39">
        <f t="shared" si="30"/>
        <v>578.6</v>
      </c>
      <c r="H302" s="26">
        <f t="shared" si="25"/>
        <v>29.3</v>
      </c>
    </row>
    <row r="303" spans="1:8" ht="39.6" x14ac:dyDescent="0.3">
      <c r="A303" s="48" t="s">
        <v>89</v>
      </c>
      <c r="B303" s="48" t="s">
        <v>87</v>
      </c>
      <c r="C303" s="37">
        <v>1220123525</v>
      </c>
      <c r="D303" s="48" t="s">
        <v>213</v>
      </c>
      <c r="E303" s="46" t="s">
        <v>214</v>
      </c>
      <c r="F303" s="39">
        <v>1972.7</v>
      </c>
      <c r="G303" s="26">
        <v>578.6</v>
      </c>
      <c r="H303" s="26">
        <f t="shared" si="25"/>
        <v>29.3</v>
      </c>
    </row>
    <row r="304" spans="1:8" ht="40.200000000000003" x14ac:dyDescent="0.3">
      <c r="A304" s="48" t="s">
        <v>89</v>
      </c>
      <c r="B304" s="48" t="s">
        <v>87</v>
      </c>
      <c r="C304" s="63" t="s">
        <v>56</v>
      </c>
      <c r="D304" s="71"/>
      <c r="E304" s="44" t="s">
        <v>505</v>
      </c>
      <c r="F304" s="64">
        <f>F305+F308+F310</f>
        <v>4288.3</v>
      </c>
      <c r="G304" s="64">
        <f>G305+G308+G310</f>
        <v>1914.7</v>
      </c>
      <c r="H304" s="26">
        <f t="shared" si="25"/>
        <v>44.6</v>
      </c>
    </row>
    <row r="305" spans="1:8" ht="26.4" x14ac:dyDescent="0.3">
      <c r="A305" s="48" t="s">
        <v>89</v>
      </c>
      <c r="B305" s="48" t="s">
        <v>87</v>
      </c>
      <c r="C305" s="47" t="s">
        <v>372</v>
      </c>
      <c r="D305" s="36"/>
      <c r="E305" s="46" t="s">
        <v>244</v>
      </c>
      <c r="F305" s="39">
        <f>SUM(F306:F307)</f>
        <v>3681.3</v>
      </c>
      <c r="G305" s="39">
        <f>SUM(G306:G307)</f>
        <v>1907.7</v>
      </c>
      <c r="H305" s="26">
        <f t="shared" si="25"/>
        <v>51.8</v>
      </c>
    </row>
    <row r="306" spans="1:8" s="24" customFormat="1" ht="39.6" x14ac:dyDescent="0.3">
      <c r="A306" s="48" t="s">
        <v>89</v>
      </c>
      <c r="B306" s="48" t="s">
        <v>87</v>
      </c>
      <c r="C306" s="47" t="s">
        <v>372</v>
      </c>
      <c r="D306" s="48" t="s">
        <v>213</v>
      </c>
      <c r="E306" s="46" t="s">
        <v>214</v>
      </c>
      <c r="F306" s="39">
        <f>3681.3-0.6</f>
        <v>3680.7000000000003</v>
      </c>
      <c r="G306" s="26">
        <v>1907.7</v>
      </c>
      <c r="H306" s="26">
        <f t="shared" si="25"/>
        <v>51.8</v>
      </c>
    </row>
    <row r="307" spans="1:8" x14ac:dyDescent="0.3">
      <c r="A307" s="48" t="s">
        <v>89</v>
      </c>
      <c r="B307" s="48" t="s">
        <v>87</v>
      </c>
      <c r="C307" s="47" t="s">
        <v>372</v>
      </c>
      <c r="D307" s="48" t="s">
        <v>217</v>
      </c>
      <c r="E307" s="46" t="s">
        <v>218</v>
      </c>
      <c r="F307" s="39">
        <v>0.6</v>
      </c>
      <c r="G307" s="26">
        <v>0</v>
      </c>
      <c r="H307" s="26">
        <f t="shared" si="25"/>
        <v>0</v>
      </c>
    </row>
    <row r="308" spans="1:8" ht="26.4" x14ac:dyDescent="0.3">
      <c r="A308" s="48" t="s">
        <v>89</v>
      </c>
      <c r="B308" s="48" t="s">
        <v>87</v>
      </c>
      <c r="C308" s="47" t="s">
        <v>373</v>
      </c>
      <c r="D308" s="36"/>
      <c r="E308" s="46" t="s">
        <v>289</v>
      </c>
      <c r="F308" s="39">
        <f>F309</f>
        <v>600</v>
      </c>
      <c r="G308" s="26">
        <v>0</v>
      </c>
      <c r="H308" s="26">
        <f t="shared" si="25"/>
        <v>0</v>
      </c>
    </row>
    <row r="309" spans="1:8" ht="39.6" x14ac:dyDescent="0.3">
      <c r="A309" s="48" t="s">
        <v>89</v>
      </c>
      <c r="B309" s="48" t="s">
        <v>87</v>
      </c>
      <c r="C309" s="47" t="s">
        <v>373</v>
      </c>
      <c r="D309" s="48" t="s">
        <v>213</v>
      </c>
      <c r="E309" s="46" t="s">
        <v>214</v>
      </c>
      <c r="F309" s="39">
        <v>600</v>
      </c>
      <c r="G309" s="26">
        <v>0</v>
      </c>
      <c r="H309" s="26">
        <f t="shared" si="25"/>
        <v>0</v>
      </c>
    </row>
    <row r="310" spans="1:8" ht="26.4" x14ac:dyDescent="0.3">
      <c r="A310" s="48" t="s">
        <v>89</v>
      </c>
      <c r="B310" s="48" t="s">
        <v>87</v>
      </c>
      <c r="C310" s="47" t="s">
        <v>374</v>
      </c>
      <c r="D310" s="36"/>
      <c r="E310" s="46" t="s">
        <v>290</v>
      </c>
      <c r="F310" s="39">
        <f>F311</f>
        <v>7</v>
      </c>
      <c r="G310" s="39">
        <f>G311</f>
        <v>7</v>
      </c>
      <c r="H310" s="26">
        <f t="shared" si="25"/>
        <v>100</v>
      </c>
    </row>
    <row r="311" spans="1:8" ht="39.6" x14ac:dyDescent="0.3">
      <c r="A311" s="48" t="s">
        <v>89</v>
      </c>
      <c r="B311" s="48" t="s">
        <v>87</v>
      </c>
      <c r="C311" s="47" t="s">
        <v>374</v>
      </c>
      <c r="D311" s="48" t="s">
        <v>213</v>
      </c>
      <c r="E311" s="46" t="s">
        <v>214</v>
      </c>
      <c r="F311" s="39">
        <v>7</v>
      </c>
      <c r="G311" s="26">
        <v>7</v>
      </c>
      <c r="H311" s="26">
        <f t="shared" si="25"/>
        <v>100</v>
      </c>
    </row>
    <row r="312" spans="1:8" ht="52.8" x14ac:dyDescent="0.3">
      <c r="A312" s="48" t="s">
        <v>89</v>
      </c>
      <c r="B312" s="48" t="s">
        <v>87</v>
      </c>
      <c r="C312" s="63" t="s">
        <v>57</v>
      </c>
      <c r="D312" s="36"/>
      <c r="E312" s="81" t="s">
        <v>375</v>
      </c>
      <c r="F312" s="39">
        <f>F313+F315+F317+F319</f>
        <v>13183.5</v>
      </c>
      <c r="G312" s="39">
        <f>G313+G315+G317+G319</f>
        <v>6363.9</v>
      </c>
      <c r="H312" s="26">
        <f t="shared" si="25"/>
        <v>48.3</v>
      </c>
    </row>
    <row r="313" spans="1:8" ht="52.8" x14ac:dyDescent="0.3">
      <c r="A313" s="48" t="s">
        <v>89</v>
      </c>
      <c r="B313" s="48" t="s">
        <v>87</v>
      </c>
      <c r="C313" s="47" t="s">
        <v>506</v>
      </c>
      <c r="D313" s="48"/>
      <c r="E313" s="46" t="s">
        <v>507</v>
      </c>
      <c r="F313" s="39">
        <f>F314</f>
        <v>15</v>
      </c>
      <c r="G313" s="39">
        <f>G314</f>
        <v>0</v>
      </c>
      <c r="H313" s="26">
        <f t="shared" si="25"/>
        <v>0</v>
      </c>
    </row>
    <row r="314" spans="1:8" ht="39.6" x14ac:dyDescent="0.3">
      <c r="A314" s="48" t="s">
        <v>89</v>
      </c>
      <c r="B314" s="48" t="s">
        <v>87</v>
      </c>
      <c r="C314" s="47" t="s">
        <v>506</v>
      </c>
      <c r="D314" s="48" t="s">
        <v>213</v>
      </c>
      <c r="E314" s="46" t="s">
        <v>214</v>
      </c>
      <c r="F314" s="39">
        <v>15</v>
      </c>
      <c r="G314" s="26">
        <v>0</v>
      </c>
      <c r="H314" s="26">
        <f t="shared" si="25"/>
        <v>0</v>
      </c>
    </row>
    <row r="315" spans="1:8" ht="27" x14ac:dyDescent="0.3">
      <c r="A315" s="48" t="s">
        <v>89</v>
      </c>
      <c r="B315" s="48" t="s">
        <v>87</v>
      </c>
      <c r="C315" s="47" t="s">
        <v>508</v>
      </c>
      <c r="D315" s="36"/>
      <c r="E315" s="41" t="s">
        <v>509</v>
      </c>
      <c r="F315" s="39">
        <f>F316</f>
        <v>962.9</v>
      </c>
      <c r="G315" s="39">
        <f>G316</f>
        <v>0</v>
      </c>
      <c r="H315" s="26">
        <f t="shared" si="25"/>
        <v>0</v>
      </c>
    </row>
    <row r="316" spans="1:8" ht="39.6" x14ac:dyDescent="0.3">
      <c r="A316" s="36" t="s">
        <v>89</v>
      </c>
      <c r="B316" s="36" t="s">
        <v>87</v>
      </c>
      <c r="C316" s="47" t="s">
        <v>508</v>
      </c>
      <c r="D316" s="48" t="s">
        <v>213</v>
      </c>
      <c r="E316" s="46" t="s">
        <v>214</v>
      </c>
      <c r="F316" s="39">
        <f>799.5+163.4</f>
        <v>962.9</v>
      </c>
      <c r="G316" s="26">
        <v>0</v>
      </c>
      <c r="H316" s="26">
        <f t="shared" si="25"/>
        <v>0</v>
      </c>
    </row>
    <row r="317" spans="1:8" ht="39.6" x14ac:dyDescent="0.3">
      <c r="A317" s="36" t="s">
        <v>89</v>
      </c>
      <c r="B317" s="36" t="s">
        <v>87</v>
      </c>
      <c r="C317" s="47" t="s">
        <v>376</v>
      </c>
      <c r="D317" s="48"/>
      <c r="E317" s="46" t="s">
        <v>377</v>
      </c>
      <c r="F317" s="39">
        <f t="shared" ref="F317:G317" si="31">F318</f>
        <v>9200</v>
      </c>
      <c r="G317" s="39">
        <f t="shared" si="31"/>
        <v>4807.5</v>
      </c>
      <c r="H317" s="27">
        <f t="shared" si="25"/>
        <v>52.3</v>
      </c>
    </row>
    <row r="318" spans="1:8" ht="39.6" x14ac:dyDescent="0.3">
      <c r="A318" s="36" t="s">
        <v>89</v>
      </c>
      <c r="B318" s="36" t="s">
        <v>87</v>
      </c>
      <c r="C318" s="47" t="s">
        <v>376</v>
      </c>
      <c r="D318" s="48" t="s">
        <v>213</v>
      </c>
      <c r="E318" s="46" t="s">
        <v>214</v>
      </c>
      <c r="F318" s="39">
        <v>9200</v>
      </c>
      <c r="G318" s="26">
        <v>4807.5</v>
      </c>
      <c r="H318" s="26">
        <f t="shared" si="25"/>
        <v>52.3</v>
      </c>
    </row>
    <row r="319" spans="1:8" x14ac:dyDescent="0.3">
      <c r="A319" s="36" t="s">
        <v>89</v>
      </c>
      <c r="B319" s="36" t="s">
        <v>87</v>
      </c>
      <c r="C319" s="47" t="s">
        <v>378</v>
      </c>
      <c r="D319" s="48"/>
      <c r="E319" s="46" t="s">
        <v>379</v>
      </c>
      <c r="F319" s="39">
        <f>F320</f>
        <v>3005.6</v>
      </c>
      <c r="G319" s="39">
        <f>G320</f>
        <v>1556.4</v>
      </c>
      <c r="H319" s="26">
        <f t="shared" si="25"/>
        <v>51.8</v>
      </c>
    </row>
    <row r="320" spans="1:8" ht="39.6" x14ac:dyDescent="0.3">
      <c r="A320" s="36" t="s">
        <v>89</v>
      </c>
      <c r="B320" s="36" t="s">
        <v>87</v>
      </c>
      <c r="C320" s="47" t="s">
        <v>378</v>
      </c>
      <c r="D320" s="48" t="s">
        <v>213</v>
      </c>
      <c r="E320" s="46" t="s">
        <v>214</v>
      </c>
      <c r="F320" s="39">
        <f>3256.7-251.1</f>
        <v>3005.6</v>
      </c>
      <c r="G320" s="26">
        <v>1556.4</v>
      </c>
      <c r="H320" s="26">
        <f t="shared" si="25"/>
        <v>51.8</v>
      </c>
    </row>
    <row r="321" spans="1:8" ht="78.75" customHeight="1" x14ac:dyDescent="0.3">
      <c r="A321" s="68" t="s">
        <v>89</v>
      </c>
      <c r="B321" s="68" t="s">
        <v>87</v>
      </c>
      <c r="C321" s="83">
        <v>1400000000</v>
      </c>
      <c r="D321" s="36"/>
      <c r="E321" s="84" t="s">
        <v>380</v>
      </c>
      <c r="F321" s="62">
        <f>F322</f>
        <v>23077.200000000001</v>
      </c>
      <c r="G321" s="62">
        <f>G322</f>
        <v>7279.8</v>
      </c>
      <c r="H321" s="26">
        <f t="shared" si="25"/>
        <v>31.5</v>
      </c>
    </row>
    <row r="322" spans="1:8" s="24" customFormat="1" ht="79.8" x14ac:dyDescent="0.3">
      <c r="A322" s="71" t="s">
        <v>89</v>
      </c>
      <c r="B322" s="71" t="s">
        <v>87</v>
      </c>
      <c r="C322" s="85">
        <v>1410000000</v>
      </c>
      <c r="D322" s="36"/>
      <c r="E322" s="44" t="s">
        <v>245</v>
      </c>
      <c r="F322" s="64">
        <f>F323+F325+F327</f>
        <v>23077.200000000001</v>
      </c>
      <c r="G322" s="64">
        <f>G323+G325+G327</f>
        <v>7279.8</v>
      </c>
      <c r="H322" s="26">
        <f t="shared" si="25"/>
        <v>31.5</v>
      </c>
    </row>
    <row r="323" spans="1:8" s="24" customFormat="1" ht="39.6" x14ac:dyDescent="0.3">
      <c r="A323" s="48" t="s">
        <v>89</v>
      </c>
      <c r="B323" s="48" t="s">
        <v>87</v>
      </c>
      <c r="C323" s="67">
        <v>1410223125</v>
      </c>
      <c r="D323" s="48"/>
      <c r="E323" s="46" t="s">
        <v>510</v>
      </c>
      <c r="F323" s="39">
        <f>F324</f>
        <v>1237.5</v>
      </c>
      <c r="G323" s="39">
        <f>G324</f>
        <v>0</v>
      </c>
      <c r="H323" s="26">
        <f t="shared" ref="H323:H378" si="32">ROUND((G323/F323*100),1)</f>
        <v>0</v>
      </c>
    </row>
    <row r="324" spans="1:8" s="24" customFormat="1" ht="39.6" x14ac:dyDescent="0.3">
      <c r="A324" s="48" t="s">
        <v>89</v>
      </c>
      <c r="B324" s="48" t="s">
        <v>87</v>
      </c>
      <c r="C324" s="67">
        <v>1410223125</v>
      </c>
      <c r="D324" s="48" t="s">
        <v>213</v>
      </c>
      <c r="E324" s="46" t="s">
        <v>214</v>
      </c>
      <c r="F324" s="39">
        <v>1237.5</v>
      </c>
      <c r="G324" s="26">
        <v>0</v>
      </c>
      <c r="H324" s="26">
        <f t="shared" si="32"/>
        <v>0</v>
      </c>
    </row>
    <row r="325" spans="1:8" s="24" customFormat="1" ht="27" x14ac:dyDescent="0.3">
      <c r="A325" s="48" t="s">
        <v>89</v>
      </c>
      <c r="B325" s="48" t="s">
        <v>87</v>
      </c>
      <c r="C325" s="67">
        <v>1410223130</v>
      </c>
      <c r="D325" s="48"/>
      <c r="E325" s="100" t="s">
        <v>381</v>
      </c>
      <c r="F325" s="39">
        <f>F326</f>
        <v>12198.1</v>
      </c>
      <c r="G325" s="39">
        <f>G326</f>
        <v>7279.8</v>
      </c>
      <c r="H325" s="26">
        <f t="shared" si="32"/>
        <v>59.7</v>
      </c>
    </row>
    <row r="326" spans="1:8" s="24" customFormat="1" ht="39.6" x14ac:dyDescent="0.3">
      <c r="A326" s="48" t="s">
        <v>89</v>
      </c>
      <c r="B326" s="48" t="s">
        <v>87</v>
      </c>
      <c r="C326" s="67">
        <v>1410223130</v>
      </c>
      <c r="D326" s="48" t="s">
        <v>213</v>
      </c>
      <c r="E326" s="46" t="s">
        <v>214</v>
      </c>
      <c r="F326" s="39">
        <v>12198.1</v>
      </c>
      <c r="G326" s="27">
        <v>7279.8</v>
      </c>
      <c r="H326" s="26">
        <f t="shared" si="32"/>
        <v>59.7</v>
      </c>
    </row>
    <row r="327" spans="1:8" s="24" customFormat="1" ht="28.5" customHeight="1" x14ac:dyDescent="0.3">
      <c r="A327" s="36" t="s">
        <v>89</v>
      </c>
      <c r="B327" s="36" t="s">
        <v>87</v>
      </c>
      <c r="C327" s="67" t="s">
        <v>274</v>
      </c>
      <c r="D327" s="36"/>
      <c r="E327" s="46" t="s">
        <v>275</v>
      </c>
      <c r="F327" s="39">
        <f>F328</f>
        <v>9641.6</v>
      </c>
      <c r="G327" s="26">
        <f t="shared" ref="G327" si="33">G328</f>
        <v>0</v>
      </c>
      <c r="H327" s="26">
        <f t="shared" si="32"/>
        <v>0</v>
      </c>
    </row>
    <row r="328" spans="1:8" s="24" customFormat="1" ht="39.6" x14ac:dyDescent="0.3">
      <c r="A328" s="48" t="s">
        <v>89</v>
      </c>
      <c r="B328" s="36" t="s">
        <v>87</v>
      </c>
      <c r="C328" s="67" t="s">
        <v>274</v>
      </c>
      <c r="D328" s="48" t="s">
        <v>213</v>
      </c>
      <c r="E328" s="46" t="s">
        <v>214</v>
      </c>
      <c r="F328" s="39">
        <f>717.4+8924.2</f>
        <v>9641.6</v>
      </c>
      <c r="G328" s="26">
        <v>0</v>
      </c>
      <c r="H328" s="26">
        <f t="shared" si="32"/>
        <v>0</v>
      </c>
    </row>
    <row r="329" spans="1:8" s="24" customFormat="1" ht="115.5" customHeight="1" x14ac:dyDescent="0.3">
      <c r="A329" s="68" t="s">
        <v>89</v>
      </c>
      <c r="B329" s="68" t="s">
        <v>87</v>
      </c>
      <c r="C329" s="60" t="s">
        <v>330</v>
      </c>
      <c r="D329" s="48"/>
      <c r="E329" s="84" t="s">
        <v>331</v>
      </c>
      <c r="F329" s="62">
        <f>F330</f>
        <v>2761.9</v>
      </c>
      <c r="G329" s="62">
        <f>G330</f>
        <v>0</v>
      </c>
      <c r="H329" s="26">
        <f t="shared" si="32"/>
        <v>0</v>
      </c>
    </row>
    <row r="330" spans="1:8" s="24" customFormat="1" ht="53.4" x14ac:dyDescent="0.3">
      <c r="A330" s="71" t="s">
        <v>89</v>
      </c>
      <c r="B330" s="71" t="s">
        <v>87</v>
      </c>
      <c r="C330" s="93">
        <v>1510000000</v>
      </c>
      <c r="D330" s="48"/>
      <c r="E330" s="44" t="s">
        <v>281</v>
      </c>
      <c r="F330" s="39">
        <f>F331+F333+F335+F337+F339</f>
        <v>2761.9</v>
      </c>
      <c r="G330" s="39">
        <f>G331+G333+G335+G337+G339</f>
        <v>0</v>
      </c>
      <c r="H330" s="26">
        <f t="shared" si="32"/>
        <v>0</v>
      </c>
    </row>
    <row r="331" spans="1:8" s="24" customFormat="1" ht="53.4" x14ac:dyDescent="0.3">
      <c r="A331" s="48" t="s">
        <v>89</v>
      </c>
      <c r="B331" s="36" t="s">
        <v>87</v>
      </c>
      <c r="C331" s="94" t="s">
        <v>550</v>
      </c>
      <c r="D331" s="48"/>
      <c r="E331" s="101" t="s">
        <v>511</v>
      </c>
      <c r="F331" s="39">
        <f>F332</f>
        <v>516</v>
      </c>
      <c r="G331" s="26">
        <f>G332</f>
        <v>0</v>
      </c>
      <c r="H331" s="26">
        <f t="shared" si="32"/>
        <v>0</v>
      </c>
    </row>
    <row r="332" spans="1:8" s="24" customFormat="1" ht="39.6" x14ac:dyDescent="0.3">
      <c r="A332" s="48" t="s">
        <v>89</v>
      </c>
      <c r="B332" s="36" t="s">
        <v>87</v>
      </c>
      <c r="C332" s="94" t="s">
        <v>550</v>
      </c>
      <c r="D332" s="48" t="s">
        <v>213</v>
      </c>
      <c r="E332" s="46" t="s">
        <v>214</v>
      </c>
      <c r="F332" s="39">
        <v>516</v>
      </c>
      <c r="G332" s="26">
        <v>0</v>
      </c>
      <c r="H332" s="26">
        <f t="shared" si="32"/>
        <v>0</v>
      </c>
    </row>
    <row r="333" spans="1:8" s="24" customFormat="1" ht="53.4" x14ac:dyDescent="0.3">
      <c r="A333" s="48" t="s">
        <v>89</v>
      </c>
      <c r="B333" s="36" t="s">
        <v>87</v>
      </c>
      <c r="C333" s="94">
        <v>1510319022</v>
      </c>
      <c r="D333" s="48"/>
      <c r="E333" s="101" t="s">
        <v>511</v>
      </c>
      <c r="F333" s="39">
        <f>F334</f>
        <v>525.9</v>
      </c>
      <c r="G333" s="26">
        <f>G334</f>
        <v>0</v>
      </c>
      <c r="H333" s="26">
        <f t="shared" si="32"/>
        <v>0</v>
      </c>
    </row>
    <row r="334" spans="1:8" s="24" customFormat="1" ht="39.6" x14ac:dyDescent="0.3">
      <c r="A334" s="48" t="s">
        <v>89</v>
      </c>
      <c r="B334" s="36" t="s">
        <v>87</v>
      </c>
      <c r="C334" s="94">
        <v>1510319022</v>
      </c>
      <c r="D334" s="48" t="s">
        <v>213</v>
      </c>
      <c r="E334" s="46" t="s">
        <v>214</v>
      </c>
      <c r="F334" s="39">
        <v>525.9</v>
      </c>
      <c r="G334" s="26">
        <v>0</v>
      </c>
      <c r="H334" s="26">
        <f t="shared" si="32"/>
        <v>0</v>
      </c>
    </row>
    <row r="335" spans="1:8" s="24" customFormat="1" ht="53.4" x14ac:dyDescent="0.3">
      <c r="A335" s="48" t="s">
        <v>89</v>
      </c>
      <c r="B335" s="36" t="s">
        <v>87</v>
      </c>
      <c r="C335" s="94">
        <v>1510319322</v>
      </c>
      <c r="D335" s="48"/>
      <c r="E335" s="101" t="s">
        <v>511</v>
      </c>
      <c r="F335" s="39">
        <f>F336</f>
        <v>10</v>
      </c>
      <c r="G335" s="26">
        <f>G336</f>
        <v>0</v>
      </c>
      <c r="H335" s="26">
        <f t="shared" si="32"/>
        <v>0</v>
      </c>
    </row>
    <row r="336" spans="1:8" s="24" customFormat="1" ht="39.6" x14ac:dyDescent="0.3">
      <c r="A336" s="48" t="s">
        <v>89</v>
      </c>
      <c r="B336" s="36" t="s">
        <v>87</v>
      </c>
      <c r="C336" s="94">
        <v>1510319322</v>
      </c>
      <c r="D336" s="48" t="s">
        <v>213</v>
      </c>
      <c r="E336" s="46" t="s">
        <v>214</v>
      </c>
      <c r="F336" s="39">
        <v>10</v>
      </c>
      <c r="G336" s="26">
        <v>0</v>
      </c>
      <c r="H336" s="26">
        <f t="shared" si="32"/>
        <v>0</v>
      </c>
    </row>
    <row r="337" spans="1:8" s="24" customFormat="1" ht="66" x14ac:dyDescent="0.3">
      <c r="A337" s="48" t="s">
        <v>89</v>
      </c>
      <c r="B337" s="36" t="s">
        <v>87</v>
      </c>
      <c r="C337" s="94" t="s">
        <v>551</v>
      </c>
      <c r="D337" s="48"/>
      <c r="E337" s="46" t="s">
        <v>552</v>
      </c>
      <c r="F337" s="39">
        <f>F338</f>
        <v>479.6</v>
      </c>
      <c r="G337" s="26">
        <f>G338</f>
        <v>0</v>
      </c>
      <c r="H337" s="26">
        <f t="shared" si="32"/>
        <v>0</v>
      </c>
    </row>
    <row r="338" spans="1:8" s="24" customFormat="1" ht="39.6" x14ac:dyDescent="0.3">
      <c r="A338" s="48" t="s">
        <v>89</v>
      </c>
      <c r="B338" s="36" t="s">
        <v>87</v>
      </c>
      <c r="C338" s="94" t="s">
        <v>551</v>
      </c>
      <c r="D338" s="48" t="s">
        <v>213</v>
      </c>
      <c r="E338" s="46" t="s">
        <v>214</v>
      </c>
      <c r="F338" s="39">
        <v>479.6</v>
      </c>
      <c r="G338" s="26">
        <v>0</v>
      </c>
      <c r="H338" s="26">
        <f t="shared" si="32"/>
        <v>0</v>
      </c>
    </row>
    <row r="339" spans="1:8" s="24" customFormat="1" ht="66" x14ac:dyDescent="0.3">
      <c r="A339" s="48" t="s">
        <v>89</v>
      </c>
      <c r="B339" s="36" t="s">
        <v>87</v>
      </c>
      <c r="C339" s="94">
        <v>1510319023</v>
      </c>
      <c r="D339" s="48"/>
      <c r="E339" s="46" t="s">
        <v>552</v>
      </c>
      <c r="F339" s="39">
        <f>F340</f>
        <v>1230.4000000000001</v>
      </c>
      <c r="G339" s="26">
        <f>G340</f>
        <v>0</v>
      </c>
      <c r="H339" s="26">
        <f t="shared" si="32"/>
        <v>0</v>
      </c>
    </row>
    <row r="340" spans="1:8" s="24" customFormat="1" ht="39.6" x14ac:dyDescent="0.3">
      <c r="A340" s="48" t="s">
        <v>89</v>
      </c>
      <c r="B340" s="36" t="s">
        <v>87</v>
      </c>
      <c r="C340" s="94">
        <v>1510319023</v>
      </c>
      <c r="D340" s="48" t="s">
        <v>213</v>
      </c>
      <c r="E340" s="46" t="s">
        <v>214</v>
      </c>
      <c r="F340" s="39">
        <v>1230.4000000000001</v>
      </c>
      <c r="G340" s="26">
        <v>0</v>
      </c>
      <c r="H340" s="26">
        <f t="shared" si="32"/>
        <v>0</v>
      </c>
    </row>
    <row r="341" spans="1:8" s="24" customFormat="1" ht="28.8" x14ac:dyDescent="0.3">
      <c r="A341" s="33" t="s">
        <v>89</v>
      </c>
      <c r="B341" s="33" t="s">
        <v>89</v>
      </c>
      <c r="C341" s="33"/>
      <c r="D341" s="33"/>
      <c r="E341" s="86" t="s">
        <v>382</v>
      </c>
      <c r="F341" s="64">
        <f>F342</f>
        <v>1180.9000000000001</v>
      </c>
      <c r="G341" s="64">
        <f>G342</f>
        <v>750.2</v>
      </c>
      <c r="H341" s="26">
        <f t="shared" si="32"/>
        <v>63.5</v>
      </c>
    </row>
    <row r="342" spans="1:8" s="24" customFormat="1" ht="53.4" x14ac:dyDescent="0.3">
      <c r="A342" s="68" t="s">
        <v>89</v>
      </c>
      <c r="B342" s="68" t="s">
        <v>89</v>
      </c>
      <c r="C342" s="83">
        <v>400000000</v>
      </c>
      <c r="D342" s="43"/>
      <c r="E342" s="76" t="s">
        <v>353</v>
      </c>
      <c r="F342" s="62">
        <f>F343</f>
        <v>1180.9000000000001</v>
      </c>
      <c r="G342" s="62">
        <f>G343</f>
        <v>750.2</v>
      </c>
      <c r="H342" s="26">
        <f t="shared" si="32"/>
        <v>63.5</v>
      </c>
    </row>
    <row r="343" spans="1:8" s="24" customFormat="1" ht="132.6" x14ac:dyDescent="0.3">
      <c r="A343" s="48" t="s">
        <v>89</v>
      </c>
      <c r="B343" s="48" t="s">
        <v>89</v>
      </c>
      <c r="C343" s="85">
        <v>430000000</v>
      </c>
      <c r="D343" s="36"/>
      <c r="E343" s="34" t="s">
        <v>383</v>
      </c>
      <c r="F343" s="42">
        <f>F344+F346</f>
        <v>1180.9000000000001</v>
      </c>
      <c r="G343" s="42">
        <f>G344+G346</f>
        <v>750.2</v>
      </c>
      <c r="H343" s="26">
        <f t="shared" si="32"/>
        <v>63.5</v>
      </c>
    </row>
    <row r="344" spans="1:8" s="24" customFormat="1" ht="105.6" x14ac:dyDescent="0.3">
      <c r="A344" s="48" t="s">
        <v>89</v>
      </c>
      <c r="B344" s="48" t="s">
        <v>89</v>
      </c>
      <c r="C344" s="37">
        <v>430127310</v>
      </c>
      <c r="D344" s="36"/>
      <c r="E344" s="46" t="s">
        <v>512</v>
      </c>
      <c r="F344" s="39">
        <f>F345</f>
        <v>1000</v>
      </c>
      <c r="G344" s="39">
        <f>G345</f>
        <v>702.7</v>
      </c>
      <c r="H344" s="26">
        <f t="shared" si="32"/>
        <v>70.3</v>
      </c>
    </row>
    <row r="345" spans="1:8" ht="66" x14ac:dyDescent="0.3">
      <c r="A345" s="48" t="s">
        <v>89</v>
      </c>
      <c r="B345" s="48" t="s">
        <v>89</v>
      </c>
      <c r="C345" s="37">
        <v>430127310</v>
      </c>
      <c r="D345" s="36" t="s">
        <v>227</v>
      </c>
      <c r="E345" s="46" t="s">
        <v>300</v>
      </c>
      <c r="F345" s="39">
        <v>1000</v>
      </c>
      <c r="G345" s="26">
        <v>702.7</v>
      </c>
      <c r="H345" s="26">
        <f t="shared" si="32"/>
        <v>70.3</v>
      </c>
    </row>
    <row r="346" spans="1:8" ht="105.6" x14ac:dyDescent="0.3">
      <c r="A346" s="48" t="s">
        <v>89</v>
      </c>
      <c r="B346" s="48" t="s">
        <v>89</v>
      </c>
      <c r="C346" s="37">
        <v>430127320</v>
      </c>
      <c r="D346" s="36"/>
      <c r="E346" s="46" t="s">
        <v>384</v>
      </c>
      <c r="F346" s="39">
        <f>F347</f>
        <v>180.9</v>
      </c>
      <c r="G346" s="39">
        <f>G347</f>
        <v>47.5</v>
      </c>
      <c r="H346" s="26">
        <f t="shared" si="32"/>
        <v>26.3</v>
      </c>
    </row>
    <row r="347" spans="1:8" ht="66" x14ac:dyDescent="0.3">
      <c r="A347" s="48" t="s">
        <v>89</v>
      </c>
      <c r="B347" s="48" t="s">
        <v>89</v>
      </c>
      <c r="C347" s="37">
        <v>430127320</v>
      </c>
      <c r="D347" s="36" t="s">
        <v>227</v>
      </c>
      <c r="E347" s="46" t="s">
        <v>300</v>
      </c>
      <c r="F347" s="39">
        <v>180.9</v>
      </c>
      <c r="G347" s="26">
        <v>47.5</v>
      </c>
      <c r="H347" s="26">
        <f t="shared" si="32"/>
        <v>26.3</v>
      </c>
    </row>
    <row r="348" spans="1:8" x14ac:dyDescent="0.3">
      <c r="A348" s="29" t="s">
        <v>98</v>
      </c>
      <c r="B348" s="72"/>
      <c r="C348" s="72"/>
      <c r="D348" s="72"/>
      <c r="E348" s="31" t="s">
        <v>99</v>
      </c>
      <c r="F348" s="32">
        <f>F349+F358+F390+F426+F431+F460</f>
        <v>618838.00000000012</v>
      </c>
      <c r="G348" s="32">
        <f>G349+G358+G390+G426+G431+G460</f>
        <v>359912.2</v>
      </c>
      <c r="H348" s="26">
        <f t="shared" si="32"/>
        <v>58.2</v>
      </c>
    </row>
    <row r="349" spans="1:8" x14ac:dyDescent="0.3">
      <c r="A349" s="52" t="s">
        <v>98</v>
      </c>
      <c r="B349" s="52" t="s">
        <v>84</v>
      </c>
      <c r="C349" s="52"/>
      <c r="D349" s="52"/>
      <c r="E349" s="59" t="s">
        <v>101</v>
      </c>
      <c r="F349" s="82">
        <f>F350</f>
        <v>160098.40000000002</v>
      </c>
      <c r="G349" s="82">
        <f>G350</f>
        <v>92429.6</v>
      </c>
      <c r="H349" s="26">
        <f t="shared" si="32"/>
        <v>57.7</v>
      </c>
    </row>
    <row r="350" spans="1:8" ht="66.599999999999994" x14ac:dyDescent="0.3">
      <c r="A350" s="36" t="s">
        <v>98</v>
      </c>
      <c r="B350" s="36" t="s">
        <v>84</v>
      </c>
      <c r="C350" s="47" t="s">
        <v>72</v>
      </c>
      <c r="D350" s="52"/>
      <c r="E350" s="76" t="s">
        <v>385</v>
      </c>
      <c r="F350" s="102">
        <f t="shared" ref="F350:G350" si="34">F351</f>
        <v>160098.40000000002</v>
      </c>
      <c r="G350" s="102">
        <f t="shared" si="34"/>
        <v>92429.6</v>
      </c>
      <c r="H350" s="26">
        <f t="shared" si="32"/>
        <v>57.7</v>
      </c>
    </row>
    <row r="351" spans="1:8" ht="27" x14ac:dyDescent="0.3">
      <c r="A351" s="36" t="s">
        <v>98</v>
      </c>
      <c r="B351" s="36" t="s">
        <v>84</v>
      </c>
      <c r="C351" s="63" t="s">
        <v>73</v>
      </c>
      <c r="D351" s="52"/>
      <c r="E351" s="34" t="s">
        <v>386</v>
      </c>
      <c r="F351" s="56">
        <f>F352+F354+F356</f>
        <v>160098.40000000002</v>
      </c>
      <c r="G351" s="56">
        <f>G352+G354+G356</f>
        <v>92429.6</v>
      </c>
      <c r="H351" s="26">
        <f t="shared" si="32"/>
        <v>57.7</v>
      </c>
    </row>
    <row r="352" spans="1:8" ht="52.8" x14ac:dyDescent="0.3">
      <c r="A352" s="103" t="s">
        <v>98</v>
      </c>
      <c r="B352" s="103" t="s">
        <v>84</v>
      </c>
      <c r="C352" s="47" t="s">
        <v>387</v>
      </c>
      <c r="D352" s="47"/>
      <c r="E352" s="46" t="s">
        <v>388</v>
      </c>
      <c r="F352" s="56">
        <f>F353</f>
        <v>88408.6</v>
      </c>
      <c r="G352" s="56">
        <f>G353</f>
        <v>54114.6</v>
      </c>
      <c r="H352" s="26">
        <f t="shared" si="32"/>
        <v>61.2</v>
      </c>
    </row>
    <row r="353" spans="1:8" x14ac:dyDescent="0.3">
      <c r="A353" s="103" t="s">
        <v>98</v>
      </c>
      <c r="B353" s="103" t="s">
        <v>84</v>
      </c>
      <c r="C353" s="47" t="s">
        <v>387</v>
      </c>
      <c r="D353" s="47" t="s">
        <v>225</v>
      </c>
      <c r="E353" s="46" t="s">
        <v>226</v>
      </c>
      <c r="F353" s="87">
        <v>88408.6</v>
      </c>
      <c r="G353" s="26">
        <v>54114.6</v>
      </c>
      <c r="H353" s="26">
        <f t="shared" si="32"/>
        <v>61.2</v>
      </c>
    </row>
    <row r="354" spans="1:8" ht="66" x14ac:dyDescent="0.3">
      <c r="A354" s="103" t="s">
        <v>98</v>
      </c>
      <c r="B354" s="103" t="s">
        <v>84</v>
      </c>
      <c r="C354" s="104" t="s">
        <v>389</v>
      </c>
      <c r="D354" s="47"/>
      <c r="E354" s="46" t="s">
        <v>390</v>
      </c>
      <c r="F354" s="56">
        <f>F355</f>
        <v>71187.099999999991</v>
      </c>
      <c r="G354" s="56">
        <f>G355</f>
        <v>38087.9</v>
      </c>
      <c r="H354" s="26">
        <f t="shared" si="32"/>
        <v>53.5</v>
      </c>
    </row>
    <row r="355" spans="1:8" x14ac:dyDescent="0.3">
      <c r="A355" s="103" t="s">
        <v>98</v>
      </c>
      <c r="B355" s="103" t="s">
        <v>84</v>
      </c>
      <c r="C355" s="104" t="s">
        <v>389</v>
      </c>
      <c r="D355" s="47" t="s">
        <v>225</v>
      </c>
      <c r="E355" s="46" t="s">
        <v>226</v>
      </c>
      <c r="F355" s="56">
        <f>68790.2+2396.9</f>
        <v>71187.099999999991</v>
      </c>
      <c r="G355" s="26">
        <v>38087.9</v>
      </c>
      <c r="H355" s="26">
        <f t="shared" si="32"/>
        <v>53.5</v>
      </c>
    </row>
    <row r="356" spans="1:8" ht="53.4" x14ac:dyDescent="0.3">
      <c r="A356" s="103" t="s">
        <v>98</v>
      </c>
      <c r="B356" s="103" t="s">
        <v>84</v>
      </c>
      <c r="C356" s="47" t="s">
        <v>391</v>
      </c>
      <c r="D356" s="105"/>
      <c r="E356" s="65" t="s">
        <v>392</v>
      </c>
      <c r="F356" s="56">
        <f>F357</f>
        <v>502.70000000000005</v>
      </c>
      <c r="G356" s="56">
        <f>G357</f>
        <v>227.1</v>
      </c>
      <c r="H356" s="26">
        <f t="shared" si="32"/>
        <v>45.2</v>
      </c>
    </row>
    <row r="357" spans="1:8" s="24" customFormat="1" x14ac:dyDescent="0.3">
      <c r="A357" s="103" t="s">
        <v>98</v>
      </c>
      <c r="B357" s="103" t="s">
        <v>84</v>
      </c>
      <c r="C357" s="47" t="s">
        <v>391</v>
      </c>
      <c r="D357" s="47" t="s">
        <v>225</v>
      </c>
      <c r="E357" s="46" t="s">
        <v>226</v>
      </c>
      <c r="F357" s="56">
        <f>227.1+275.6</f>
        <v>502.70000000000005</v>
      </c>
      <c r="G357" s="26">
        <v>227.1</v>
      </c>
      <c r="H357" s="26">
        <f t="shared" si="32"/>
        <v>45.2</v>
      </c>
    </row>
    <row r="358" spans="1:8" x14ac:dyDescent="0.3">
      <c r="A358" s="52" t="s">
        <v>98</v>
      </c>
      <c r="B358" s="52" t="s">
        <v>85</v>
      </c>
      <c r="C358" s="52"/>
      <c r="D358" s="52"/>
      <c r="E358" s="59" t="s">
        <v>102</v>
      </c>
      <c r="F358" s="53">
        <f>F359+F387</f>
        <v>372245.39999999997</v>
      </c>
      <c r="G358" s="53">
        <f>G359+G387</f>
        <v>215000.5</v>
      </c>
      <c r="H358" s="26">
        <f t="shared" si="32"/>
        <v>57.8</v>
      </c>
    </row>
    <row r="359" spans="1:8" ht="66.599999999999994" x14ac:dyDescent="0.3">
      <c r="A359" s="36" t="s">
        <v>98</v>
      </c>
      <c r="B359" s="36" t="s">
        <v>85</v>
      </c>
      <c r="C359" s="47" t="s">
        <v>72</v>
      </c>
      <c r="D359" s="52"/>
      <c r="E359" s="76" t="s">
        <v>385</v>
      </c>
      <c r="F359" s="106">
        <f t="shared" ref="F359:G359" si="35">F360</f>
        <v>372130.39999999997</v>
      </c>
      <c r="G359" s="106">
        <f t="shared" si="35"/>
        <v>214930.5</v>
      </c>
      <c r="H359" s="26">
        <f t="shared" si="32"/>
        <v>57.8</v>
      </c>
    </row>
    <row r="360" spans="1:8" s="24" customFormat="1" ht="40.200000000000003" x14ac:dyDescent="0.3">
      <c r="A360" s="71" t="s">
        <v>98</v>
      </c>
      <c r="B360" s="71" t="s">
        <v>85</v>
      </c>
      <c r="C360" s="63" t="s">
        <v>74</v>
      </c>
      <c r="D360" s="47"/>
      <c r="E360" s="34" t="s">
        <v>393</v>
      </c>
      <c r="F360" s="56">
        <f>F361+F363+F365+F367+F369+F371+F373+F375+F377+F379+F381+F383+F385</f>
        <v>372130.39999999997</v>
      </c>
      <c r="G360" s="56">
        <f>G361+G363+G365+G367+G369+G371+G373+G375+G377+G379+G381+G383+G385</f>
        <v>214930.5</v>
      </c>
      <c r="H360" s="26">
        <f t="shared" si="32"/>
        <v>57.8</v>
      </c>
    </row>
    <row r="361" spans="1:8" s="24" customFormat="1" ht="69" customHeight="1" x14ac:dyDescent="0.3">
      <c r="A361" s="103" t="s">
        <v>98</v>
      </c>
      <c r="B361" s="107" t="s">
        <v>85</v>
      </c>
      <c r="C361" s="48" t="s">
        <v>394</v>
      </c>
      <c r="D361" s="48"/>
      <c r="E361" s="46" t="s">
        <v>395</v>
      </c>
      <c r="F361" s="56">
        <f>F362</f>
        <v>222855.8</v>
      </c>
      <c r="G361" s="56">
        <f>G362</f>
        <v>135667.9</v>
      </c>
      <c r="H361" s="26">
        <f t="shared" si="32"/>
        <v>60.9</v>
      </c>
    </row>
    <row r="362" spans="1:8" s="24" customFormat="1" x14ac:dyDescent="0.3">
      <c r="A362" s="103" t="s">
        <v>98</v>
      </c>
      <c r="B362" s="107" t="s">
        <v>85</v>
      </c>
      <c r="C362" s="105" t="s">
        <v>394</v>
      </c>
      <c r="D362" s="47" t="s">
        <v>225</v>
      </c>
      <c r="E362" s="46" t="s">
        <v>226</v>
      </c>
      <c r="F362" s="42">
        <v>222855.8</v>
      </c>
      <c r="G362" s="26">
        <v>135667.9</v>
      </c>
      <c r="H362" s="26">
        <f t="shared" si="32"/>
        <v>60.9</v>
      </c>
    </row>
    <row r="363" spans="1:8" s="24" customFormat="1" ht="66" x14ac:dyDescent="0.3">
      <c r="A363" s="36" t="s">
        <v>98</v>
      </c>
      <c r="B363" s="36" t="s">
        <v>85</v>
      </c>
      <c r="C363" s="105" t="s">
        <v>396</v>
      </c>
      <c r="D363" s="47"/>
      <c r="E363" s="46" t="s">
        <v>247</v>
      </c>
      <c r="F363" s="56">
        <f>F364</f>
        <v>86324</v>
      </c>
      <c r="G363" s="56">
        <f>G364</f>
        <v>46131</v>
      </c>
      <c r="H363" s="26">
        <f t="shared" si="32"/>
        <v>53.4</v>
      </c>
    </row>
    <row r="364" spans="1:8" s="24" customFormat="1" x14ac:dyDescent="0.3">
      <c r="A364" s="103" t="s">
        <v>98</v>
      </c>
      <c r="B364" s="107" t="s">
        <v>85</v>
      </c>
      <c r="C364" s="105" t="s">
        <v>396</v>
      </c>
      <c r="D364" s="47" t="s">
        <v>225</v>
      </c>
      <c r="E364" s="46" t="s">
        <v>226</v>
      </c>
      <c r="F364" s="56">
        <f>82839.4+3484.6</f>
        <v>86324</v>
      </c>
      <c r="G364" s="26">
        <v>46131</v>
      </c>
      <c r="H364" s="26">
        <f t="shared" si="32"/>
        <v>53.4</v>
      </c>
    </row>
    <row r="365" spans="1:8" s="24" customFormat="1" ht="52.8" x14ac:dyDescent="0.3">
      <c r="A365" s="103" t="s">
        <v>98</v>
      </c>
      <c r="B365" s="107" t="s">
        <v>85</v>
      </c>
      <c r="C365" s="105" t="s">
        <v>397</v>
      </c>
      <c r="D365" s="47"/>
      <c r="E365" s="46" t="s">
        <v>398</v>
      </c>
      <c r="F365" s="56">
        <f>F366</f>
        <v>15882.5</v>
      </c>
      <c r="G365" s="56">
        <f>G366</f>
        <v>9429.1</v>
      </c>
      <c r="H365" s="26">
        <f t="shared" si="32"/>
        <v>59.4</v>
      </c>
    </row>
    <row r="366" spans="1:8" s="24" customFormat="1" x14ac:dyDescent="0.3">
      <c r="A366" s="36" t="s">
        <v>98</v>
      </c>
      <c r="B366" s="36" t="s">
        <v>85</v>
      </c>
      <c r="C366" s="47" t="s">
        <v>397</v>
      </c>
      <c r="D366" s="47" t="s">
        <v>225</v>
      </c>
      <c r="E366" s="46" t="s">
        <v>226</v>
      </c>
      <c r="F366" s="87">
        <v>15882.5</v>
      </c>
      <c r="G366" s="26">
        <v>9429.1</v>
      </c>
      <c r="H366" s="26">
        <f t="shared" si="32"/>
        <v>59.4</v>
      </c>
    </row>
    <row r="367" spans="1:8" s="24" customFormat="1" ht="52.8" x14ac:dyDescent="0.3">
      <c r="A367" s="36" t="s">
        <v>98</v>
      </c>
      <c r="B367" s="36" t="s">
        <v>85</v>
      </c>
      <c r="C367" s="105" t="s">
        <v>399</v>
      </c>
      <c r="D367" s="47"/>
      <c r="E367" s="46" t="s">
        <v>400</v>
      </c>
      <c r="F367" s="56">
        <f>F368</f>
        <v>245.7</v>
      </c>
      <c r="G367" s="56">
        <f>G368</f>
        <v>43.2</v>
      </c>
      <c r="H367" s="26">
        <f t="shared" si="32"/>
        <v>17.600000000000001</v>
      </c>
    </row>
    <row r="368" spans="1:8" s="24" customFormat="1" x14ac:dyDescent="0.3">
      <c r="A368" s="36" t="s">
        <v>98</v>
      </c>
      <c r="B368" s="36" t="s">
        <v>85</v>
      </c>
      <c r="C368" s="105" t="s">
        <v>399</v>
      </c>
      <c r="D368" s="47" t="s">
        <v>225</v>
      </c>
      <c r="E368" s="46" t="s">
        <v>226</v>
      </c>
      <c r="F368" s="56">
        <f>273-27.3</f>
        <v>245.7</v>
      </c>
      <c r="G368" s="27">
        <v>43.2</v>
      </c>
      <c r="H368" s="26">
        <f t="shared" si="32"/>
        <v>17.600000000000001</v>
      </c>
    </row>
    <row r="369" spans="1:8" s="24" customFormat="1" ht="39.6" x14ac:dyDescent="0.3">
      <c r="A369" s="36" t="s">
        <v>98</v>
      </c>
      <c r="B369" s="36" t="s">
        <v>85</v>
      </c>
      <c r="C369" s="105" t="s">
        <v>513</v>
      </c>
      <c r="D369" s="47"/>
      <c r="E369" s="46" t="s">
        <v>514</v>
      </c>
      <c r="F369" s="56">
        <f>F370</f>
        <v>500</v>
      </c>
      <c r="G369" s="26">
        <f>G370</f>
        <v>500</v>
      </c>
      <c r="H369" s="26">
        <f t="shared" si="32"/>
        <v>100</v>
      </c>
    </row>
    <row r="370" spans="1:8" s="24" customFormat="1" x14ac:dyDescent="0.3">
      <c r="A370" s="36" t="s">
        <v>98</v>
      </c>
      <c r="B370" s="36" t="s">
        <v>85</v>
      </c>
      <c r="C370" s="105" t="s">
        <v>513</v>
      </c>
      <c r="D370" s="47" t="s">
        <v>225</v>
      </c>
      <c r="E370" s="46" t="s">
        <v>226</v>
      </c>
      <c r="F370" s="56">
        <v>500</v>
      </c>
      <c r="G370" s="26">
        <v>500</v>
      </c>
      <c r="H370" s="26">
        <f t="shared" si="32"/>
        <v>100</v>
      </c>
    </row>
    <row r="371" spans="1:8" s="24" customFormat="1" ht="40.200000000000003" x14ac:dyDescent="0.3">
      <c r="A371" s="36" t="s">
        <v>98</v>
      </c>
      <c r="B371" s="36" t="s">
        <v>85</v>
      </c>
      <c r="C371" s="108" t="s">
        <v>553</v>
      </c>
      <c r="D371" s="47"/>
      <c r="E371" s="89" t="s">
        <v>554</v>
      </c>
      <c r="F371" s="56">
        <f>F372</f>
        <v>100</v>
      </c>
      <c r="G371" s="26">
        <f t="shared" ref="G371" si="36">G372</f>
        <v>100</v>
      </c>
      <c r="H371" s="26">
        <f t="shared" si="32"/>
        <v>100</v>
      </c>
    </row>
    <row r="372" spans="1:8" s="24" customFormat="1" x14ac:dyDescent="0.3">
      <c r="A372" s="36" t="s">
        <v>98</v>
      </c>
      <c r="B372" s="36" t="s">
        <v>85</v>
      </c>
      <c r="C372" s="108" t="s">
        <v>553</v>
      </c>
      <c r="D372" s="47" t="s">
        <v>225</v>
      </c>
      <c r="E372" s="46" t="s">
        <v>226</v>
      </c>
      <c r="F372" s="56">
        <v>100</v>
      </c>
      <c r="G372" s="26">
        <v>100</v>
      </c>
      <c r="H372" s="26">
        <f t="shared" si="32"/>
        <v>100</v>
      </c>
    </row>
    <row r="373" spans="1:8" s="24" customFormat="1" ht="39.6" x14ac:dyDescent="0.3">
      <c r="A373" s="36" t="s">
        <v>98</v>
      </c>
      <c r="B373" s="36" t="s">
        <v>85</v>
      </c>
      <c r="C373" s="105" t="s">
        <v>401</v>
      </c>
      <c r="D373" s="47"/>
      <c r="E373" s="46" t="s">
        <v>246</v>
      </c>
      <c r="F373" s="56">
        <f>F374</f>
        <v>5249.9</v>
      </c>
      <c r="G373" s="26">
        <f>G374</f>
        <v>2834.9</v>
      </c>
      <c r="H373" s="26">
        <f t="shared" si="32"/>
        <v>54</v>
      </c>
    </row>
    <row r="374" spans="1:8" s="24" customFormat="1" x14ac:dyDescent="0.3">
      <c r="A374" s="36" t="s">
        <v>98</v>
      </c>
      <c r="B374" s="36" t="s">
        <v>85</v>
      </c>
      <c r="C374" s="105" t="s">
        <v>401</v>
      </c>
      <c r="D374" s="47" t="s">
        <v>225</v>
      </c>
      <c r="E374" s="46" t="s">
        <v>226</v>
      </c>
      <c r="F374" s="42">
        <v>5249.9</v>
      </c>
      <c r="G374" s="26">
        <v>2834.9</v>
      </c>
      <c r="H374" s="26">
        <f t="shared" si="32"/>
        <v>54</v>
      </c>
    </row>
    <row r="375" spans="1:8" s="24" customFormat="1" ht="67.5" customHeight="1" x14ac:dyDescent="0.3">
      <c r="A375" s="36" t="s">
        <v>98</v>
      </c>
      <c r="B375" s="36" t="s">
        <v>85</v>
      </c>
      <c r="C375" s="47" t="s">
        <v>402</v>
      </c>
      <c r="D375" s="47"/>
      <c r="E375" s="46" t="s">
        <v>123</v>
      </c>
      <c r="F375" s="56">
        <f>F376</f>
        <v>17550.099999999999</v>
      </c>
      <c r="G375" s="26">
        <f>G376</f>
        <v>8991.2999999999993</v>
      </c>
      <c r="H375" s="26">
        <f t="shared" si="32"/>
        <v>51.2</v>
      </c>
    </row>
    <row r="376" spans="1:8" s="24" customFormat="1" x14ac:dyDescent="0.3">
      <c r="A376" s="48" t="s">
        <v>98</v>
      </c>
      <c r="B376" s="36" t="s">
        <v>85</v>
      </c>
      <c r="C376" s="47" t="s">
        <v>402</v>
      </c>
      <c r="D376" s="47" t="s">
        <v>225</v>
      </c>
      <c r="E376" s="46" t="s">
        <v>226</v>
      </c>
      <c r="F376" s="56">
        <v>17550.099999999999</v>
      </c>
      <c r="G376" s="26">
        <v>8991.2999999999993</v>
      </c>
      <c r="H376" s="26">
        <f t="shared" si="32"/>
        <v>51.2</v>
      </c>
    </row>
    <row r="377" spans="1:8" s="24" customFormat="1" ht="52.8" x14ac:dyDescent="0.3">
      <c r="A377" s="36" t="s">
        <v>98</v>
      </c>
      <c r="B377" s="36" t="s">
        <v>85</v>
      </c>
      <c r="C377" s="47" t="s">
        <v>403</v>
      </c>
      <c r="D377" s="47"/>
      <c r="E377" s="46" t="s">
        <v>404</v>
      </c>
      <c r="F377" s="56">
        <f>F378</f>
        <v>175</v>
      </c>
      <c r="G377" s="26">
        <f>SUM(G378:G378)</f>
        <v>0</v>
      </c>
      <c r="H377" s="26">
        <f t="shared" si="32"/>
        <v>0</v>
      </c>
    </row>
    <row r="378" spans="1:8" s="24" customFormat="1" x14ac:dyDescent="0.3">
      <c r="A378" s="36" t="s">
        <v>98</v>
      </c>
      <c r="B378" s="36" t="s">
        <v>85</v>
      </c>
      <c r="C378" s="47" t="s">
        <v>403</v>
      </c>
      <c r="D378" s="47" t="s">
        <v>225</v>
      </c>
      <c r="E378" s="46" t="s">
        <v>226</v>
      </c>
      <c r="F378" s="39">
        <v>175</v>
      </c>
      <c r="G378" s="26">
        <v>0</v>
      </c>
      <c r="H378" s="26">
        <f t="shared" si="32"/>
        <v>0</v>
      </c>
    </row>
    <row r="379" spans="1:8" s="24" customFormat="1" ht="53.25" customHeight="1" x14ac:dyDescent="0.3">
      <c r="A379" s="36" t="s">
        <v>98</v>
      </c>
      <c r="B379" s="36" t="s">
        <v>85</v>
      </c>
      <c r="C379" s="47" t="s">
        <v>515</v>
      </c>
      <c r="D379" s="48"/>
      <c r="E379" s="38" t="s">
        <v>302</v>
      </c>
      <c r="F379" s="39">
        <f>F380</f>
        <v>18640</v>
      </c>
      <c r="G379" s="26">
        <f>G380</f>
        <v>8821.6</v>
      </c>
      <c r="H379" s="26">
        <f t="shared" ref="H379:H436" si="37">ROUND((G379/F379*100),1)</f>
        <v>47.3</v>
      </c>
    </row>
    <row r="380" spans="1:8" x14ac:dyDescent="0.3">
      <c r="A380" s="36" t="s">
        <v>98</v>
      </c>
      <c r="B380" s="36" t="s">
        <v>85</v>
      </c>
      <c r="C380" s="47" t="s">
        <v>515</v>
      </c>
      <c r="D380" s="47" t="s">
        <v>225</v>
      </c>
      <c r="E380" s="46" t="s">
        <v>226</v>
      </c>
      <c r="F380" s="42">
        <v>18640</v>
      </c>
      <c r="G380" s="26">
        <v>8821.6</v>
      </c>
      <c r="H380" s="26">
        <f t="shared" si="37"/>
        <v>47.3</v>
      </c>
    </row>
    <row r="381" spans="1:8" ht="52.5" customHeight="1" x14ac:dyDescent="0.3">
      <c r="A381" s="36" t="s">
        <v>98</v>
      </c>
      <c r="B381" s="36" t="s">
        <v>85</v>
      </c>
      <c r="C381" s="47" t="s">
        <v>405</v>
      </c>
      <c r="D381" s="47"/>
      <c r="E381" s="46" t="s">
        <v>406</v>
      </c>
      <c r="F381" s="39">
        <f>F382</f>
        <v>3968.1</v>
      </c>
      <c r="G381" s="26">
        <f>G382</f>
        <v>2161.5</v>
      </c>
      <c r="H381" s="26">
        <f t="shared" si="37"/>
        <v>54.5</v>
      </c>
    </row>
    <row r="382" spans="1:8" x14ac:dyDescent="0.3">
      <c r="A382" s="36" t="s">
        <v>98</v>
      </c>
      <c r="B382" s="36" t="s">
        <v>85</v>
      </c>
      <c r="C382" s="47" t="s">
        <v>405</v>
      </c>
      <c r="D382" s="47" t="s">
        <v>225</v>
      </c>
      <c r="E382" s="46" t="s">
        <v>226</v>
      </c>
      <c r="F382" s="39">
        <v>3968.1</v>
      </c>
      <c r="G382" s="26">
        <v>2161.5</v>
      </c>
      <c r="H382" s="26">
        <f t="shared" si="37"/>
        <v>54.5</v>
      </c>
    </row>
    <row r="383" spans="1:8" ht="66.599999999999994" x14ac:dyDescent="0.3">
      <c r="A383" s="36" t="s">
        <v>98</v>
      </c>
      <c r="B383" s="36" t="s">
        <v>85</v>
      </c>
      <c r="C383" s="105" t="s">
        <v>516</v>
      </c>
      <c r="D383" s="47"/>
      <c r="E383" s="65" t="s">
        <v>517</v>
      </c>
      <c r="F383" s="39">
        <f>F384</f>
        <v>250</v>
      </c>
      <c r="G383" s="39">
        <f>G384</f>
        <v>250</v>
      </c>
      <c r="H383" s="26">
        <f t="shared" si="37"/>
        <v>100</v>
      </c>
    </row>
    <row r="384" spans="1:8" x14ac:dyDescent="0.3">
      <c r="A384" s="36" t="s">
        <v>98</v>
      </c>
      <c r="B384" s="36" t="s">
        <v>85</v>
      </c>
      <c r="C384" s="105" t="s">
        <v>516</v>
      </c>
      <c r="D384" s="47" t="s">
        <v>225</v>
      </c>
      <c r="E384" s="46" t="s">
        <v>226</v>
      </c>
      <c r="F384" s="39">
        <v>250</v>
      </c>
      <c r="G384" s="26">
        <v>250</v>
      </c>
      <c r="H384" s="26">
        <f t="shared" si="37"/>
        <v>100</v>
      </c>
    </row>
    <row r="385" spans="1:8" ht="53.4" x14ac:dyDescent="0.3">
      <c r="A385" s="36" t="s">
        <v>98</v>
      </c>
      <c r="B385" s="36" t="s">
        <v>85</v>
      </c>
      <c r="C385" s="105" t="s">
        <v>555</v>
      </c>
      <c r="D385" s="47"/>
      <c r="E385" s="65" t="s">
        <v>556</v>
      </c>
      <c r="F385" s="39">
        <f>F386</f>
        <v>389.3</v>
      </c>
      <c r="G385" s="26">
        <f t="shared" ref="G385" si="38">G386</f>
        <v>0</v>
      </c>
      <c r="H385" s="26">
        <f t="shared" si="37"/>
        <v>0</v>
      </c>
    </row>
    <row r="386" spans="1:8" x14ac:dyDescent="0.3">
      <c r="A386" s="36" t="s">
        <v>98</v>
      </c>
      <c r="B386" s="36" t="s">
        <v>85</v>
      </c>
      <c r="C386" s="105" t="s">
        <v>555</v>
      </c>
      <c r="D386" s="47" t="s">
        <v>225</v>
      </c>
      <c r="E386" s="46" t="s">
        <v>226</v>
      </c>
      <c r="F386" s="39">
        <v>389.3</v>
      </c>
      <c r="G386" s="26">
        <v>0</v>
      </c>
      <c r="H386" s="26">
        <f t="shared" si="37"/>
        <v>0</v>
      </c>
    </row>
    <row r="387" spans="1:8" ht="27" x14ac:dyDescent="0.3">
      <c r="A387" s="36" t="s">
        <v>98</v>
      </c>
      <c r="B387" s="36" t="s">
        <v>85</v>
      </c>
      <c r="C387" s="48" t="s">
        <v>24</v>
      </c>
      <c r="D387" s="48"/>
      <c r="E387" s="41" t="s">
        <v>36</v>
      </c>
      <c r="F387" s="39">
        <f>F388</f>
        <v>115</v>
      </c>
      <c r="G387" s="39">
        <f>G388</f>
        <v>70</v>
      </c>
      <c r="H387" s="26">
        <f t="shared" si="37"/>
        <v>60.9</v>
      </c>
    </row>
    <row r="388" spans="1:8" ht="39.6" x14ac:dyDescent="0.3">
      <c r="A388" s="36" t="s">
        <v>98</v>
      </c>
      <c r="B388" s="36" t="s">
        <v>85</v>
      </c>
      <c r="C388" s="48" t="s">
        <v>426</v>
      </c>
      <c r="D388" s="36"/>
      <c r="E388" s="40" t="s">
        <v>273</v>
      </c>
      <c r="F388" s="39">
        <f>SUM(F389:F389)</f>
        <v>115</v>
      </c>
      <c r="G388" s="39">
        <f>SUM(G389:G389)</f>
        <v>70</v>
      </c>
      <c r="H388" s="26">
        <f t="shared" si="37"/>
        <v>60.9</v>
      </c>
    </row>
    <row r="389" spans="1:8" x14ac:dyDescent="0.3">
      <c r="A389" s="36" t="s">
        <v>98</v>
      </c>
      <c r="B389" s="36" t="s">
        <v>85</v>
      </c>
      <c r="C389" s="48" t="s">
        <v>426</v>
      </c>
      <c r="D389" s="47" t="s">
        <v>225</v>
      </c>
      <c r="E389" s="46" t="s">
        <v>226</v>
      </c>
      <c r="F389" s="42">
        <f>70+45</f>
        <v>115</v>
      </c>
      <c r="G389" s="26">
        <v>70</v>
      </c>
      <c r="H389" s="26">
        <f t="shared" si="37"/>
        <v>60.9</v>
      </c>
    </row>
    <row r="390" spans="1:8" x14ac:dyDescent="0.3">
      <c r="A390" s="52" t="s">
        <v>98</v>
      </c>
      <c r="B390" s="52" t="s">
        <v>87</v>
      </c>
      <c r="C390" s="52"/>
      <c r="D390" s="52"/>
      <c r="E390" s="34" t="s">
        <v>138</v>
      </c>
      <c r="F390" s="53">
        <f>F391+F413+F423</f>
        <v>61798</v>
      </c>
      <c r="G390" s="53">
        <f>G391+G413+G423</f>
        <v>39968.199999999997</v>
      </c>
      <c r="H390" s="26">
        <f t="shared" si="37"/>
        <v>64.7</v>
      </c>
    </row>
    <row r="391" spans="1:8" s="24" customFormat="1" ht="66.599999999999994" x14ac:dyDescent="0.3">
      <c r="A391" s="68" t="s">
        <v>98</v>
      </c>
      <c r="B391" s="68" t="s">
        <v>87</v>
      </c>
      <c r="C391" s="60" t="s">
        <v>72</v>
      </c>
      <c r="D391" s="47"/>
      <c r="E391" s="76" t="s">
        <v>385</v>
      </c>
      <c r="F391" s="102">
        <f>F392+F410</f>
        <v>47002.9</v>
      </c>
      <c r="G391" s="102">
        <f>G392+G410</f>
        <v>28950.899999999998</v>
      </c>
      <c r="H391" s="26">
        <f t="shared" si="37"/>
        <v>61.6</v>
      </c>
    </row>
    <row r="392" spans="1:8" s="24" customFormat="1" ht="40.200000000000003" x14ac:dyDescent="0.3">
      <c r="A392" s="36" t="s">
        <v>98</v>
      </c>
      <c r="B392" s="48" t="s">
        <v>87</v>
      </c>
      <c r="C392" s="63" t="s">
        <v>407</v>
      </c>
      <c r="D392" s="52"/>
      <c r="E392" s="34" t="s">
        <v>408</v>
      </c>
      <c r="F392" s="56">
        <f>F393+F395+F400+F402++F404+F406+F408</f>
        <v>46952.9</v>
      </c>
      <c r="G392" s="56">
        <f>G393+G395+G400+G402++G404+G406+G408</f>
        <v>28900.899999999998</v>
      </c>
      <c r="H392" s="26">
        <f t="shared" si="37"/>
        <v>61.6</v>
      </c>
    </row>
    <row r="393" spans="1:8" s="24" customFormat="1" ht="66" x14ac:dyDescent="0.3">
      <c r="A393" s="36" t="s">
        <v>98</v>
      </c>
      <c r="B393" s="48" t="s">
        <v>87</v>
      </c>
      <c r="C393" s="105" t="s">
        <v>409</v>
      </c>
      <c r="D393" s="36"/>
      <c r="E393" s="46" t="s">
        <v>410</v>
      </c>
      <c r="F393" s="56">
        <f>F394</f>
        <v>24633.4</v>
      </c>
      <c r="G393" s="56">
        <f>G394</f>
        <v>16064.4</v>
      </c>
      <c r="H393" s="26">
        <f t="shared" si="37"/>
        <v>65.2</v>
      </c>
    </row>
    <row r="394" spans="1:8" s="24" customFormat="1" x14ac:dyDescent="0.3">
      <c r="A394" s="36" t="s">
        <v>98</v>
      </c>
      <c r="B394" s="48" t="s">
        <v>87</v>
      </c>
      <c r="C394" s="105" t="s">
        <v>409</v>
      </c>
      <c r="D394" s="47" t="s">
        <v>225</v>
      </c>
      <c r="E394" s="46" t="s">
        <v>226</v>
      </c>
      <c r="F394" s="56">
        <f>35352.5+721.3-11440.4</f>
        <v>24633.4</v>
      </c>
      <c r="G394" s="26">
        <v>16064.4</v>
      </c>
      <c r="H394" s="26">
        <f t="shared" si="37"/>
        <v>65.2</v>
      </c>
    </row>
    <row r="395" spans="1:8" s="24" customFormat="1" ht="39.6" x14ac:dyDescent="0.3">
      <c r="A395" s="36" t="s">
        <v>98</v>
      </c>
      <c r="B395" s="48" t="s">
        <v>87</v>
      </c>
      <c r="C395" s="105" t="s">
        <v>518</v>
      </c>
      <c r="D395" s="47"/>
      <c r="E395" s="46" t="s">
        <v>519</v>
      </c>
      <c r="F395" s="56">
        <f>SUM(F396:F399)</f>
        <v>11770.1</v>
      </c>
      <c r="G395" s="56">
        <f>SUM(G396:G399)</f>
        <v>2891.7</v>
      </c>
      <c r="H395" s="26">
        <f t="shared" si="37"/>
        <v>24.6</v>
      </c>
    </row>
    <row r="396" spans="1:8" s="24" customFormat="1" x14ac:dyDescent="0.3">
      <c r="A396" s="36" t="s">
        <v>98</v>
      </c>
      <c r="B396" s="48" t="s">
        <v>87</v>
      </c>
      <c r="C396" s="105" t="s">
        <v>518</v>
      </c>
      <c r="D396" s="47" t="s">
        <v>225</v>
      </c>
      <c r="E396" s="46" t="s">
        <v>226</v>
      </c>
      <c r="F396" s="56">
        <f>329.7+10817.4+155.7</f>
        <v>11302.800000000001</v>
      </c>
      <c r="G396" s="26">
        <v>2891.7</v>
      </c>
      <c r="H396" s="26">
        <f t="shared" si="37"/>
        <v>25.6</v>
      </c>
    </row>
    <row r="397" spans="1:8" s="24" customFormat="1" x14ac:dyDescent="0.3">
      <c r="A397" s="36" t="s">
        <v>98</v>
      </c>
      <c r="B397" s="48" t="s">
        <v>87</v>
      </c>
      <c r="C397" s="105" t="s">
        <v>518</v>
      </c>
      <c r="D397" s="47" t="s">
        <v>520</v>
      </c>
      <c r="E397" s="46" t="s">
        <v>521</v>
      </c>
      <c r="F397" s="56">
        <v>155.69999999999999</v>
      </c>
      <c r="G397" s="26">
        <v>0</v>
      </c>
      <c r="H397" s="26">
        <f t="shared" si="37"/>
        <v>0</v>
      </c>
    </row>
    <row r="398" spans="1:8" s="24" customFormat="1" ht="66" x14ac:dyDescent="0.3">
      <c r="A398" s="36" t="s">
        <v>98</v>
      </c>
      <c r="B398" s="48" t="s">
        <v>87</v>
      </c>
      <c r="C398" s="105" t="s">
        <v>518</v>
      </c>
      <c r="D398" s="47" t="s">
        <v>256</v>
      </c>
      <c r="E398" s="46" t="s">
        <v>296</v>
      </c>
      <c r="F398" s="56">
        <v>155.80000000000001</v>
      </c>
      <c r="G398" s="26">
        <v>0</v>
      </c>
      <c r="H398" s="26">
        <f t="shared" si="37"/>
        <v>0</v>
      </c>
    </row>
    <row r="399" spans="1:8" s="24" customFormat="1" ht="66" x14ac:dyDescent="0.3">
      <c r="A399" s="36" t="s">
        <v>98</v>
      </c>
      <c r="B399" s="48" t="s">
        <v>87</v>
      </c>
      <c r="C399" s="105" t="s">
        <v>518</v>
      </c>
      <c r="D399" s="47" t="s">
        <v>227</v>
      </c>
      <c r="E399" s="46" t="s">
        <v>283</v>
      </c>
      <c r="F399" s="56">
        <v>155.80000000000001</v>
      </c>
      <c r="G399" s="26">
        <v>0</v>
      </c>
      <c r="H399" s="26">
        <f t="shared" si="37"/>
        <v>0</v>
      </c>
    </row>
    <row r="400" spans="1:8" ht="66.75" customHeight="1" x14ac:dyDescent="0.3">
      <c r="A400" s="36" t="s">
        <v>98</v>
      </c>
      <c r="B400" s="48" t="s">
        <v>87</v>
      </c>
      <c r="C400" s="105" t="s">
        <v>411</v>
      </c>
      <c r="D400" s="47"/>
      <c r="E400" s="46" t="s">
        <v>412</v>
      </c>
      <c r="F400" s="56">
        <f>F401</f>
        <v>9260.7999999999993</v>
      </c>
      <c r="G400" s="56">
        <f>G401</f>
        <v>9260.7999999999993</v>
      </c>
      <c r="H400" s="26">
        <f t="shared" si="37"/>
        <v>100</v>
      </c>
    </row>
    <row r="401" spans="1:8" x14ac:dyDescent="0.3">
      <c r="A401" s="36" t="s">
        <v>98</v>
      </c>
      <c r="B401" s="48" t="s">
        <v>87</v>
      </c>
      <c r="C401" s="105" t="s">
        <v>411</v>
      </c>
      <c r="D401" s="47" t="s">
        <v>225</v>
      </c>
      <c r="E401" s="46" t="s">
        <v>226</v>
      </c>
      <c r="F401" s="109">
        <f>9259.8+1</f>
        <v>9260.7999999999993</v>
      </c>
      <c r="G401" s="109">
        <v>9260.7999999999993</v>
      </c>
      <c r="H401" s="26">
        <f t="shared" si="37"/>
        <v>100</v>
      </c>
    </row>
    <row r="402" spans="1:8" ht="66.75" customHeight="1" x14ac:dyDescent="0.3">
      <c r="A402" s="36" t="s">
        <v>98</v>
      </c>
      <c r="B402" s="48" t="s">
        <v>87</v>
      </c>
      <c r="C402" s="105" t="s">
        <v>413</v>
      </c>
      <c r="D402" s="105"/>
      <c r="E402" s="46" t="s">
        <v>414</v>
      </c>
      <c r="F402" s="42">
        <f>F403</f>
        <v>93.6</v>
      </c>
      <c r="G402" s="42">
        <f>G403</f>
        <v>41.2</v>
      </c>
      <c r="H402" s="26">
        <f t="shared" si="37"/>
        <v>44</v>
      </c>
    </row>
    <row r="403" spans="1:8" x14ac:dyDescent="0.3">
      <c r="A403" s="36" t="s">
        <v>98</v>
      </c>
      <c r="B403" s="48" t="s">
        <v>87</v>
      </c>
      <c r="C403" s="47" t="s">
        <v>413</v>
      </c>
      <c r="D403" s="47" t="s">
        <v>225</v>
      </c>
      <c r="E403" s="46" t="s">
        <v>226</v>
      </c>
      <c r="F403" s="39">
        <v>93.6</v>
      </c>
      <c r="G403" s="26">
        <v>41.2</v>
      </c>
      <c r="H403" s="26">
        <f t="shared" si="37"/>
        <v>44</v>
      </c>
    </row>
    <row r="404" spans="1:8" ht="53.4" x14ac:dyDescent="0.3">
      <c r="A404" s="36" t="s">
        <v>98</v>
      </c>
      <c r="B404" s="48" t="s">
        <v>87</v>
      </c>
      <c r="C404" s="105" t="s">
        <v>415</v>
      </c>
      <c r="D404" s="47"/>
      <c r="E404" s="100" t="s">
        <v>416</v>
      </c>
      <c r="F404" s="56">
        <f>F405</f>
        <v>795</v>
      </c>
      <c r="G404" s="56">
        <f>G405</f>
        <v>422.8</v>
      </c>
      <c r="H404" s="26">
        <f t="shared" si="37"/>
        <v>53.2</v>
      </c>
    </row>
    <row r="405" spans="1:8" x14ac:dyDescent="0.3">
      <c r="A405" s="36" t="s">
        <v>98</v>
      </c>
      <c r="B405" s="48" t="s">
        <v>87</v>
      </c>
      <c r="C405" s="105" t="s">
        <v>415</v>
      </c>
      <c r="D405" s="47" t="s">
        <v>225</v>
      </c>
      <c r="E405" s="46" t="s">
        <v>226</v>
      </c>
      <c r="F405" s="56">
        <v>795</v>
      </c>
      <c r="G405" s="26">
        <v>422.8</v>
      </c>
      <c r="H405" s="26">
        <f t="shared" si="37"/>
        <v>53.2</v>
      </c>
    </row>
    <row r="406" spans="1:8" ht="26.4" x14ac:dyDescent="0.3">
      <c r="A406" s="36" t="s">
        <v>98</v>
      </c>
      <c r="B406" s="48" t="s">
        <v>87</v>
      </c>
      <c r="C406" s="105" t="s">
        <v>417</v>
      </c>
      <c r="D406" s="47"/>
      <c r="E406" s="46" t="s">
        <v>164</v>
      </c>
      <c r="F406" s="39">
        <f>F407</f>
        <v>250</v>
      </c>
      <c r="G406" s="39">
        <f>G407</f>
        <v>70</v>
      </c>
      <c r="H406" s="26">
        <f t="shared" si="37"/>
        <v>28</v>
      </c>
    </row>
    <row r="407" spans="1:8" x14ac:dyDescent="0.3">
      <c r="A407" s="36" t="s">
        <v>98</v>
      </c>
      <c r="B407" s="48" t="s">
        <v>87</v>
      </c>
      <c r="C407" s="105" t="s">
        <v>417</v>
      </c>
      <c r="D407" s="47" t="s">
        <v>225</v>
      </c>
      <c r="E407" s="46" t="s">
        <v>226</v>
      </c>
      <c r="F407" s="39">
        <v>250</v>
      </c>
      <c r="G407" s="27">
        <v>70</v>
      </c>
      <c r="H407" s="26">
        <f t="shared" si="37"/>
        <v>28</v>
      </c>
    </row>
    <row r="408" spans="1:8" ht="26.4" x14ac:dyDescent="0.3">
      <c r="A408" s="36" t="s">
        <v>98</v>
      </c>
      <c r="B408" s="48" t="s">
        <v>87</v>
      </c>
      <c r="C408" s="105" t="s">
        <v>418</v>
      </c>
      <c r="D408" s="47"/>
      <c r="E408" s="46" t="s">
        <v>419</v>
      </c>
      <c r="F408" s="39">
        <f>F409</f>
        <v>150</v>
      </c>
      <c r="G408" s="39">
        <f>G409</f>
        <v>150</v>
      </c>
      <c r="H408" s="26">
        <f t="shared" si="37"/>
        <v>100</v>
      </c>
    </row>
    <row r="409" spans="1:8" x14ac:dyDescent="0.3">
      <c r="A409" s="36" t="s">
        <v>98</v>
      </c>
      <c r="B409" s="48" t="s">
        <v>87</v>
      </c>
      <c r="C409" s="105" t="s">
        <v>418</v>
      </c>
      <c r="D409" s="47" t="s">
        <v>225</v>
      </c>
      <c r="E409" s="46" t="s">
        <v>226</v>
      </c>
      <c r="F409" s="39">
        <v>150</v>
      </c>
      <c r="G409" s="27">
        <v>150</v>
      </c>
      <c r="H409" s="26">
        <f t="shared" si="37"/>
        <v>100</v>
      </c>
    </row>
    <row r="410" spans="1:8" ht="27" x14ac:dyDescent="0.3">
      <c r="A410" s="71" t="s">
        <v>98</v>
      </c>
      <c r="B410" s="71" t="s">
        <v>87</v>
      </c>
      <c r="C410" s="63" t="s">
        <v>420</v>
      </c>
      <c r="D410" s="48"/>
      <c r="E410" s="34" t="s">
        <v>421</v>
      </c>
      <c r="F410" s="64">
        <f>F411</f>
        <v>50</v>
      </c>
      <c r="G410" s="64">
        <f>G411</f>
        <v>50</v>
      </c>
      <c r="H410" s="26">
        <f t="shared" si="37"/>
        <v>100</v>
      </c>
    </row>
    <row r="411" spans="1:8" ht="67.5" customHeight="1" x14ac:dyDescent="0.3">
      <c r="A411" s="36" t="s">
        <v>98</v>
      </c>
      <c r="B411" s="48" t="s">
        <v>87</v>
      </c>
      <c r="C411" s="105" t="s">
        <v>422</v>
      </c>
      <c r="D411" s="36"/>
      <c r="E411" s="46" t="s">
        <v>423</v>
      </c>
      <c r="F411" s="39">
        <f>F412</f>
        <v>50</v>
      </c>
      <c r="G411" s="39">
        <f>G412</f>
        <v>50</v>
      </c>
      <c r="H411" s="26">
        <f t="shared" si="37"/>
        <v>100</v>
      </c>
    </row>
    <row r="412" spans="1:8" x14ac:dyDescent="0.3">
      <c r="A412" s="36" t="s">
        <v>98</v>
      </c>
      <c r="B412" s="48" t="s">
        <v>87</v>
      </c>
      <c r="C412" s="105" t="s">
        <v>422</v>
      </c>
      <c r="D412" s="47" t="s">
        <v>225</v>
      </c>
      <c r="E412" s="46" t="s">
        <v>226</v>
      </c>
      <c r="F412" s="39">
        <v>50</v>
      </c>
      <c r="G412" s="27">
        <v>50</v>
      </c>
      <c r="H412" s="26">
        <f t="shared" si="37"/>
        <v>100</v>
      </c>
    </row>
    <row r="413" spans="1:8" ht="79.8" x14ac:dyDescent="0.3">
      <c r="A413" s="36" t="s">
        <v>98</v>
      </c>
      <c r="B413" s="48" t="s">
        <v>87</v>
      </c>
      <c r="C413" s="60" t="s">
        <v>58</v>
      </c>
      <c r="D413" s="52"/>
      <c r="E413" s="80" t="s">
        <v>424</v>
      </c>
      <c r="F413" s="106">
        <f t="shared" ref="F413:G413" si="39">F414</f>
        <v>14450.1</v>
      </c>
      <c r="G413" s="106">
        <f t="shared" si="39"/>
        <v>10797.3</v>
      </c>
      <c r="H413" s="26">
        <f t="shared" si="37"/>
        <v>74.7</v>
      </c>
    </row>
    <row r="414" spans="1:8" ht="27" x14ac:dyDescent="0.3">
      <c r="A414" s="36" t="s">
        <v>98</v>
      </c>
      <c r="B414" s="48" t="s">
        <v>87</v>
      </c>
      <c r="C414" s="63" t="s">
        <v>59</v>
      </c>
      <c r="D414" s="52"/>
      <c r="E414" s="44" t="s">
        <v>153</v>
      </c>
      <c r="F414" s="82">
        <f>F415+F417+F419+F422</f>
        <v>14450.1</v>
      </c>
      <c r="G414" s="82">
        <f>G415+G417+G419+G422</f>
        <v>10797.3</v>
      </c>
      <c r="H414" s="26">
        <f t="shared" si="37"/>
        <v>74.7</v>
      </c>
    </row>
    <row r="415" spans="1:8" ht="27" x14ac:dyDescent="0.3">
      <c r="A415" s="36" t="s">
        <v>98</v>
      </c>
      <c r="B415" s="48" t="s">
        <v>87</v>
      </c>
      <c r="C415" s="67">
        <v>210221100</v>
      </c>
      <c r="D415" s="36"/>
      <c r="E415" s="41" t="s">
        <v>155</v>
      </c>
      <c r="F415" s="42">
        <f>F416</f>
        <v>10421.1</v>
      </c>
      <c r="G415" s="42">
        <f>G416</f>
        <v>7043.4</v>
      </c>
      <c r="H415" s="26">
        <f t="shared" si="37"/>
        <v>67.599999999999994</v>
      </c>
    </row>
    <row r="416" spans="1:8" x14ac:dyDescent="0.3">
      <c r="A416" s="36" t="s">
        <v>98</v>
      </c>
      <c r="B416" s="48" t="s">
        <v>87</v>
      </c>
      <c r="C416" s="67">
        <v>210221100</v>
      </c>
      <c r="D416" s="47" t="s">
        <v>225</v>
      </c>
      <c r="E416" s="46" t="s">
        <v>226</v>
      </c>
      <c r="F416" s="87">
        <f>10427.2-6.1</f>
        <v>10421.1</v>
      </c>
      <c r="G416" s="27">
        <v>7043.4</v>
      </c>
      <c r="H416" s="26">
        <f t="shared" si="37"/>
        <v>67.599999999999994</v>
      </c>
    </row>
    <row r="417" spans="1:8" ht="63.75" customHeight="1" x14ac:dyDescent="0.3">
      <c r="A417" s="36" t="s">
        <v>98</v>
      </c>
      <c r="B417" s="48" t="s">
        <v>87</v>
      </c>
      <c r="C417" s="67">
        <v>210210690</v>
      </c>
      <c r="D417" s="47"/>
      <c r="E417" s="46" t="s">
        <v>248</v>
      </c>
      <c r="F417" s="42">
        <f>F418</f>
        <v>3753.9</v>
      </c>
      <c r="G417" s="42">
        <f>G418</f>
        <v>3753.9</v>
      </c>
      <c r="H417" s="26">
        <f t="shared" si="37"/>
        <v>100</v>
      </c>
    </row>
    <row r="418" spans="1:8" x14ac:dyDescent="0.3">
      <c r="A418" s="36" t="s">
        <v>98</v>
      </c>
      <c r="B418" s="48" t="s">
        <v>87</v>
      </c>
      <c r="C418" s="67">
        <v>210210690</v>
      </c>
      <c r="D418" s="47" t="s">
        <v>225</v>
      </c>
      <c r="E418" s="46" t="s">
        <v>226</v>
      </c>
      <c r="F418" s="109">
        <v>3753.9</v>
      </c>
      <c r="G418" s="109">
        <v>3753.9</v>
      </c>
      <c r="H418" s="26">
        <f t="shared" si="37"/>
        <v>100</v>
      </c>
    </row>
    <row r="419" spans="1:8" ht="49.5" customHeight="1" x14ac:dyDescent="0.3">
      <c r="A419" s="36" t="s">
        <v>98</v>
      </c>
      <c r="B419" s="48" t="s">
        <v>87</v>
      </c>
      <c r="C419" s="67" t="s">
        <v>425</v>
      </c>
      <c r="D419" s="48"/>
      <c r="E419" s="46" t="s">
        <v>249</v>
      </c>
      <c r="F419" s="42">
        <f>SUM(F420:F420)</f>
        <v>37.9</v>
      </c>
      <c r="G419" s="42">
        <f>SUM(G420:G420)</f>
        <v>0</v>
      </c>
      <c r="H419" s="26">
        <f t="shared" si="37"/>
        <v>0</v>
      </c>
    </row>
    <row r="420" spans="1:8" x14ac:dyDescent="0.3">
      <c r="A420" s="48" t="s">
        <v>98</v>
      </c>
      <c r="B420" s="48" t="s">
        <v>87</v>
      </c>
      <c r="C420" s="67" t="s">
        <v>425</v>
      </c>
      <c r="D420" s="47" t="s">
        <v>225</v>
      </c>
      <c r="E420" s="46" t="s">
        <v>226</v>
      </c>
      <c r="F420" s="42">
        <f>31.8+6.1</f>
        <v>37.9</v>
      </c>
      <c r="G420" s="26">
        <v>0</v>
      </c>
      <c r="H420" s="26">
        <f t="shared" si="37"/>
        <v>0</v>
      </c>
    </row>
    <row r="421" spans="1:8" ht="26.4" x14ac:dyDescent="0.3">
      <c r="A421" s="36" t="s">
        <v>98</v>
      </c>
      <c r="B421" s="48" t="s">
        <v>87</v>
      </c>
      <c r="C421" s="47" t="s">
        <v>522</v>
      </c>
      <c r="D421" s="48"/>
      <c r="E421" s="46" t="s">
        <v>523</v>
      </c>
      <c r="F421" s="39">
        <f>F422</f>
        <v>237.2</v>
      </c>
      <c r="G421" s="39">
        <f>G422</f>
        <v>0</v>
      </c>
      <c r="H421" s="26">
        <f t="shared" si="37"/>
        <v>0</v>
      </c>
    </row>
    <row r="422" spans="1:8" x14ac:dyDescent="0.3">
      <c r="A422" s="36" t="s">
        <v>98</v>
      </c>
      <c r="B422" s="48" t="s">
        <v>87</v>
      </c>
      <c r="C422" s="47" t="s">
        <v>522</v>
      </c>
      <c r="D422" s="47" t="s">
        <v>225</v>
      </c>
      <c r="E422" s="46" t="s">
        <v>226</v>
      </c>
      <c r="F422" s="39">
        <v>237.2</v>
      </c>
      <c r="G422" s="26">
        <v>0</v>
      </c>
      <c r="H422" s="26">
        <f t="shared" si="37"/>
        <v>0</v>
      </c>
    </row>
    <row r="423" spans="1:8" ht="27" x14ac:dyDescent="0.3">
      <c r="A423" s="48" t="s">
        <v>98</v>
      </c>
      <c r="B423" s="48" t="s">
        <v>87</v>
      </c>
      <c r="C423" s="48" t="s">
        <v>24</v>
      </c>
      <c r="D423" s="48"/>
      <c r="E423" s="41" t="s">
        <v>36</v>
      </c>
      <c r="F423" s="39">
        <f>F424</f>
        <v>345</v>
      </c>
      <c r="G423" s="39">
        <f>G424</f>
        <v>220</v>
      </c>
      <c r="H423" s="26">
        <f t="shared" si="37"/>
        <v>63.8</v>
      </c>
    </row>
    <row r="424" spans="1:8" ht="39.6" x14ac:dyDescent="0.3">
      <c r="A424" s="36" t="s">
        <v>98</v>
      </c>
      <c r="B424" s="48" t="s">
        <v>87</v>
      </c>
      <c r="C424" s="48" t="s">
        <v>426</v>
      </c>
      <c r="D424" s="36"/>
      <c r="E424" s="40" t="s">
        <v>273</v>
      </c>
      <c r="F424" s="39">
        <f>SUM(F425:F425)</f>
        <v>345</v>
      </c>
      <c r="G424" s="39">
        <f>SUM(G425:G425)</f>
        <v>220</v>
      </c>
      <c r="H424" s="26">
        <f t="shared" si="37"/>
        <v>63.8</v>
      </c>
    </row>
    <row r="425" spans="1:8" x14ac:dyDescent="0.3">
      <c r="A425" s="36" t="s">
        <v>98</v>
      </c>
      <c r="B425" s="48" t="s">
        <v>87</v>
      </c>
      <c r="C425" s="48" t="s">
        <v>426</v>
      </c>
      <c r="D425" s="47" t="s">
        <v>225</v>
      </c>
      <c r="E425" s="46" t="s">
        <v>226</v>
      </c>
      <c r="F425" s="42">
        <f>150+195</f>
        <v>345</v>
      </c>
      <c r="G425" s="26">
        <v>220</v>
      </c>
      <c r="H425" s="26">
        <f t="shared" si="37"/>
        <v>63.8</v>
      </c>
    </row>
    <row r="426" spans="1:8" ht="40.200000000000003" x14ac:dyDescent="0.3">
      <c r="A426" s="52" t="s">
        <v>98</v>
      </c>
      <c r="B426" s="52" t="s">
        <v>89</v>
      </c>
      <c r="C426" s="52"/>
      <c r="D426" s="52"/>
      <c r="E426" s="34" t="s">
        <v>6</v>
      </c>
      <c r="F426" s="53">
        <f t="shared" ref="F426:G428" si="40">F427</f>
        <v>250</v>
      </c>
      <c r="G426" s="53">
        <f t="shared" si="40"/>
        <v>126.2</v>
      </c>
      <c r="H426" s="26">
        <f t="shared" si="37"/>
        <v>50.5</v>
      </c>
    </row>
    <row r="427" spans="1:8" ht="66.599999999999994" x14ac:dyDescent="0.3">
      <c r="A427" s="36" t="s">
        <v>98</v>
      </c>
      <c r="B427" s="36" t="s">
        <v>89</v>
      </c>
      <c r="C427" s="47" t="s">
        <v>72</v>
      </c>
      <c r="D427" s="52"/>
      <c r="E427" s="76" t="s">
        <v>385</v>
      </c>
      <c r="F427" s="102">
        <f t="shared" si="40"/>
        <v>250</v>
      </c>
      <c r="G427" s="102">
        <f t="shared" si="40"/>
        <v>126.2</v>
      </c>
      <c r="H427" s="26">
        <f t="shared" si="37"/>
        <v>50.5</v>
      </c>
    </row>
    <row r="428" spans="1:8" ht="27" x14ac:dyDescent="0.3">
      <c r="A428" s="36" t="s">
        <v>98</v>
      </c>
      <c r="B428" s="36" t="s">
        <v>89</v>
      </c>
      <c r="C428" s="63" t="s">
        <v>420</v>
      </c>
      <c r="D428" s="52"/>
      <c r="E428" s="34" t="s">
        <v>421</v>
      </c>
      <c r="F428" s="82">
        <f t="shared" si="40"/>
        <v>250</v>
      </c>
      <c r="G428" s="82">
        <f t="shared" si="40"/>
        <v>126.2</v>
      </c>
      <c r="H428" s="26">
        <f t="shared" si="37"/>
        <v>50.5</v>
      </c>
    </row>
    <row r="429" spans="1:8" ht="39.6" x14ac:dyDescent="0.3">
      <c r="A429" s="36" t="s">
        <v>98</v>
      </c>
      <c r="B429" s="36" t="s">
        <v>89</v>
      </c>
      <c r="C429" s="105" t="s">
        <v>427</v>
      </c>
      <c r="D429" s="36"/>
      <c r="E429" s="46" t="s">
        <v>42</v>
      </c>
      <c r="F429" s="39">
        <f>F430</f>
        <v>250</v>
      </c>
      <c r="G429" s="39">
        <f>G430</f>
        <v>126.2</v>
      </c>
      <c r="H429" s="26">
        <f t="shared" si="37"/>
        <v>50.5</v>
      </c>
    </row>
    <row r="430" spans="1:8" x14ac:dyDescent="0.3">
      <c r="A430" s="36" t="s">
        <v>98</v>
      </c>
      <c r="B430" s="36" t="s">
        <v>89</v>
      </c>
      <c r="C430" s="105" t="s">
        <v>427</v>
      </c>
      <c r="D430" s="47" t="s">
        <v>225</v>
      </c>
      <c r="E430" s="46" t="s">
        <v>226</v>
      </c>
      <c r="F430" s="56">
        <v>250</v>
      </c>
      <c r="G430" s="26">
        <v>126.2</v>
      </c>
      <c r="H430" s="26">
        <f t="shared" si="37"/>
        <v>50.5</v>
      </c>
    </row>
    <row r="431" spans="1:8" x14ac:dyDescent="0.3">
      <c r="A431" s="52" t="s">
        <v>98</v>
      </c>
      <c r="B431" s="52" t="s">
        <v>98</v>
      </c>
      <c r="C431" s="52"/>
      <c r="D431" s="52"/>
      <c r="E431" s="34" t="s">
        <v>137</v>
      </c>
      <c r="F431" s="53">
        <f>F432+F447</f>
        <v>10814.300000000001</v>
      </c>
      <c r="G431" s="53">
        <f>G432+G447</f>
        <v>4955.2</v>
      </c>
      <c r="H431" s="26">
        <f t="shared" si="37"/>
        <v>45.8</v>
      </c>
    </row>
    <row r="432" spans="1:8" ht="79.8" x14ac:dyDescent="0.3">
      <c r="A432" s="68" t="s">
        <v>98</v>
      </c>
      <c r="B432" s="68" t="s">
        <v>98</v>
      </c>
      <c r="C432" s="60" t="s">
        <v>58</v>
      </c>
      <c r="D432" s="52"/>
      <c r="E432" s="80" t="s">
        <v>424</v>
      </c>
      <c r="F432" s="106">
        <f>F433</f>
        <v>10604.300000000001</v>
      </c>
      <c r="G432" s="106">
        <f>G433</f>
        <v>4928.2</v>
      </c>
      <c r="H432" s="26">
        <f t="shared" si="37"/>
        <v>46.5</v>
      </c>
    </row>
    <row r="433" spans="1:8" ht="27" x14ac:dyDescent="0.3">
      <c r="A433" s="36" t="s">
        <v>98</v>
      </c>
      <c r="B433" s="36" t="s">
        <v>98</v>
      </c>
      <c r="C433" s="63" t="s">
        <v>28</v>
      </c>
      <c r="D433" s="47"/>
      <c r="E433" s="44" t="s">
        <v>158</v>
      </c>
      <c r="F433" s="39">
        <f>F434+F436+F438+F440+F442+F444</f>
        <v>10604.300000000001</v>
      </c>
      <c r="G433" s="39">
        <f>G434+G436+G438+G440+G442+G444</f>
        <v>4928.2</v>
      </c>
      <c r="H433" s="26">
        <f t="shared" si="37"/>
        <v>46.5</v>
      </c>
    </row>
    <row r="434" spans="1:8" ht="53.4" x14ac:dyDescent="0.3">
      <c r="A434" s="36" t="s">
        <v>98</v>
      </c>
      <c r="B434" s="36" t="s">
        <v>98</v>
      </c>
      <c r="C434" s="66" t="s">
        <v>431</v>
      </c>
      <c r="D434" s="36"/>
      <c r="E434" s="110" t="s">
        <v>187</v>
      </c>
      <c r="F434" s="42">
        <f>F435</f>
        <v>6.6</v>
      </c>
      <c r="G434" s="42">
        <f>G435</f>
        <v>0</v>
      </c>
      <c r="H434" s="26">
        <f t="shared" si="37"/>
        <v>0</v>
      </c>
    </row>
    <row r="435" spans="1:8" ht="39.6" x14ac:dyDescent="0.3">
      <c r="A435" s="36" t="s">
        <v>98</v>
      </c>
      <c r="B435" s="36" t="s">
        <v>98</v>
      </c>
      <c r="C435" s="66" t="s">
        <v>431</v>
      </c>
      <c r="D435" s="48" t="s">
        <v>213</v>
      </c>
      <c r="E435" s="46" t="s">
        <v>214</v>
      </c>
      <c r="F435" s="39">
        <v>6.6</v>
      </c>
      <c r="G435" s="26">
        <v>0</v>
      </c>
      <c r="H435" s="26">
        <f t="shared" si="37"/>
        <v>0</v>
      </c>
    </row>
    <row r="436" spans="1:8" ht="26.4" x14ac:dyDescent="0.3">
      <c r="A436" s="36" t="s">
        <v>98</v>
      </c>
      <c r="B436" s="36" t="s">
        <v>98</v>
      </c>
      <c r="C436" s="66" t="s">
        <v>432</v>
      </c>
      <c r="D436" s="36"/>
      <c r="E436" s="46" t="s">
        <v>159</v>
      </c>
      <c r="F436" s="39">
        <f>F437</f>
        <v>285.60000000000002</v>
      </c>
      <c r="G436" s="26">
        <f>G437</f>
        <v>247</v>
      </c>
      <c r="H436" s="26">
        <f t="shared" si="37"/>
        <v>86.5</v>
      </c>
    </row>
    <row r="437" spans="1:8" ht="39.6" x14ac:dyDescent="0.3">
      <c r="A437" s="36" t="s">
        <v>98</v>
      </c>
      <c r="B437" s="36" t="s">
        <v>98</v>
      </c>
      <c r="C437" s="66" t="s">
        <v>432</v>
      </c>
      <c r="D437" s="48" t="s">
        <v>213</v>
      </c>
      <c r="E437" s="46" t="s">
        <v>214</v>
      </c>
      <c r="F437" s="39">
        <f>289.6-4</f>
        <v>285.60000000000002</v>
      </c>
      <c r="G437" s="26">
        <v>247</v>
      </c>
      <c r="H437" s="26">
        <f t="shared" ref="H437:H498" si="41">ROUND((G437/F437*100),1)</f>
        <v>86.5</v>
      </c>
    </row>
    <row r="438" spans="1:8" ht="52.8" x14ac:dyDescent="0.3">
      <c r="A438" s="36" t="s">
        <v>98</v>
      </c>
      <c r="B438" s="36" t="s">
        <v>98</v>
      </c>
      <c r="C438" s="66" t="s">
        <v>433</v>
      </c>
      <c r="D438" s="36"/>
      <c r="E438" s="46" t="s">
        <v>76</v>
      </c>
      <c r="F438" s="39">
        <f>F439</f>
        <v>15</v>
      </c>
      <c r="G438" s="26">
        <f>SUM(G439:G440)</f>
        <v>0</v>
      </c>
      <c r="H438" s="26">
        <f t="shared" si="41"/>
        <v>0</v>
      </c>
    </row>
    <row r="439" spans="1:8" ht="39.6" x14ac:dyDescent="0.3">
      <c r="A439" s="36" t="s">
        <v>98</v>
      </c>
      <c r="B439" s="36" t="s">
        <v>98</v>
      </c>
      <c r="C439" s="66" t="s">
        <v>433</v>
      </c>
      <c r="D439" s="48" t="s">
        <v>213</v>
      </c>
      <c r="E439" s="46" t="s">
        <v>214</v>
      </c>
      <c r="F439" s="39">
        <v>15</v>
      </c>
      <c r="G439" s="26">
        <v>0</v>
      </c>
      <c r="H439" s="26">
        <f t="shared" si="41"/>
        <v>0</v>
      </c>
    </row>
    <row r="440" spans="1:8" x14ac:dyDescent="0.3">
      <c r="A440" s="36" t="s">
        <v>98</v>
      </c>
      <c r="B440" s="36" t="s">
        <v>98</v>
      </c>
      <c r="C440" s="66" t="s">
        <v>434</v>
      </c>
      <c r="D440" s="48"/>
      <c r="E440" s="40" t="s">
        <v>303</v>
      </c>
      <c r="F440" s="39">
        <f>F441</f>
        <v>50</v>
      </c>
      <c r="G440" s="39">
        <f>G441</f>
        <v>0</v>
      </c>
      <c r="H440" s="26">
        <f t="shared" si="41"/>
        <v>0</v>
      </c>
    </row>
    <row r="441" spans="1:8" ht="39.6" x14ac:dyDescent="0.3">
      <c r="A441" s="36" t="s">
        <v>98</v>
      </c>
      <c r="B441" s="36" t="s">
        <v>98</v>
      </c>
      <c r="C441" s="66" t="s">
        <v>434</v>
      </c>
      <c r="D441" s="48" t="s">
        <v>213</v>
      </c>
      <c r="E441" s="46" t="s">
        <v>214</v>
      </c>
      <c r="F441" s="39">
        <v>50</v>
      </c>
      <c r="G441" s="26">
        <v>0</v>
      </c>
      <c r="H441" s="26">
        <f t="shared" si="41"/>
        <v>0</v>
      </c>
    </row>
    <row r="442" spans="1:8" ht="39.6" x14ac:dyDescent="0.3">
      <c r="A442" s="36" t="s">
        <v>98</v>
      </c>
      <c r="B442" s="36" t="s">
        <v>98</v>
      </c>
      <c r="C442" s="67">
        <v>230221100</v>
      </c>
      <c r="D442" s="36"/>
      <c r="E442" s="46" t="s">
        <v>0</v>
      </c>
      <c r="F442" s="39">
        <f t="shared" ref="F442:G442" si="42">F443</f>
        <v>8963.4</v>
      </c>
      <c r="G442" s="39">
        <f t="shared" si="42"/>
        <v>4681.2</v>
      </c>
      <c r="H442" s="26">
        <f t="shared" si="41"/>
        <v>52.2</v>
      </c>
    </row>
    <row r="443" spans="1:8" x14ac:dyDescent="0.3">
      <c r="A443" s="36" t="s">
        <v>98</v>
      </c>
      <c r="B443" s="36" t="s">
        <v>98</v>
      </c>
      <c r="C443" s="67">
        <v>230221100</v>
      </c>
      <c r="D443" s="48" t="s">
        <v>225</v>
      </c>
      <c r="E443" s="46" t="s">
        <v>226</v>
      </c>
      <c r="F443" s="39">
        <f>8853.6+109.8</f>
        <v>8963.4</v>
      </c>
      <c r="G443" s="26">
        <v>4681.2</v>
      </c>
      <c r="H443" s="26">
        <f t="shared" si="41"/>
        <v>52.2</v>
      </c>
    </row>
    <row r="444" spans="1:8" ht="66" x14ac:dyDescent="0.3">
      <c r="A444" s="36" t="s">
        <v>98</v>
      </c>
      <c r="B444" s="36" t="s">
        <v>98</v>
      </c>
      <c r="C444" s="47" t="s">
        <v>435</v>
      </c>
      <c r="D444" s="48"/>
      <c r="E444" s="46" t="s">
        <v>436</v>
      </c>
      <c r="F444" s="39">
        <f t="shared" ref="F444:G445" si="43">F445</f>
        <v>1283.7</v>
      </c>
      <c r="G444" s="39">
        <f t="shared" si="43"/>
        <v>0</v>
      </c>
      <c r="H444" s="26">
        <f t="shared" si="41"/>
        <v>0</v>
      </c>
    </row>
    <row r="445" spans="1:8" ht="52.8" x14ac:dyDescent="0.3">
      <c r="A445" s="36" t="s">
        <v>98</v>
      </c>
      <c r="B445" s="36" t="s">
        <v>98</v>
      </c>
      <c r="C445" s="67">
        <v>230321210</v>
      </c>
      <c r="D445" s="48"/>
      <c r="E445" s="46" t="s">
        <v>437</v>
      </c>
      <c r="F445" s="39">
        <f t="shared" si="43"/>
        <v>1283.7</v>
      </c>
      <c r="G445" s="39">
        <f t="shared" si="43"/>
        <v>0</v>
      </c>
      <c r="H445" s="26">
        <f t="shared" si="41"/>
        <v>0</v>
      </c>
    </row>
    <row r="446" spans="1:8" x14ac:dyDescent="0.3">
      <c r="A446" s="48" t="s">
        <v>98</v>
      </c>
      <c r="B446" s="48" t="s">
        <v>98</v>
      </c>
      <c r="C446" s="67">
        <v>230321210</v>
      </c>
      <c r="D446" s="47" t="s">
        <v>225</v>
      </c>
      <c r="E446" s="46" t="s">
        <v>226</v>
      </c>
      <c r="F446" s="39">
        <v>1283.7</v>
      </c>
      <c r="G446" s="26">
        <v>0</v>
      </c>
      <c r="H446" s="26">
        <f t="shared" si="41"/>
        <v>0</v>
      </c>
    </row>
    <row r="447" spans="1:8" ht="79.8" x14ac:dyDescent="0.3">
      <c r="A447" s="68" t="s">
        <v>98</v>
      </c>
      <c r="B447" s="68" t="s">
        <v>98</v>
      </c>
      <c r="C447" s="60" t="s">
        <v>70</v>
      </c>
      <c r="D447" s="36"/>
      <c r="E447" s="80" t="s">
        <v>320</v>
      </c>
      <c r="F447" s="62">
        <f>F448+F453</f>
        <v>210</v>
      </c>
      <c r="G447" s="62">
        <f>G448+G453</f>
        <v>27</v>
      </c>
      <c r="H447" s="26">
        <f t="shared" si="41"/>
        <v>12.9</v>
      </c>
    </row>
    <row r="448" spans="1:8" ht="64.5" customHeight="1" x14ac:dyDescent="0.3">
      <c r="A448" s="71" t="s">
        <v>98</v>
      </c>
      <c r="B448" s="71" t="s">
        <v>98</v>
      </c>
      <c r="C448" s="63" t="s">
        <v>438</v>
      </c>
      <c r="D448" s="36"/>
      <c r="E448" s="44" t="s">
        <v>160</v>
      </c>
      <c r="F448" s="64">
        <f>F449+F451</f>
        <v>40</v>
      </c>
      <c r="G448" s="64">
        <f>G449+G451</f>
        <v>27</v>
      </c>
      <c r="H448" s="26">
        <f t="shared" si="41"/>
        <v>67.5</v>
      </c>
    </row>
    <row r="449" spans="1:8" ht="80.25" customHeight="1" x14ac:dyDescent="0.3">
      <c r="A449" s="36" t="s">
        <v>98</v>
      </c>
      <c r="B449" s="36" t="s">
        <v>98</v>
      </c>
      <c r="C449" s="67">
        <v>1020123085</v>
      </c>
      <c r="D449" s="36"/>
      <c r="E449" s="46" t="s">
        <v>161</v>
      </c>
      <c r="F449" s="39">
        <f>F450</f>
        <v>5</v>
      </c>
      <c r="G449" s="39">
        <f>G450</f>
        <v>0</v>
      </c>
      <c r="H449" s="26">
        <f t="shared" si="41"/>
        <v>0</v>
      </c>
    </row>
    <row r="450" spans="1:8" ht="39.6" x14ac:dyDescent="0.3">
      <c r="A450" s="36" t="s">
        <v>98</v>
      </c>
      <c r="B450" s="36" t="s">
        <v>98</v>
      </c>
      <c r="C450" s="67">
        <v>1020123085</v>
      </c>
      <c r="D450" s="48" t="s">
        <v>213</v>
      </c>
      <c r="E450" s="46" t="s">
        <v>214</v>
      </c>
      <c r="F450" s="39">
        <v>5</v>
      </c>
      <c r="G450" s="26">
        <v>0</v>
      </c>
      <c r="H450" s="26">
        <f t="shared" si="41"/>
        <v>0</v>
      </c>
    </row>
    <row r="451" spans="1:8" x14ac:dyDescent="0.3">
      <c r="A451" s="36" t="s">
        <v>98</v>
      </c>
      <c r="B451" s="36" t="s">
        <v>98</v>
      </c>
      <c r="C451" s="67">
        <v>1020123086</v>
      </c>
      <c r="D451" s="36"/>
      <c r="E451" s="46" t="s">
        <v>162</v>
      </c>
      <c r="F451" s="39">
        <f>F452</f>
        <v>35</v>
      </c>
      <c r="G451" s="39">
        <f>G452</f>
        <v>27</v>
      </c>
      <c r="H451" s="26">
        <f t="shared" si="41"/>
        <v>77.099999999999994</v>
      </c>
    </row>
    <row r="452" spans="1:8" ht="39.6" x14ac:dyDescent="0.3">
      <c r="A452" s="36" t="s">
        <v>98</v>
      </c>
      <c r="B452" s="36" t="s">
        <v>98</v>
      </c>
      <c r="C452" s="67">
        <v>1020123086</v>
      </c>
      <c r="D452" s="48" t="s">
        <v>213</v>
      </c>
      <c r="E452" s="46" t="s">
        <v>214</v>
      </c>
      <c r="F452" s="39">
        <v>35</v>
      </c>
      <c r="G452" s="26">
        <v>27</v>
      </c>
      <c r="H452" s="26">
        <f t="shared" si="41"/>
        <v>77.099999999999994</v>
      </c>
    </row>
    <row r="453" spans="1:8" ht="52.8" x14ac:dyDescent="0.3">
      <c r="A453" s="71" t="s">
        <v>98</v>
      </c>
      <c r="B453" s="71" t="s">
        <v>98</v>
      </c>
      <c r="C453" s="63" t="s">
        <v>524</v>
      </c>
      <c r="D453" s="48"/>
      <c r="E453" s="46" t="s">
        <v>525</v>
      </c>
      <c r="F453" s="39">
        <f>F454+F456+F458</f>
        <v>170</v>
      </c>
      <c r="G453" s="39">
        <f>G454+G456+G458</f>
        <v>0</v>
      </c>
      <c r="H453" s="26">
        <f t="shared" si="41"/>
        <v>0</v>
      </c>
    </row>
    <row r="454" spans="1:8" ht="39.6" x14ac:dyDescent="0.3">
      <c r="A454" s="36" t="s">
        <v>98</v>
      </c>
      <c r="B454" s="36" t="s">
        <v>98</v>
      </c>
      <c r="C454" s="67">
        <v>1030323090</v>
      </c>
      <c r="D454" s="48"/>
      <c r="E454" s="46" t="s">
        <v>526</v>
      </c>
      <c r="F454" s="39">
        <f>F455</f>
        <v>10</v>
      </c>
      <c r="G454" s="39">
        <f>G455</f>
        <v>0</v>
      </c>
      <c r="H454" s="26">
        <f t="shared" si="41"/>
        <v>0</v>
      </c>
    </row>
    <row r="455" spans="1:8" ht="39.6" x14ac:dyDescent="0.3">
      <c r="A455" s="36" t="s">
        <v>98</v>
      </c>
      <c r="B455" s="36" t="s">
        <v>98</v>
      </c>
      <c r="C455" s="67">
        <v>1030323090</v>
      </c>
      <c r="D455" s="48" t="s">
        <v>213</v>
      </c>
      <c r="E455" s="46" t="s">
        <v>214</v>
      </c>
      <c r="F455" s="39">
        <v>10</v>
      </c>
      <c r="G455" s="26">
        <v>0</v>
      </c>
      <c r="H455" s="26">
        <f t="shared" si="41"/>
        <v>0</v>
      </c>
    </row>
    <row r="456" spans="1:8" ht="30.75" customHeight="1" x14ac:dyDescent="0.3">
      <c r="A456" s="36" t="s">
        <v>98</v>
      </c>
      <c r="B456" s="36" t="s">
        <v>98</v>
      </c>
      <c r="C456" s="67">
        <v>1030323091</v>
      </c>
      <c r="D456" s="48"/>
      <c r="E456" s="46" t="s">
        <v>527</v>
      </c>
      <c r="F456" s="39">
        <f>F457</f>
        <v>130</v>
      </c>
      <c r="G456" s="39">
        <f>G457</f>
        <v>0</v>
      </c>
      <c r="H456" s="26">
        <f t="shared" si="41"/>
        <v>0</v>
      </c>
    </row>
    <row r="457" spans="1:8" ht="39.6" x14ac:dyDescent="0.3">
      <c r="A457" s="36" t="s">
        <v>98</v>
      </c>
      <c r="B457" s="36" t="s">
        <v>98</v>
      </c>
      <c r="C457" s="67">
        <v>1030323091</v>
      </c>
      <c r="D457" s="48" t="s">
        <v>213</v>
      </c>
      <c r="E457" s="46" t="s">
        <v>214</v>
      </c>
      <c r="F457" s="39">
        <v>130</v>
      </c>
      <c r="G457" s="26">
        <v>0</v>
      </c>
      <c r="H457" s="26">
        <f t="shared" si="41"/>
        <v>0</v>
      </c>
    </row>
    <row r="458" spans="1:8" ht="39.6" x14ac:dyDescent="0.3">
      <c r="A458" s="36" t="s">
        <v>98</v>
      </c>
      <c r="B458" s="36" t="s">
        <v>98</v>
      </c>
      <c r="C458" s="67">
        <v>1030323092</v>
      </c>
      <c r="D458" s="48"/>
      <c r="E458" s="46" t="s">
        <v>528</v>
      </c>
      <c r="F458" s="39">
        <f>F459</f>
        <v>30</v>
      </c>
      <c r="G458" s="39">
        <f>G459</f>
        <v>0</v>
      </c>
      <c r="H458" s="26">
        <f t="shared" si="41"/>
        <v>0</v>
      </c>
    </row>
    <row r="459" spans="1:8" ht="39.6" x14ac:dyDescent="0.3">
      <c r="A459" s="36" t="s">
        <v>98</v>
      </c>
      <c r="B459" s="36" t="s">
        <v>98</v>
      </c>
      <c r="C459" s="67">
        <v>1030323092</v>
      </c>
      <c r="D459" s="48" t="s">
        <v>213</v>
      </c>
      <c r="E459" s="46" t="s">
        <v>214</v>
      </c>
      <c r="F459" s="39">
        <v>30</v>
      </c>
      <c r="G459" s="26">
        <v>0</v>
      </c>
      <c r="H459" s="26">
        <f t="shared" si="41"/>
        <v>0</v>
      </c>
    </row>
    <row r="460" spans="1:8" x14ac:dyDescent="0.3">
      <c r="A460" s="52" t="s">
        <v>98</v>
      </c>
      <c r="B460" s="52" t="s">
        <v>93</v>
      </c>
      <c r="C460" s="52"/>
      <c r="D460" s="52"/>
      <c r="E460" s="34" t="s">
        <v>103</v>
      </c>
      <c r="F460" s="53">
        <f t="shared" ref="F460:G460" si="44">F461</f>
        <v>13631.900000000001</v>
      </c>
      <c r="G460" s="53">
        <f t="shared" si="44"/>
        <v>7432.5</v>
      </c>
      <c r="H460" s="26">
        <f t="shared" si="41"/>
        <v>54.5</v>
      </c>
    </row>
    <row r="461" spans="1:8" ht="66.599999999999994" x14ac:dyDescent="0.3">
      <c r="A461" s="36" t="s">
        <v>98</v>
      </c>
      <c r="B461" s="36" t="s">
        <v>93</v>
      </c>
      <c r="C461" s="47" t="s">
        <v>72</v>
      </c>
      <c r="D461" s="52"/>
      <c r="E461" s="76" t="s">
        <v>385</v>
      </c>
      <c r="F461" s="102">
        <f>F462+F471+F489</f>
        <v>13631.900000000001</v>
      </c>
      <c r="G461" s="102">
        <f>G462+G471+G489</f>
        <v>7432.5</v>
      </c>
      <c r="H461" s="26">
        <f t="shared" si="41"/>
        <v>54.5</v>
      </c>
    </row>
    <row r="462" spans="1:8" ht="40.200000000000003" x14ac:dyDescent="0.3">
      <c r="A462" s="36" t="s">
        <v>98</v>
      </c>
      <c r="B462" s="36" t="s">
        <v>93</v>
      </c>
      <c r="C462" s="63" t="s">
        <v>74</v>
      </c>
      <c r="D462" s="47"/>
      <c r="E462" s="34" t="s">
        <v>393</v>
      </c>
      <c r="F462" s="82">
        <f>F463+F465+F468</f>
        <v>4025.9</v>
      </c>
      <c r="G462" s="82">
        <f>G463+G465+G468</f>
        <v>2927.3999999999996</v>
      </c>
      <c r="H462" s="26">
        <f t="shared" si="41"/>
        <v>72.7</v>
      </c>
    </row>
    <row r="463" spans="1:8" x14ac:dyDescent="0.3">
      <c r="A463" s="36" t="s">
        <v>98</v>
      </c>
      <c r="B463" s="36" t="s">
        <v>93</v>
      </c>
      <c r="C463" s="105" t="s">
        <v>428</v>
      </c>
      <c r="D463" s="47"/>
      <c r="E463" s="46" t="s">
        <v>43</v>
      </c>
      <c r="F463" s="39">
        <f>F464</f>
        <v>1506.9</v>
      </c>
      <c r="G463" s="39">
        <f>G464</f>
        <v>953.9</v>
      </c>
      <c r="H463" s="26">
        <f t="shared" si="41"/>
        <v>63.3</v>
      </c>
    </row>
    <row r="464" spans="1:8" x14ac:dyDescent="0.3">
      <c r="A464" s="36" t="s">
        <v>98</v>
      </c>
      <c r="B464" s="36" t="s">
        <v>93</v>
      </c>
      <c r="C464" s="105" t="s">
        <v>428</v>
      </c>
      <c r="D464" s="47" t="s">
        <v>225</v>
      </c>
      <c r="E464" s="46" t="s">
        <v>226</v>
      </c>
      <c r="F464" s="39">
        <f>1200.2+306.7</f>
        <v>1506.9</v>
      </c>
      <c r="G464" s="26">
        <v>953.9</v>
      </c>
      <c r="H464" s="26">
        <f t="shared" si="41"/>
        <v>63.3</v>
      </c>
    </row>
    <row r="465" spans="1:8" ht="39.6" x14ac:dyDescent="0.3">
      <c r="A465" s="36" t="s">
        <v>98</v>
      </c>
      <c r="B465" s="36" t="s">
        <v>93</v>
      </c>
      <c r="C465" s="105" t="s">
        <v>429</v>
      </c>
      <c r="D465" s="47"/>
      <c r="E465" s="46" t="s">
        <v>430</v>
      </c>
      <c r="F465" s="39">
        <f>SUM(F466:F467)</f>
        <v>2341.8000000000002</v>
      </c>
      <c r="G465" s="39">
        <f>SUM(G466:G467)</f>
        <v>1963.8</v>
      </c>
      <c r="H465" s="26">
        <f t="shared" si="41"/>
        <v>83.9</v>
      </c>
    </row>
    <row r="466" spans="1:8" x14ac:dyDescent="0.3">
      <c r="A466" s="36" t="s">
        <v>98</v>
      </c>
      <c r="B466" s="36" t="s">
        <v>93</v>
      </c>
      <c r="C466" s="105" t="s">
        <v>429</v>
      </c>
      <c r="D466" s="47" t="s">
        <v>225</v>
      </c>
      <c r="E466" s="46" t="s">
        <v>226</v>
      </c>
      <c r="F466" s="42">
        <v>2141.8000000000002</v>
      </c>
      <c r="G466" s="26">
        <v>1963.8</v>
      </c>
      <c r="H466" s="26">
        <f t="shared" si="41"/>
        <v>91.7</v>
      </c>
    </row>
    <row r="467" spans="1:8" ht="66" x14ac:dyDescent="0.3">
      <c r="A467" s="36" t="s">
        <v>98</v>
      </c>
      <c r="B467" s="36" t="s">
        <v>98</v>
      </c>
      <c r="C467" s="105" t="s">
        <v>429</v>
      </c>
      <c r="D467" s="36" t="s">
        <v>227</v>
      </c>
      <c r="E467" s="46" t="s">
        <v>283</v>
      </c>
      <c r="F467" s="39">
        <v>200</v>
      </c>
      <c r="G467" s="26">
        <v>0</v>
      </c>
      <c r="H467" s="26">
        <f t="shared" si="41"/>
        <v>0</v>
      </c>
    </row>
    <row r="468" spans="1:8" ht="26.4" x14ac:dyDescent="0.3">
      <c r="A468" s="36" t="s">
        <v>98</v>
      </c>
      <c r="B468" s="36" t="s">
        <v>93</v>
      </c>
      <c r="C468" s="105" t="s">
        <v>439</v>
      </c>
      <c r="D468" s="47"/>
      <c r="E468" s="46" t="s">
        <v>122</v>
      </c>
      <c r="F468" s="39">
        <f>SUM(F469:F470)</f>
        <v>177.2</v>
      </c>
      <c r="G468" s="39">
        <f>SUM(G469:G470)</f>
        <v>9.6999999999999993</v>
      </c>
      <c r="H468" s="26">
        <f t="shared" si="41"/>
        <v>5.5</v>
      </c>
    </row>
    <row r="469" spans="1:8" ht="26.4" x14ac:dyDescent="0.3">
      <c r="A469" s="36" t="s">
        <v>98</v>
      </c>
      <c r="B469" s="36" t="s">
        <v>93</v>
      </c>
      <c r="C469" s="105" t="s">
        <v>439</v>
      </c>
      <c r="D469" s="48" t="s">
        <v>63</v>
      </c>
      <c r="E469" s="38" t="s">
        <v>118</v>
      </c>
      <c r="F469" s="39">
        <v>88.5</v>
      </c>
      <c r="G469" s="26">
        <v>9.6999999999999993</v>
      </c>
      <c r="H469" s="26">
        <f t="shared" si="41"/>
        <v>11</v>
      </c>
    </row>
    <row r="470" spans="1:8" ht="39.6" x14ac:dyDescent="0.3">
      <c r="A470" s="36" t="s">
        <v>98</v>
      </c>
      <c r="B470" s="36" t="s">
        <v>93</v>
      </c>
      <c r="C470" s="105" t="s">
        <v>439</v>
      </c>
      <c r="D470" s="48" t="s">
        <v>213</v>
      </c>
      <c r="E470" s="46" t="s">
        <v>214</v>
      </c>
      <c r="F470" s="39">
        <f>94.9-6.2</f>
        <v>88.7</v>
      </c>
      <c r="G470" s="26">
        <v>0</v>
      </c>
      <c r="H470" s="26">
        <f t="shared" si="41"/>
        <v>0</v>
      </c>
    </row>
    <row r="471" spans="1:8" ht="27" x14ac:dyDescent="0.3">
      <c r="A471" s="36" t="s">
        <v>98</v>
      </c>
      <c r="B471" s="36" t="s">
        <v>93</v>
      </c>
      <c r="C471" s="63" t="s">
        <v>420</v>
      </c>
      <c r="D471" s="48"/>
      <c r="E471" s="34" t="s">
        <v>421</v>
      </c>
      <c r="F471" s="39">
        <f>F472+F474+F476+F478+F480+F483+F485+F487</f>
        <v>1322.4</v>
      </c>
      <c r="G471" s="39">
        <f>G472+G474+G476+G478+G480+G483+G485+G487</f>
        <v>606.5</v>
      </c>
      <c r="H471" s="26">
        <f t="shared" si="41"/>
        <v>45.9</v>
      </c>
    </row>
    <row r="472" spans="1:8" ht="40.200000000000003" x14ac:dyDescent="0.3">
      <c r="A472" s="36" t="s">
        <v>98</v>
      </c>
      <c r="B472" s="36" t="s">
        <v>93</v>
      </c>
      <c r="C472" s="47" t="s">
        <v>440</v>
      </c>
      <c r="D472" s="36"/>
      <c r="E472" s="65" t="s">
        <v>441</v>
      </c>
      <c r="F472" s="42">
        <f>F473</f>
        <v>134.30000000000001</v>
      </c>
      <c r="G472" s="42">
        <f>G473</f>
        <v>0</v>
      </c>
      <c r="H472" s="26">
        <f t="shared" si="41"/>
        <v>0</v>
      </c>
    </row>
    <row r="473" spans="1:8" x14ac:dyDescent="0.3">
      <c r="A473" s="36" t="s">
        <v>98</v>
      </c>
      <c r="B473" s="36" t="s">
        <v>93</v>
      </c>
      <c r="C473" s="47" t="s">
        <v>440</v>
      </c>
      <c r="D473" s="48" t="s">
        <v>291</v>
      </c>
      <c r="E473" s="46" t="s">
        <v>292</v>
      </c>
      <c r="F473" s="39">
        <v>134.30000000000001</v>
      </c>
      <c r="G473" s="26">
        <v>0</v>
      </c>
      <c r="H473" s="26">
        <f t="shared" si="41"/>
        <v>0</v>
      </c>
    </row>
    <row r="474" spans="1:8" ht="39.6" x14ac:dyDescent="0.3">
      <c r="A474" s="36" t="s">
        <v>98</v>
      </c>
      <c r="B474" s="36" t="s">
        <v>93</v>
      </c>
      <c r="C474" s="105" t="s">
        <v>442</v>
      </c>
      <c r="D474" s="36"/>
      <c r="E474" s="46" t="s">
        <v>47</v>
      </c>
      <c r="F474" s="39">
        <f>F475</f>
        <v>130.1</v>
      </c>
      <c r="G474" s="39">
        <f>G475</f>
        <v>57.3</v>
      </c>
      <c r="H474" s="26">
        <f t="shared" si="41"/>
        <v>44</v>
      </c>
    </row>
    <row r="475" spans="1:8" ht="39.6" x14ac:dyDescent="0.3">
      <c r="A475" s="36" t="s">
        <v>98</v>
      </c>
      <c r="B475" s="36" t="s">
        <v>93</v>
      </c>
      <c r="C475" s="105" t="s">
        <v>442</v>
      </c>
      <c r="D475" s="48" t="s">
        <v>213</v>
      </c>
      <c r="E475" s="46" t="s">
        <v>214</v>
      </c>
      <c r="F475" s="39">
        <f>123.9+6.2</f>
        <v>130.1</v>
      </c>
      <c r="G475" s="26">
        <v>57.3</v>
      </c>
      <c r="H475" s="26">
        <f t="shared" si="41"/>
        <v>44</v>
      </c>
    </row>
    <row r="476" spans="1:8" ht="39.6" x14ac:dyDescent="0.3">
      <c r="A476" s="36" t="s">
        <v>98</v>
      </c>
      <c r="B476" s="36" t="s">
        <v>93</v>
      </c>
      <c r="C476" s="105" t="s">
        <v>443</v>
      </c>
      <c r="D476" s="36"/>
      <c r="E476" s="40" t="s">
        <v>529</v>
      </c>
      <c r="F476" s="56">
        <f>F477</f>
        <v>71.099999999999994</v>
      </c>
      <c r="G476" s="56">
        <f>G477</f>
        <v>0</v>
      </c>
      <c r="H476" s="26">
        <f t="shared" si="41"/>
        <v>0</v>
      </c>
    </row>
    <row r="477" spans="1:8" x14ac:dyDescent="0.3">
      <c r="A477" s="36" t="s">
        <v>98</v>
      </c>
      <c r="B477" s="36" t="s">
        <v>93</v>
      </c>
      <c r="C477" s="105" t="s">
        <v>443</v>
      </c>
      <c r="D477" s="47" t="s">
        <v>225</v>
      </c>
      <c r="E477" s="46" t="s">
        <v>226</v>
      </c>
      <c r="F477" s="56">
        <v>71.099999999999994</v>
      </c>
      <c r="G477" s="26">
        <v>0</v>
      </c>
      <c r="H477" s="26">
        <f t="shared" si="41"/>
        <v>0</v>
      </c>
    </row>
    <row r="478" spans="1:8" ht="66" x14ac:dyDescent="0.3">
      <c r="A478" s="36" t="s">
        <v>98</v>
      </c>
      <c r="B478" s="36" t="s">
        <v>93</v>
      </c>
      <c r="C478" s="111">
        <v>140323020</v>
      </c>
      <c r="D478" s="48"/>
      <c r="E478" s="46" t="s">
        <v>121</v>
      </c>
      <c r="F478" s="39">
        <f>F479</f>
        <v>296.60000000000002</v>
      </c>
      <c r="G478" s="39">
        <f>G479</f>
        <v>139.19999999999999</v>
      </c>
      <c r="H478" s="26">
        <f t="shared" si="41"/>
        <v>46.9</v>
      </c>
    </row>
    <row r="479" spans="1:8" ht="39.6" x14ac:dyDescent="0.3">
      <c r="A479" s="36" t="s">
        <v>98</v>
      </c>
      <c r="B479" s="36" t="s">
        <v>93</v>
      </c>
      <c r="C479" s="111">
        <v>140323020</v>
      </c>
      <c r="D479" s="48" t="s">
        <v>213</v>
      </c>
      <c r="E479" s="46" t="s">
        <v>214</v>
      </c>
      <c r="F479" s="39">
        <f>112+140.5+44.1</f>
        <v>296.60000000000002</v>
      </c>
      <c r="G479" s="26">
        <v>139.19999999999999</v>
      </c>
      <c r="H479" s="26">
        <f t="shared" si="41"/>
        <v>46.9</v>
      </c>
    </row>
    <row r="480" spans="1:8" ht="79.2" x14ac:dyDescent="0.3">
      <c r="A480" s="36" t="s">
        <v>98</v>
      </c>
      <c r="B480" s="36" t="s">
        <v>93</v>
      </c>
      <c r="C480" s="111">
        <v>140323025</v>
      </c>
      <c r="D480" s="48"/>
      <c r="E480" s="46" t="s">
        <v>530</v>
      </c>
      <c r="F480" s="39">
        <f>SUM(F481:F482)</f>
        <v>322.3</v>
      </c>
      <c r="G480" s="39">
        <f>SUM(G481:G482)</f>
        <v>184</v>
      </c>
      <c r="H480" s="26">
        <f t="shared" si="41"/>
        <v>57.1</v>
      </c>
    </row>
    <row r="481" spans="1:8" ht="39.6" x14ac:dyDescent="0.3">
      <c r="A481" s="36" t="s">
        <v>98</v>
      </c>
      <c r="B481" s="36" t="s">
        <v>93</v>
      </c>
      <c r="C481" s="111">
        <v>140323025</v>
      </c>
      <c r="D481" s="48" t="s">
        <v>213</v>
      </c>
      <c r="E481" s="46" t="s">
        <v>214</v>
      </c>
      <c r="F481" s="39">
        <f>322.3-35-5</f>
        <v>282.3</v>
      </c>
      <c r="G481" s="26">
        <v>154</v>
      </c>
      <c r="H481" s="26">
        <f t="shared" si="41"/>
        <v>54.6</v>
      </c>
    </row>
    <row r="482" spans="1:8" x14ac:dyDescent="0.3">
      <c r="A482" s="36" t="s">
        <v>98</v>
      </c>
      <c r="B482" s="36" t="s">
        <v>93</v>
      </c>
      <c r="C482" s="111">
        <v>140323025</v>
      </c>
      <c r="D482" s="48" t="s">
        <v>531</v>
      </c>
      <c r="E482" s="46" t="s">
        <v>532</v>
      </c>
      <c r="F482" s="39">
        <f>35+5</f>
        <v>40</v>
      </c>
      <c r="G482" s="26">
        <v>30</v>
      </c>
      <c r="H482" s="26">
        <f t="shared" si="41"/>
        <v>75</v>
      </c>
    </row>
    <row r="483" spans="1:8" ht="52.8" x14ac:dyDescent="0.3">
      <c r="A483" s="36" t="s">
        <v>98</v>
      </c>
      <c r="B483" s="36" t="s">
        <v>93</v>
      </c>
      <c r="C483" s="111" t="s">
        <v>444</v>
      </c>
      <c r="D483" s="48"/>
      <c r="E483" s="46" t="s">
        <v>445</v>
      </c>
      <c r="F483" s="39">
        <f>F484</f>
        <v>45.9</v>
      </c>
      <c r="G483" s="39">
        <f>G484</f>
        <v>24.4</v>
      </c>
      <c r="H483" s="26">
        <f t="shared" si="41"/>
        <v>53.2</v>
      </c>
    </row>
    <row r="484" spans="1:8" ht="39.6" x14ac:dyDescent="0.3">
      <c r="A484" s="36" t="s">
        <v>98</v>
      </c>
      <c r="B484" s="36" t="s">
        <v>93</v>
      </c>
      <c r="C484" s="111" t="s">
        <v>444</v>
      </c>
      <c r="D484" s="48" t="s">
        <v>213</v>
      </c>
      <c r="E484" s="46" t="s">
        <v>214</v>
      </c>
      <c r="F484" s="39">
        <f>90-44.1</f>
        <v>45.9</v>
      </c>
      <c r="G484" s="26">
        <v>24.4</v>
      </c>
      <c r="H484" s="26">
        <f t="shared" si="41"/>
        <v>53.2</v>
      </c>
    </row>
    <row r="485" spans="1:8" ht="39.6" x14ac:dyDescent="0.3">
      <c r="A485" s="36" t="s">
        <v>98</v>
      </c>
      <c r="B485" s="36" t="s">
        <v>93</v>
      </c>
      <c r="C485" s="111">
        <v>140311080</v>
      </c>
      <c r="D485" s="48"/>
      <c r="E485" s="46" t="s">
        <v>446</v>
      </c>
      <c r="F485" s="39">
        <f>F486</f>
        <v>202.1</v>
      </c>
      <c r="G485" s="39">
        <f>G486</f>
        <v>81.599999999999994</v>
      </c>
      <c r="H485" s="26">
        <f t="shared" si="41"/>
        <v>40.4</v>
      </c>
    </row>
    <row r="486" spans="1:8" ht="39.6" x14ac:dyDescent="0.3">
      <c r="A486" s="36" t="s">
        <v>98</v>
      </c>
      <c r="B486" s="36" t="s">
        <v>93</v>
      </c>
      <c r="C486" s="111">
        <v>140311080</v>
      </c>
      <c r="D486" s="48" t="s">
        <v>213</v>
      </c>
      <c r="E486" s="46" t="s">
        <v>214</v>
      </c>
      <c r="F486" s="42">
        <v>202.1</v>
      </c>
      <c r="G486" s="26">
        <v>81.599999999999994</v>
      </c>
      <c r="H486" s="26">
        <f t="shared" si="41"/>
        <v>40.4</v>
      </c>
    </row>
    <row r="487" spans="1:8" ht="51" customHeight="1" x14ac:dyDescent="0.3">
      <c r="A487" s="36" t="s">
        <v>98</v>
      </c>
      <c r="B487" s="36" t="s">
        <v>93</v>
      </c>
      <c r="C487" s="47" t="s">
        <v>557</v>
      </c>
      <c r="D487" s="48"/>
      <c r="E487" s="88" t="s">
        <v>558</v>
      </c>
      <c r="F487" s="42">
        <f>F488</f>
        <v>120</v>
      </c>
      <c r="G487" s="42">
        <f>G488</f>
        <v>120</v>
      </c>
      <c r="H487" s="26">
        <f t="shared" si="41"/>
        <v>100</v>
      </c>
    </row>
    <row r="488" spans="1:8" ht="39.6" x14ac:dyDescent="0.3">
      <c r="A488" s="36" t="s">
        <v>98</v>
      </c>
      <c r="B488" s="36" t="s">
        <v>93</v>
      </c>
      <c r="C488" s="47" t="s">
        <v>557</v>
      </c>
      <c r="D488" s="48" t="s">
        <v>213</v>
      </c>
      <c r="E488" s="46" t="s">
        <v>214</v>
      </c>
      <c r="F488" s="42">
        <v>120</v>
      </c>
      <c r="G488" s="26">
        <v>120</v>
      </c>
      <c r="H488" s="26">
        <f t="shared" si="41"/>
        <v>100</v>
      </c>
    </row>
    <row r="489" spans="1:8" x14ac:dyDescent="0.3">
      <c r="A489" s="36" t="s">
        <v>98</v>
      </c>
      <c r="B489" s="36" t="s">
        <v>93</v>
      </c>
      <c r="C489" s="63" t="s">
        <v>75</v>
      </c>
      <c r="D489" s="36"/>
      <c r="E489" s="112" t="s">
        <v>44</v>
      </c>
      <c r="F489" s="64">
        <f>F490</f>
        <v>8283.6</v>
      </c>
      <c r="G489" s="64">
        <f>G490</f>
        <v>3898.6</v>
      </c>
      <c r="H489" s="26">
        <f t="shared" si="41"/>
        <v>47.1</v>
      </c>
    </row>
    <row r="490" spans="1:8" ht="52.8" x14ac:dyDescent="0.3">
      <c r="A490" s="36" t="s">
        <v>98</v>
      </c>
      <c r="B490" s="36" t="s">
        <v>93</v>
      </c>
      <c r="C490" s="111">
        <v>190022200</v>
      </c>
      <c r="D490" s="48"/>
      <c r="E490" s="46" t="s">
        <v>447</v>
      </c>
      <c r="F490" s="39">
        <f>SUM(F491:F492)</f>
        <v>8283.6</v>
      </c>
      <c r="G490" s="39">
        <f>SUM(G491:G492)</f>
        <v>3898.6</v>
      </c>
      <c r="H490" s="26">
        <f t="shared" si="41"/>
        <v>47.1</v>
      </c>
    </row>
    <row r="491" spans="1:8" ht="33.75" customHeight="1" x14ac:dyDescent="0.3">
      <c r="A491" s="36" t="s">
        <v>98</v>
      </c>
      <c r="B491" s="36" t="s">
        <v>93</v>
      </c>
      <c r="C491" s="111">
        <v>190022200</v>
      </c>
      <c r="D491" s="36" t="s">
        <v>61</v>
      </c>
      <c r="E491" s="38" t="s">
        <v>62</v>
      </c>
      <c r="F491" s="39">
        <f>4887.2+592.5+1638.9+711.9</f>
        <v>7830.5</v>
      </c>
      <c r="G491" s="26">
        <v>3742.4</v>
      </c>
      <c r="H491" s="26">
        <f t="shared" si="41"/>
        <v>47.8</v>
      </c>
    </row>
    <row r="492" spans="1:8" ht="39.6" x14ac:dyDescent="0.3">
      <c r="A492" s="36" t="s">
        <v>98</v>
      </c>
      <c r="B492" s="36" t="s">
        <v>93</v>
      </c>
      <c r="C492" s="111">
        <v>190022200</v>
      </c>
      <c r="D492" s="48" t="s">
        <v>213</v>
      </c>
      <c r="E492" s="46" t="s">
        <v>214</v>
      </c>
      <c r="F492" s="39">
        <f>453.1</f>
        <v>453.1</v>
      </c>
      <c r="G492" s="26">
        <v>156.19999999999999</v>
      </c>
      <c r="H492" s="26">
        <f t="shared" si="41"/>
        <v>34.5</v>
      </c>
    </row>
    <row r="493" spans="1:8" x14ac:dyDescent="0.3">
      <c r="A493" s="29" t="s">
        <v>95</v>
      </c>
      <c r="B493" s="72"/>
      <c r="C493" s="72"/>
      <c r="D493" s="72"/>
      <c r="E493" s="73" t="s">
        <v>21</v>
      </c>
      <c r="F493" s="32">
        <f>F494+F523</f>
        <v>77688.7</v>
      </c>
      <c r="G493" s="32">
        <f>G494+G523</f>
        <v>44109.4</v>
      </c>
      <c r="H493" s="26">
        <f t="shared" si="41"/>
        <v>56.8</v>
      </c>
    </row>
    <row r="494" spans="1:8" x14ac:dyDescent="0.3">
      <c r="A494" s="52" t="s">
        <v>95</v>
      </c>
      <c r="B494" s="52" t="s">
        <v>84</v>
      </c>
      <c r="C494" s="52"/>
      <c r="D494" s="52"/>
      <c r="E494" s="59" t="s">
        <v>100</v>
      </c>
      <c r="F494" s="53">
        <f>F495+F520</f>
        <v>73571.199999999997</v>
      </c>
      <c r="G494" s="53">
        <f>G495+G520</f>
        <v>42253.8</v>
      </c>
      <c r="H494" s="26">
        <f t="shared" si="41"/>
        <v>57.4</v>
      </c>
    </row>
    <row r="495" spans="1:8" ht="79.8" x14ac:dyDescent="0.3">
      <c r="A495" s="36" t="s">
        <v>95</v>
      </c>
      <c r="B495" s="36" t="s">
        <v>84</v>
      </c>
      <c r="C495" s="60" t="s">
        <v>58</v>
      </c>
      <c r="D495" s="52"/>
      <c r="E495" s="80" t="s">
        <v>424</v>
      </c>
      <c r="F495" s="106">
        <f t="shared" ref="F495:G495" si="45">F496</f>
        <v>73521.2</v>
      </c>
      <c r="G495" s="106">
        <f t="shared" si="45"/>
        <v>42253.8</v>
      </c>
      <c r="H495" s="26">
        <f t="shared" si="41"/>
        <v>57.5</v>
      </c>
    </row>
    <row r="496" spans="1:8" ht="27" x14ac:dyDescent="0.3">
      <c r="A496" s="36" t="s">
        <v>95</v>
      </c>
      <c r="B496" s="36" t="s">
        <v>84</v>
      </c>
      <c r="C496" s="47" t="s">
        <v>59</v>
      </c>
      <c r="D496" s="52"/>
      <c r="E496" s="44" t="s">
        <v>153</v>
      </c>
      <c r="F496" s="82">
        <f>F497+F500+F502+F505+F510+F512+F514+F516+F518+F508</f>
        <v>73521.2</v>
      </c>
      <c r="G496" s="82">
        <f>G497+G500+G502+G505+G510+G512+G514+G516+G518+G508</f>
        <v>42253.8</v>
      </c>
      <c r="H496" s="26">
        <f t="shared" si="41"/>
        <v>57.5</v>
      </c>
    </row>
    <row r="497" spans="1:8" ht="27" x14ac:dyDescent="0.3">
      <c r="A497" s="36" t="s">
        <v>95</v>
      </c>
      <c r="B497" s="36" t="s">
        <v>84</v>
      </c>
      <c r="C497" s="67">
        <v>210122900</v>
      </c>
      <c r="D497" s="36"/>
      <c r="E497" s="41" t="s">
        <v>152</v>
      </c>
      <c r="F497" s="42">
        <f>F498+F499</f>
        <v>14414.3</v>
      </c>
      <c r="G497" s="42">
        <f>G498+G499</f>
        <v>9036</v>
      </c>
      <c r="H497" s="26">
        <f t="shared" si="41"/>
        <v>62.7</v>
      </c>
    </row>
    <row r="498" spans="1:8" ht="26.4" x14ac:dyDescent="0.3">
      <c r="A498" s="36" t="s">
        <v>95</v>
      </c>
      <c r="B498" s="36" t="s">
        <v>84</v>
      </c>
      <c r="C498" s="67">
        <v>210122900</v>
      </c>
      <c r="D498" s="48" t="s">
        <v>63</v>
      </c>
      <c r="E498" s="38" t="s">
        <v>118</v>
      </c>
      <c r="F498" s="42">
        <f>5408.8-17.4</f>
        <v>5391.4000000000005</v>
      </c>
      <c r="G498" s="26">
        <v>3116.5</v>
      </c>
      <c r="H498" s="26">
        <f t="shared" si="41"/>
        <v>57.8</v>
      </c>
    </row>
    <row r="499" spans="1:8" ht="39.6" x14ac:dyDescent="0.3">
      <c r="A499" s="36" t="s">
        <v>95</v>
      </c>
      <c r="B499" s="36" t="s">
        <v>84</v>
      </c>
      <c r="C499" s="67">
        <v>210122900</v>
      </c>
      <c r="D499" s="48" t="s">
        <v>213</v>
      </c>
      <c r="E499" s="46" t="s">
        <v>214</v>
      </c>
      <c r="F499" s="42">
        <f>5956.5+2577.4+502.4-13.4</f>
        <v>9022.9</v>
      </c>
      <c r="G499" s="26">
        <v>5919.5</v>
      </c>
      <c r="H499" s="26">
        <f t="shared" ref="H499:H611" si="46">ROUND((G499/F499*100),1)</f>
        <v>65.599999999999994</v>
      </c>
    </row>
    <row r="500" spans="1:8" ht="53.4" x14ac:dyDescent="0.3">
      <c r="A500" s="36" t="s">
        <v>95</v>
      </c>
      <c r="B500" s="36" t="s">
        <v>84</v>
      </c>
      <c r="C500" s="67">
        <v>210121100</v>
      </c>
      <c r="D500" s="36"/>
      <c r="E500" s="41" t="s">
        <v>154</v>
      </c>
      <c r="F500" s="42">
        <f>F501</f>
        <v>33792</v>
      </c>
      <c r="G500" s="42">
        <f>G501</f>
        <v>19940.5</v>
      </c>
      <c r="H500" s="26">
        <f t="shared" si="46"/>
        <v>59</v>
      </c>
    </row>
    <row r="501" spans="1:8" x14ac:dyDescent="0.3">
      <c r="A501" s="36" t="s">
        <v>95</v>
      </c>
      <c r="B501" s="36" t="s">
        <v>84</v>
      </c>
      <c r="C501" s="67">
        <v>210121100</v>
      </c>
      <c r="D501" s="47" t="s">
        <v>225</v>
      </c>
      <c r="E501" s="46" t="s">
        <v>226</v>
      </c>
      <c r="F501" s="42">
        <f>33945.3-18.5-109.8-25</f>
        <v>33792</v>
      </c>
      <c r="G501" s="26">
        <v>19940.5</v>
      </c>
      <c r="H501" s="26">
        <f t="shared" si="46"/>
        <v>59</v>
      </c>
    </row>
    <row r="502" spans="1:8" ht="39.6" x14ac:dyDescent="0.3">
      <c r="A502" s="36" t="s">
        <v>95</v>
      </c>
      <c r="B502" s="36" t="s">
        <v>84</v>
      </c>
      <c r="C502" s="67" t="s">
        <v>277</v>
      </c>
      <c r="D502" s="48"/>
      <c r="E502" s="46" t="s">
        <v>250</v>
      </c>
      <c r="F502" s="42">
        <f>SUM(F503:F504)</f>
        <v>235.9</v>
      </c>
      <c r="G502" s="42">
        <f>SUM(G503:G504)</f>
        <v>0</v>
      </c>
      <c r="H502" s="26">
        <f t="shared" si="46"/>
        <v>0</v>
      </c>
    </row>
    <row r="503" spans="1:8" ht="26.4" x14ac:dyDescent="0.3">
      <c r="A503" s="36" t="s">
        <v>95</v>
      </c>
      <c r="B503" s="36" t="s">
        <v>84</v>
      </c>
      <c r="C503" s="67" t="s">
        <v>277</v>
      </c>
      <c r="D503" s="48" t="s">
        <v>63</v>
      </c>
      <c r="E503" s="38" t="s">
        <v>118</v>
      </c>
      <c r="F503" s="42">
        <f>50+17.4</f>
        <v>67.400000000000006</v>
      </c>
      <c r="G503" s="26">
        <v>0</v>
      </c>
      <c r="H503" s="26">
        <f t="shared" si="46"/>
        <v>0</v>
      </c>
    </row>
    <row r="504" spans="1:8" x14ac:dyDescent="0.3">
      <c r="A504" s="36" t="s">
        <v>95</v>
      </c>
      <c r="B504" s="36" t="s">
        <v>84</v>
      </c>
      <c r="C504" s="67" t="s">
        <v>277</v>
      </c>
      <c r="D504" s="47" t="s">
        <v>225</v>
      </c>
      <c r="E504" s="46" t="s">
        <v>226</v>
      </c>
      <c r="F504" s="42">
        <f>150+18.5</f>
        <v>168.5</v>
      </c>
      <c r="G504" s="26">
        <v>0</v>
      </c>
      <c r="H504" s="26">
        <f t="shared" si="46"/>
        <v>0</v>
      </c>
    </row>
    <row r="505" spans="1:8" ht="52.8" x14ac:dyDescent="0.3">
      <c r="A505" s="36" t="s">
        <v>95</v>
      </c>
      <c r="B505" s="36" t="s">
        <v>84</v>
      </c>
      <c r="C505" s="67">
        <v>210110680</v>
      </c>
      <c r="D505" s="48"/>
      <c r="E505" s="46" t="s">
        <v>293</v>
      </c>
      <c r="F505" s="42">
        <f>SUM(F506:F507)</f>
        <v>23354.600000000002</v>
      </c>
      <c r="G505" s="42">
        <f>SUM(G506:G507)</f>
        <v>13277.3</v>
      </c>
      <c r="H505" s="26">
        <f t="shared" si="46"/>
        <v>56.9</v>
      </c>
    </row>
    <row r="506" spans="1:8" ht="26.4" x14ac:dyDescent="0.3">
      <c r="A506" s="36" t="s">
        <v>95</v>
      </c>
      <c r="B506" s="36" t="s">
        <v>84</v>
      </c>
      <c r="C506" s="67">
        <v>210110680</v>
      </c>
      <c r="D506" s="48" t="s">
        <v>63</v>
      </c>
      <c r="E506" s="38" t="s">
        <v>118</v>
      </c>
      <c r="F506" s="42">
        <v>6672.7</v>
      </c>
      <c r="G506" s="26">
        <v>3268.2</v>
      </c>
      <c r="H506" s="26">
        <f t="shared" si="46"/>
        <v>49</v>
      </c>
    </row>
    <row r="507" spans="1:8" x14ac:dyDescent="0.3">
      <c r="A507" s="36" t="s">
        <v>95</v>
      </c>
      <c r="B507" s="36" t="s">
        <v>84</v>
      </c>
      <c r="C507" s="67">
        <v>210110680</v>
      </c>
      <c r="D507" s="47" t="s">
        <v>225</v>
      </c>
      <c r="E507" s="46" t="s">
        <v>226</v>
      </c>
      <c r="F507" s="42">
        <v>16681.900000000001</v>
      </c>
      <c r="G507" s="26">
        <v>10009.1</v>
      </c>
      <c r="H507" s="26">
        <f t="shared" si="46"/>
        <v>60</v>
      </c>
    </row>
    <row r="508" spans="1:8" ht="40.5" customHeight="1" x14ac:dyDescent="0.3">
      <c r="A508" s="36" t="s">
        <v>95</v>
      </c>
      <c r="B508" s="36" t="s">
        <v>84</v>
      </c>
      <c r="C508" s="67" t="s">
        <v>559</v>
      </c>
      <c r="D508" s="47"/>
      <c r="E508" s="40" t="s">
        <v>560</v>
      </c>
      <c r="F508" s="42">
        <f>F509</f>
        <v>133.4</v>
      </c>
      <c r="G508" s="42">
        <f>G509</f>
        <v>0</v>
      </c>
      <c r="H508" s="26">
        <f t="shared" si="46"/>
        <v>0</v>
      </c>
    </row>
    <row r="509" spans="1:8" ht="39.6" x14ac:dyDescent="0.3">
      <c r="A509" s="36" t="s">
        <v>95</v>
      </c>
      <c r="B509" s="36" t="s">
        <v>84</v>
      </c>
      <c r="C509" s="67" t="s">
        <v>559</v>
      </c>
      <c r="D509" s="48" t="s">
        <v>213</v>
      </c>
      <c r="E509" s="46" t="s">
        <v>214</v>
      </c>
      <c r="F509" s="42">
        <f>120+13.4</f>
        <v>133.4</v>
      </c>
      <c r="G509" s="26">
        <v>0</v>
      </c>
      <c r="H509" s="26">
        <f t="shared" si="46"/>
        <v>0</v>
      </c>
    </row>
    <row r="510" spans="1:8" ht="40.200000000000003" x14ac:dyDescent="0.3">
      <c r="A510" s="36" t="s">
        <v>95</v>
      </c>
      <c r="B510" s="36" t="s">
        <v>84</v>
      </c>
      <c r="C510" s="108" t="s">
        <v>561</v>
      </c>
      <c r="D510" s="48"/>
      <c r="E510" s="89" t="s">
        <v>562</v>
      </c>
      <c r="F510" s="42">
        <f>F511</f>
        <v>20</v>
      </c>
      <c r="G510" s="42">
        <f>G511</f>
        <v>0</v>
      </c>
      <c r="H510" s="26">
        <f t="shared" si="46"/>
        <v>0</v>
      </c>
    </row>
    <row r="511" spans="1:8" ht="39.6" x14ac:dyDescent="0.3">
      <c r="A511" s="36" t="s">
        <v>95</v>
      </c>
      <c r="B511" s="36" t="s">
        <v>84</v>
      </c>
      <c r="C511" s="108" t="s">
        <v>561</v>
      </c>
      <c r="D511" s="48" t="s">
        <v>213</v>
      </c>
      <c r="E511" s="46" t="s">
        <v>214</v>
      </c>
      <c r="F511" s="42">
        <v>20</v>
      </c>
      <c r="G511" s="26">
        <v>0</v>
      </c>
      <c r="H511" s="26">
        <f t="shared" si="46"/>
        <v>0</v>
      </c>
    </row>
    <row r="512" spans="1:8" ht="53.4" x14ac:dyDescent="0.3">
      <c r="A512" s="36" t="s">
        <v>95</v>
      </c>
      <c r="B512" s="36" t="s">
        <v>84</v>
      </c>
      <c r="C512" s="113" t="s">
        <v>448</v>
      </c>
      <c r="D512" s="48"/>
      <c r="E512" s="88" t="s">
        <v>294</v>
      </c>
      <c r="F512" s="42">
        <f>F513</f>
        <v>624</v>
      </c>
      <c r="G512" s="42">
        <f>G513</f>
        <v>0</v>
      </c>
      <c r="H512" s="26">
        <f t="shared" si="46"/>
        <v>0</v>
      </c>
    </row>
    <row r="513" spans="1:8" x14ac:dyDescent="0.3">
      <c r="A513" s="36" t="s">
        <v>95</v>
      </c>
      <c r="B513" s="36" t="s">
        <v>84</v>
      </c>
      <c r="C513" s="113" t="s">
        <v>448</v>
      </c>
      <c r="D513" s="47" t="s">
        <v>225</v>
      </c>
      <c r="E513" s="46" t="s">
        <v>226</v>
      </c>
      <c r="F513" s="42">
        <f>13+611</f>
        <v>624</v>
      </c>
      <c r="G513" s="26">
        <v>0</v>
      </c>
      <c r="H513" s="26">
        <f t="shared" si="46"/>
        <v>0</v>
      </c>
    </row>
    <row r="514" spans="1:8" ht="39.6" x14ac:dyDescent="0.3">
      <c r="A514" s="36" t="s">
        <v>95</v>
      </c>
      <c r="B514" s="36" t="s">
        <v>84</v>
      </c>
      <c r="C514" s="114" t="s">
        <v>449</v>
      </c>
      <c r="D514" s="47"/>
      <c r="E514" s="46" t="s">
        <v>450</v>
      </c>
      <c r="F514" s="42">
        <f>F515</f>
        <v>945</v>
      </c>
      <c r="G514" s="42">
        <f>G515</f>
        <v>0</v>
      </c>
      <c r="H514" s="26">
        <f t="shared" si="46"/>
        <v>0</v>
      </c>
    </row>
    <row r="515" spans="1:8" x14ac:dyDescent="0.3">
      <c r="A515" s="36" t="s">
        <v>95</v>
      </c>
      <c r="B515" s="36" t="s">
        <v>84</v>
      </c>
      <c r="C515" s="114" t="s">
        <v>449</v>
      </c>
      <c r="D515" s="47" t="s">
        <v>225</v>
      </c>
      <c r="E515" s="46" t="s">
        <v>226</v>
      </c>
      <c r="F515" s="42">
        <v>945</v>
      </c>
      <c r="G515" s="26">
        <v>0</v>
      </c>
      <c r="H515" s="26">
        <f t="shared" si="46"/>
        <v>0</v>
      </c>
    </row>
    <row r="516" spans="1:8" ht="53.4" x14ac:dyDescent="0.3">
      <c r="A516" s="36" t="s">
        <v>95</v>
      </c>
      <c r="B516" s="36" t="s">
        <v>84</v>
      </c>
      <c r="C516" s="113" t="s">
        <v>533</v>
      </c>
      <c r="D516" s="48"/>
      <c r="E516" s="89" t="s">
        <v>534</v>
      </c>
      <c r="F516" s="42">
        <f>F517</f>
        <v>1</v>
      </c>
      <c r="G516" s="42">
        <f>G517</f>
        <v>0</v>
      </c>
      <c r="H516" s="26">
        <f t="shared" si="46"/>
        <v>0</v>
      </c>
    </row>
    <row r="517" spans="1:8" x14ac:dyDescent="0.3">
      <c r="A517" s="36" t="s">
        <v>95</v>
      </c>
      <c r="B517" s="36" t="s">
        <v>84</v>
      </c>
      <c r="C517" s="113" t="s">
        <v>533</v>
      </c>
      <c r="D517" s="47" t="s">
        <v>225</v>
      </c>
      <c r="E517" s="46" t="s">
        <v>226</v>
      </c>
      <c r="F517" s="42">
        <v>1</v>
      </c>
      <c r="G517" s="26">
        <v>0</v>
      </c>
      <c r="H517" s="26">
        <f t="shared" si="46"/>
        <v>0</v>
      </c>
    </row>
    <row r="518" spans="1:8" ht="66" x14ac:dyDescent="0.3">
      <c r="A518" s="115" t="s">
        <v>95</v>
      </c>
      <c r="B518" s="115" t="s">
        <v>84</v>
      </c>
      <c r="C518" s="116" t="s">
        <v>451</v>
      </c>
      <c r="D518" s="117"/>
      <c r="E518" s="118" t="s">
        <v>452</v>
      </c>
      <c r="F518" s="42">
        <f>F519</f>
        <v>1</v>
      </c>
      <c r="G518" s="42">
        <f>G519</f>
        <v>0</v>
      </c>
      <c r="H518" s="26">
        <f t="shared" si="46"/>
        <v>0</v>
      </c>
    </row>
    <row r="519" spans="1:8" x14ac:dyDescent="0.3">
      <c r="A519" s="36" t="s">
        <v>95</v>
      </c>
      <c r="B519" s="36" t="s">
        <v>84</v>
      </c>
      <c r="C519" s="114" t="s">
        <v>451</v>
      </c>
      <c r="D519" s="47" t="s">
        <v>225</v>
      </c>
      <c r="E519" s="46" t="s">
        <v>226</v>
      </c>
      <c r="F519" s="42">
        <v>1</v>
      </c>
      <c r="G519" s="26">
        <v>0</v>
      </c>
      <c r="H519" s="26">
        <f t="shared" si="46"/>
        <v>0</v>
      </c>
    </row>
    <row r="520" spans="1:8" ht="27" x14ac:dyDescent="0.3">
      <c r="A520" s="36" t="s">
        <v>95</v>
      </c>
      <c r="B520" s="36" t="s">
        <v>84</v>
      </c>
      <c r="C520" s="48" t="s">
        <v>24</v>
      </c>
      <c r="D520" s="48"/>
      <c r="E520" s="41" t="s">
        <v>36</v>
      </c>
      <c r="F520" s="39">
        <f>F521</f>
        <v>50</v>
      </c>
      <c r="G520" s="39">
        <f>G521</f>
        <v>0</v>
      </c>
      <c r="H520" s="26">
        <f t="shared" si="46"/>
        <v>0</v>
      </c>
    </row>
    <row r="521" spans="1:8" ht="52.8" x14ac:dyDescent="0.3">
      <c r="A521" s="36" t="s">
        <v>95</v>
      </c>
      <c r="B521" s="36" t="s">
        <v>84</v>
      </c>
      <c r="C521" s="48" t="s">
        <v>426</v>
      </c>
      <c r="D521" s="36"/>
      <c r="E521" s="40" t="s">
        <v>453</v>
      </c>
      <c r="F521" s="39">
        <f>SUM(F522:F522)</f>
        <v>50</v>
      </c>
      <c r="G521" s="39">
        <f>SUM(G522:G522)</f>
        <v>0</v>
      </c>
      <c r="H521" s="26">
        <f t="shared" si="46"/>
        <v>0</v>
      </c>
    </row>
    <row r="522" spans="1:8" x14ac:dyDescent="0.3">
      <c r="A522" s="36" t="s">
        <v>95</v>
      </c>
      <c r="B522" s="36" t="s">
        <v>84</v>
      </c>
      <c r="C522" s="48" t="s">
        <v>426</v>
      </c>
      <c r="D522" s="47" t="s">
        <v>225</v>
      </c>
      <c r="E522" s="46" t="s">
        <v>226</v>
      </c>
      <c r="F522" s="42">
        <v>50</v>
      </c>
      <c r="G522" s="26">
        <v>0</v>
      </c>
      <c r="H522" s="26">
        <f t="shared" si="46"/>
        <v>0</v>
      </c>
    </row>
    <row r="523" spans="1:8" ht="27" x14ac:dyDescent="0.3">
      <c r="A523" s="52" t="s">
        <v>95</v>
      </c>
      <c r="B523" s="52" t="s">
        <v>88</v>
      </c>
      <c r="C523" s="52"/>
      <c r="D523" s="52"/>
      <c r="E523" s="34" t="s">
        <v>11</v>
      </c>
      <c r="F523" s="53">
        <f>F524+F534</f>
        <v>4117.5</v>
      </c>
      <c r="G523" s="53">
        <f>G524+G534</f>
        <v>1855.6</v>
      </c>
      <c r="H523" s="26">
        <f t="shared" si="46"/>
        <v>45.1</v>
      </c>
    </row>
    <row r="524" spans="1:8" ht="79.8" x14ac:dyDescent="0.3">
      <c r="A524" s="68" t="s">
        <v>95</v>
      </c>
      <c r="B524" s="68" t="s">
        <v>88</v>
      </c>
      <c r="C524" s="60" t="s">
        <v>58</v>
      </c>
      <c r="D524" s="52"/>
      <c r="E524" s="80" t="s">
        <v>424</v>
      </c>
      <c r="F524" s="106">
        <f>F525+F530</f>
        <v>3877.5</v>
      </c>
      <c r="G524" s="106">
        <f>G525+G530</f>
        <v>1855.6</v>
      </c>
      <c r="H524" s="26">
        <f t="shared" si="46"/>
        <v>47.9</v>
      </c>
    </row>
    <row r="525" spans="1:8" ht="27" x14ac:dyDescent="0.3">
      <c r="A525" s="36" t="s">
        <v>95</v>
      </c>
      <c r="B525" s="36" t="s">
        <v>88</v>
      </c>
      <c r="C525" s="47" t="s">
        <v>59</v>
      </c>
      <c r="D525" s="52"/>
      <c r="E525" s="44" t="s">
        <v>153</v>
      </c>
      <c r="F525" s="53">
        <f>F526+F528</f>
        <v>474</v>
      </c>
      <c r="G525" s="53">
        <f>G526+G528</f>
        <v>60.5</v>
      </c>
      <c r="H525" s="26">
        <f t="shared" si="46"/>
        <v>12.8</v>
      </c>
    </row>
    <row r="526" spans="1:8" ht="41.25" customHeight="1" x14ac:dyDescent="0.3">
      <c r="A526" s="36" t="s">
        <v>95</v>
      </c>
      <c r="B526" s="36" t="s">
        <v>88</v>
      </c>
      <c r="C526" s="47" t="s">
        <v>454</v>
      </c>
      <c r="D526" s="36"/>
      <c r="E526" s="46" t="s">
        <v>156</v>
      </c>
      <c r="F526" s="39">
        <f t="shared" ref="F526:G526" si="47">F527</f>
        <v>374</v>
      </c>
      <c r="G526" s="39">
        <f t="shared" si="47"/>
        <v>60.5</v>
      </c>
      <c r="H526" s="26">
        <f t="shared" si="46"/>
        <v>16.2</v>
      </c>
    </row>
    <row r="527" spans="1:8" ht="39.6" x14ac:dyDescent="0.3">
      <c r="A527" s="36" t="s">
        <v>95</v>
      </c>
      <c r="B527" s="36" t="s">
        <v>88</v>
      </c>
      <c r="C527" s="47" t="s">
        <v>454</v>
      </c>
      <c r="D527" s="48" t="s">
        <v>213</v>
      </c>
      <c r="E527" s="46" t="s">
        <v>214</v>
      </c>
      <c r="F527" s="39">
        <v>374</v>
      </c>
      <c r="G527" s="26">
        <v>60.5</v>
      </c>
      <c r="H527" s="26">
        <f t="shared" si="46"/>
        <v>16.2</v>
      </c>
    </row>
    <row r="528" spans="1:8" ht="27" x14ac:dyDescent="0.3">
      <c r="A528" s="36" t="s">
        <v>95</v>
      </c>
      <c r="B528" s="36" t="s">
        <v>88</v>
      </c>
      <c r="C528" s="47" t="s">
        <v>563</v>
      </c>
      <c r="D528" s="48"/>
      <c r="E528" s="100" t="s">
        <v>564</v>
      </c>
      <c r="F528" s="39">
        <f>F529</f>
        <v>100</v>
      </c>
      <c r="G528" s="39">
        <f>G529</f>
        <v>0</v>
      </c>
      <c r="H528" s="26">
        <f t="shared" si="46"/>
        <v>0</v>
      </c>
    </row>
    <row r="529" spans="1:8" ht="39.6" x14ac:dyDescent="0.3">
      <c r="A529" s="36" t="s">
        <v>95</v>
      </c>
      <c r="B529" s="36" t="s">
        <v>88</v>
      </c>
      <c r="C529" s="119" t="s">
        <v>563</v>
      </c>
      <c r="D529" s="48" t="s">
        <v>213</v>
      </c>
      <c r="E529" s="46" t="s">
        <v>214</v>
      </c>
      <c r="F529" s="39">
        <v>100</v>
      </c>
      <c r="G529" s="26">
        <v>0</v>
      </c>
      <c r="H529" s="26">
        <f t="shared" si="46"/>
        <v>0</v>
      </c>
    </row>
    <row r="530" spans="1:8" x14ac:dyDescent="0.3">
      <c r="A530" s="36" t="s">
        <v>95</v>
      </c>
      <c r="B530" s="36" t="s">
        <v>88</v>
      </c>
      <c r="C530" s="63" t="s">
        <v>29</v>
      </c>
      <c r="D530" s="47"/>
      <c r="E530" s="112" t="s">
        <v>44</v>
      </c>
      <c r="F530" s="82">
        <f>F531</f>
        <v>3403.5</v>
      </c>
      <c r="G530" s="82">
        <f>G531</f>
        <v>1795.1</v>
      </c>
      <c r="H530" s="26">
        <f t="shared" si="46"/>
        <v>52.7</v>
      </c>
    </row>
    <row r="531" spans="1:8" ht="66" x14ac:dyDescent="0.3">
      <c r="A531" s="36" t="s">
        <v>95</v>
      </c>
      <c r="B531" s="36" t="s">
        <v>88</v>
      </c>
      <c r="C531" s="111">
        <v>290022200</v>
      </c>
      <c r="D531" s="47"/>
      <c r="E531" s="46" t="s">
        <v>251</v>
      </c>
      <c r="F531" s="56">
        <f>SUM(F532:F533)</f>
        <v>3403.5</v>
      </c>
      <c r="G531" s="56">
        <f>SUM(G532:G533)</f>
        <v>1795.1</v>
      </c>
      <c r="H531" s="26">
        <f t="shared" si="46"/>
        <v>52.7</v>
      </c>
    </row>
    <row r="532" spans="1:8" ht="33.75" customHeight="1" x14ac:dyDescent="0.3">
      <c r="A532" s="36" t="s">
        <v>95</v>
      </c>
      <c r="B532" s="36" t="s">
        <v>88</v>
      </c>
      <c r="C532" s="111">
        <v>290022200</v>
      </c>
      <c r="D532" s="36" t="s">
        <v>61</v>
      </c>
      <c r="E532" s="38" t="s">
        <v>62</v>
      </c>
      <c r="F532" s="56">
        <f>3035.4+300.6</f>
        <v>3336</v>
      </c>
      <c r="G532" s="26">
        <v>1770.3</v>
      </c>
      <c r="H532" s="26">
        <f t="shared" si="46"/>
        <v>53.1</v>
      </c>
    </row>
    <row r="533" spans="1:8" ht="39.6" x14ac:dyDescent="0.3">
      <c r="A533" s="36" t="s">
        <v>95</v>
      </c>
      <c r="B533" s="36" t="s">
        <v>88</v>
      </c>
      <c r="C533" s="111">
        <v>290022200</v>
      </c>
      <c r="D533" s="48" t="s">
        <v>213</v>
      </c>
      <c r="E533" s="46" t="s">
        <v>214</v>
      </c>
      <c r="F533" s="39">
        <v>67.5</v>
      </c>
      <c r="G533" s="26">
        <v>24.8</v>
      </c>
      <c r="H533" s="26">
        <f t="shared" si="46"/>
        <v>36.700000000000003</v>
      </c>
    </row>
    <row r="534" spans="1:8" ht="27" x14ac:dyDescent="0.3">
      <c r="A534" s="36" t="s">
        <v>95</v>
      </c>
      <c r="B534" s="36" t="s">
        <v>88</v>
      </c>
      <c r="C534" s="48" t="s">
        <v>24</v>
      </c>
      <c r="D534" s="48"/>
      <c r="E534" s="41" t="s">
        <v>36</v>
      </c>
      <c r="F534" s="39">
        <f>F535</f>
        <v>240</v>
      </c>
      <c r="G534" s="39">
        <f>G535</f>
        <v>0</v>
      </c>
      <c r="H534" s="26">
        <f t="shared" si="46"/>
        <v>0</v>
      </c>
    </row>
    <row r="535" spans="1:8" ht="39.6" x14ac:dyDescent="0.3">
      <c r="A535" s="36" t="s">
        <v>95</v>
      </c>
      <c r="B535" s="36" t="s">
        <v>88</v>
      </c>
      <c r="C535" s="48" t="s">
        <v>364</v>
      </c>
      <c r="D535" s="47"/>
      <c r="E535" s="40" t="s">
        <v>273</v>
      </c>
      <c r="F535" s="42">
        <f>F536</f>
        <v>240</v>
      </c>
      <c r="G535" s="42">
        <f>G536</f>
        <v>0</v>
      </c>
      <c r="H535" s="26">
        <f t="shared" si="46"/>
        <v>0</v>
      </c>
    </row>
    <row r="536" spans="1:8" ht="39.6" x14ac:dyDescent="0.3">
      <c r="A536" s="36" t="s">
        <v>95</v>
      </c>
      <c r="B536" s="36" t="s">
        <v>88</v>
      </c>
      <c r="C536" s="48" t="s">
        <v>364</v>
      </c>
      <c r="D536" s="48" t="s">
        <v>213</v>
      </c>
      <c r="E536" s="46" t="s">
        <v>214</v>
      </c>
      <c r="F536" s="42">
        <v>240</v>
      </c>
      <c r="G536" s="26"/>
      <c r="H536" s="26">
        <f t="shared" si="46"/>
        <v>0</v>
      </c>
    </row>
    <row r="537" spans="1:8" x14ac:dyDescent="0.3">
      <c r="A537" s="29" t="s">
        <v>104</v>
      </c>
      <c r="B537" s="72"/>
      <c r="C537" s="72"/>
      <c r="D537" s="72"/>
      <c r="E537" s="73" t="s">
        <v>105</v>
      </c>
      <c r="F537" s="62">
        <f>F538+F543+F556</f>
        <v>56442.600000000006</v>
      </c>
      <c r="G537" s="62">
        <f>G538+G543+G556</f>
        <v>30837</v>
      </c>
      <c r="H537" s="26">
        <f t="shared" si="46"/>
        <v>54.6</v>
      </c>
    </row>
    <row r="538" spans="1:8" x14ac:dyDescent="0.3">
      <c r="A538" s="52" t="s">
        <v>104</v>
      </c>
      <c r="B538" s="52" t="s">
        <v>84</v>
      </c>
      <c r="C538" s="52"/>
      <c r="D538" s="52"/>
      <c r="E538" s="59" t="s">
        <v>106</v>
      </c>
      <c r="F538" s="53">
        <f t="shared" ref="F538:G541" si="48">F539</f>
        <v>1585.3</v>
      </c>
      <c r="G538" s="53">
        <f t="shared" si="48"/>
        <v>1203.3</v>
      </c>
      <c r="H538" s="26">
        <f t="shared" si="46"/>
        <v>75.900000000000006</v>
      </c>
    </row>
    <row r="539" spans="1:8" ht="79.8" x14ac:dyDescent="0.3">
      <c r="A539" s="68" t="s">
        <v>104</v>
      </c>
      <c r="B539" s="68" t="s">
        <v>84</v>
      </c>
      <c r="C539" s="60" t="s">
        <v>33</v>
      </c>
      <c r="D539" s="72"/>
      <c r="E539" s="84" t="s">
        <v>455</v>
      </c>
      <c r="F539" s="62">
        <f t="shared" si="48"/>
        <v>1585.3</v>
      </c>
      <c r="G539" s="62">
        <f t="shared" si="48"/>
        <v>1203.3</v>
      </c>
      <c r="H539" s="26">
        <f t="shared" si="46"/>
        <v>75.900000000000006</v>
      </c>
    </row>
    <row r="540" spans="1:8" ht="27" x14ac:dyDescent="0.3">
      <c r="A540" s="36" t="s">
        <v>104</v>
      </c>
      <c r="B540" s="36" t="s">
        <v>84</v>
      </c>
      <c r="C540" s="63" t="s">
        <v>35</v>
      </c>
      <c r="D540" s="72"/>
      <c r="E540" s="34" t="s">
        <v>78</v>
      </c>
      <c r="F540" s="64">
        <f t="shared" si="48"/>
        <v>1585.3</v>
      </c>
      <c r="G540" s="64">
        <f t="shared" si="48"/>
        <v>1203.3</v>
      </c>
      <c r="H540" s="26">
        <f t="shared" si="46"/>
        <v>75.900000000000006</v>
      </c>
    </row>
    <row r="541" spans="1:8" ht="27" x14ac:dyDescent="0.3">
      <c r="A541" s="36" t="s">
        <v>104</v>
      </c>
      <c r="B541" s="36" t="s">
        <v>84</v>
      </c>
      <c r="C541" s="37">
        <v>1320225100</v>
      </c>
      <c r="D541" s="72"/>
      <c r="E541" s="41" t="s">
        <v>295</v>
      </c>
      <c r="F541" s="39">
        <f t="shared" si="48"/>
        <v>1585.3</v>
      </c>
      <c r="G541" s="39">
        <f t="shared" si="48"/>
        <v>1203.3</v>
      </c>
      <c r="H541" s="26">
        <f t="shared" si="46"/>
        <v>75.900000000000006</v>
      </c>
    </row>
    <row r="542" spans="1:8" ht="26.4" x14ac:dyDescent="0.3">
      <c r="A542" s="36" t="s">
        <v>104</v>
      </c>
      <c r="B542" s="36" t="s">
        <v>84</v>
      </c>
      <c r="C542" s="37">
        <v>1320225100</v>
      </c>
      <c r="D542" s="48" t="s">
        <v>252</v>
      </c>
      <c r="E542" s="46" t="s">
        <v>253</v>
      </c>
      <c r="F542" s="42">
        <v>1585.3</v>
      </c>
      <c r="G542" s="26">
        <v>1203.3</v>
      </c>
      <c r="H542" s="26">
        <f t="shared" si="46"/>
        <v>75.900000000000006</v>
      </c>
    </row>
    <row r="543" spans="1:8" x14ac:dyDescent="0.3">
      <c r="A543" s="52" t="s">
        <v>104</v>
      </c>
      <c r="B543" s="52" t="s">
        <v>87</v>
      </c>
      <c r="C543" s="52"/>
      <c r="D543" s="52"/>
      <c r="E543" s="59" t="s">
        <v>109</v>
      </c>
      <c r="F543" s="53">
        <f>F544+F548+F552</f>
        <v>1890</v>
      </c>
      <c r="G543" s="53">
        <f>G544+G548+G552</f>
        <v>738.6</v>
      </c>
      <c r="H543" s="26">
        <f t="shared" si="46"/>
        <v>39.1</v>
      </c>
    </row>
    <row r="544" spans="1:8" ht="66.599999999999994" x14ac:dyDescent="0.3">
      <c r="A544" s="68" t="s">
        <v>104</v>
      </c>
      <c r="B544" s="68" t="s">
        <v>87</v>
      </c>
      <c r="C544" s="47" t="s">
        <v>72</v>
      </c>
      <c r="D544" s="52"/>
      <c r="E544" s="76" t="s">
        <v>385</v>
      </c>
      <c r="F544" s="106">
        <f t="shared" ref="F544:G545" si="49">F545</f>
        <v>1152</v>
      </c>
      <c r="G544" s="106">
        <f t="shared" si="49"/>
        <v>438.6</v>
      </c>
      <c r="H544" s="26">
        <f t="shared" si="46"/>
        <v>38.1</v>
      </c>
    </row>
    <row r="545" spans="1:8" ht="27" x14ac:dyDescent="0.3">
      <c r="A545" s="36" t="s">
        <v>104</v>
      </c>
      <c r="B545" s="36" t="s">
        <v>87</v>
      </c>
      <c r="C545" s="63" t="s">
        <v>420</v>
      </c>
      <c r="D545" s="48"/>
      <c r="E545" s="34" t="s">
        <v>421</v>
      </c>
      <c r="F545" s="82">
        <f t="shared" si="49"/>
        <v>1152</v>
      </c>
      <c r="G545" s="82">
        <f t="shared" si="49"/>
        <v>438.6</v>
      </c>
      <c r="H545" s="26">
        <f t="shared" si="46"/>
        <v>38.1</v>
      </c>
    </row>
    <row r="546" spans="1:8" ht="92.4" x14ac:dyDescent="0.3">
      <c r="A546" s="36" t="s">
        <v>104</v>
      </c>
      <c r="B546" s="36" t="s">
        <v>87</v>
      </c>
      <c r="C546" s="111">
        <v>140210560</v>
      </c>
      <c r="D546" s="48"/>
      <c r="E546" s="46" t="s">
        <v>163</v>
      </c>
      <c r="F546" s="39">
        <f>F547</f>
        <v>1152</v>
      </c>
      <c r="G546" s="39">
        <f>G547</f>
        <v>438.6</v>
      </c>
      <c r="H546" s="26">
        <f t="shared" si="46"/>
        <v>38.1</v>
      </c>
    </row>
    <row r="547" spans="1:8" ht="26.4" x14ac:dyDescent="0.3">
      <c r="A547" s="36" t="s">
        <v>104</v>
      </c>
      <c r="B547" s="36" t="s">
        <v>87</v>
      </c>
      <c r="C547" s="111">
        <v>140210560</v>
      </c>
      <c r="D547" s="48" t="s">
        <v>252</v>
      </c>
      <c r="E547" s="46" t="s">
        <v>253</v>
      </c>
      <c r="F547" s="42">
        <v>1152</v>
      </c>
      <c r="G547" s="26">
        <v>438.6</v>
      </c>
      <c r="H547" s="26">
        <f t="shared" si="46"/>
        <v>38.1</v>
      </c>
    </row>
    <row r="548" spans="1:8" ht="79.8" x14ac:dyDescent="0.3">
      <c r="A548" s="68" t="s">
        <v>104</v>
      </c>
      <c r="B548" s="68" t="s">
        <v>87</v>
      </c>
      <c r="C548" s="60" t="s">
        <v>33</v>
      </c>
      <c r="D548" s="72"/>
      <c r="E548" s="84" t="s">
        <v>455</v>
      </c>
      <c r="F548" s="77">
        <f t="shared" ref="F548:G549" si="50">F549</f>
        <v>688</v>
      </c>
      <c r="G548" s="77">
        <f t="shared" si="50"/>
        <v>250</v>
      </c>
      <c r="H548" s="26">
        <f t="shared" si="46"/>
        <v>36.299999999999997</v>
      </c>
    </row>
    <row r="549" spans="1:8" ht="27" x14ac:dyDescent="0.3">
      <c r="A549" s="71" t="s">
        <v>104</v>
      </c>
      <c r="B549" s="71" t="s">
        <v>87</v>
      </c>
      <c r="C549" s="63" t="s">
        <v>35</v>
      </c>
      <c r="D549" s="36"/>
      <c r="E549" s="34" t="s">
        <v>78</v>
      </c>
      <c r="F549" s="64">
        <f>F550</f>
        <v>688</v>
      </c>
      <c r="G549" s="64">
        <f t="shared" si="50"/>
        <v>250</v>
      </c>
      <c r="H549" s="26">
        <f t="shared" si="46"/>
        <v>36.299999999999997</v>
      </c>
    </row>
    <row r="550" spans="1:8" ht="52.8" x14ac:dyDescent="0.3">
      <c r="A550" s="36" t="s">
        <v>104</v>
      </c>
      <c r="B550" s="36" t="s">
        <v>87</v>
      </c>
      <c r="C550" s="37">
        <v>1320127100</v>
      </c>
      <c r="D550" s="36"/>
      <c r="E550" s="46" t="s">
        <v>7</v>
      </c>
      <c r="F550" s="39">
        <f t="shared" ref="F550:G550" si="51">F551</f>
        <v>688</v>
      </c>
      <c r="G550" s="39">
        <f t="shared" si="51"/>
        <v>250</v>
      </c>
      <c r="H550" s="26">
        <f t="shared" si="46"/>
        <v>36.299999999999997</v>
      </c>
    </row>
    <row r="551" spans="1:8" ht="66.599999999999994" x14ac:dyDescent="0.3">
      <c r="A551" s="36" t="s">
        <v>104</v>
      </c>
      <c r="B551" s="36" t="s">
        <v>87</v>
      </c>
      <c r="C551" s="37">
        <v>1320127100</v>
      </c>
      <c r="D551" s="36" t="s">
        <v>256</v>
      </c>
      <c r="E551" s="41" t="s">
        <v>296</v>
      </c>
      <c r="F551" s="39">
        <v>688</v>
      </c>
      <c r="G551" s="26">
        <v>250</v>
      </c>
      <c r="H551" s="26">
        <f t="shared" si="46"/>
        <v>36.299999999999997</v>
      </c>
    </row>
    <row r="552" spans="1:8" ht="26.4" x14ac:dyDescent="0.3">
      <c r="A552" s="68" t="s">
        <v>104</v>
      </c>
      <c r="B552" s="68" t="s">
        <v>87</v>
      </c>
      <c r="C552" s="69">
        <v>9900000000</v>
      </c>
      <c r="D552" s="68"/>
      <c r="E552" s="70" t="s">
        <v>126</v>
      </c>
      <c r="F552" s="102">
        <f>F553</f>
        <v>50</v>
      </c>
      <c r="G552" s="102">
        <f>G553</f>
        <v>50</v>
      </c>
      <c r="H552" s="26">
        <f t="shared" si="46"/>
        <v>100</v>
      </c>
    </row>
    <row r="553" spans="1:8" x14ac:dyDescent="0.3">
      <c r="A553" s="36" t="s">
        <v>104</v>
      </c>
      <c r="B553" s="36" t="s">
        <v>87</v>
      </c>
      <c r="C553" s="37">
        <v>9920000000</v>
      </c>
      <c r="D553" s="52"/>
      <c r="E553" s="57" t="s">
        <v>9</v>
      </c>
      <c r="F553" s="56">
        <f t="shared" ref="F553:G554" si="52">F554</f>
        <v>50</v>
      </c>
      <c r="G553" s="56">
        <f t="shared" si="52"/>
        <v>50</v>
      </c>
      <c r="H553" s="26">
        <f t="shared" si="46"/>
        <v>100</v>
      </c>
    </row>
    <row r="554" spans="1:8" ht="22.5" customHeight="1" x14ac:dyDescent="0.3">
      <c r="A554" s="36" t="s">
        <v>104</v>
      </c>
      <c r="B554" s="36" t="s">
        <v>87</v>
      </c>
      <c r="C554" s="37">
        <v>9920026100</v>
      </c>
      <c r="D554" s="47"/>
      <c r="E554" s="41" t="s">
        <v>14</v>
      </c>
      <c r="F554" s="42">
        <f t="shared" si="52"/>
        <v>50</v>
      </c>
      <c r="G554" s="42">
        <f t="shared" si="52"/>
        <v>50</v>
      </c>
      <c r="H554" s="26">
        <f t="shared" si="46"/>
        <v>100</v>
      </c>
    </row>
    <row r="555" spans="1:8" x14ac:dyDescent="0.3">
      <c r="A555" s="36" t="s">
        <v>104</v>
      </c>
      <c r="B555" s="36" t="s">
        <v>87</v>
      </c>
      <c r="C555" s="37">
        <v>9920026100</v>
      </c>
      <c r="D555" s="48" t="s">
        <v>79</v>
      </c>
      <c r="E555" s="46" t="s">
        <v>80</v>
      </c>
      <c r="F555" s="42">
        <v>50</v>
      </c>
      <c r="G555" s="26">
        <v>50</v>
      </c>
      <c r="H555" s="26">
        <f t="shared" si="46"/>
        <v>100</v>
      </c>
    </row>
    <row r="556" spans="1:8" x14ac:dyDescent="0.3">
      <c r="A556" s="52" t="s">
        <v>104</v>
      </c>
      <c r="B556" s="52" t="s">
        <v>88</v>
      </c>
      <c r="C556" s="52"/>
      <c r="D556" s="120"/>
      <c r="E556" s="86" t="s">
        <v>15</v>
      </c>
      <c r="F556" s="53">
        <f t="shared" ref="F556:G556" si="53">F557+F562</f>
        <v>52967.3</v>
      </c>
      <c r="G556" s="53">
        <f t="shared" si="53"/>
        <v>28895.1</v>
      </c>
      <c r="H556" s="26">
        <f t="shared" si="46"/>
        <v>54.6</v>
      </c>
    </row>
    <row r="557" spans="1:8" ht="66.599999999999994" x14ac:dyDescent="0.3">
      <c r="A557" s="36" t="s">
        <v>104</v>
      </c>
      <c r="B557" s="36" t="s">
        <v>88</v>
      </c>
      <c r="C557" s="47" t="s">
        <v>72</v>
      </c>
      <c r="D557" s="52"/>
      <c r="E557" s="76" t="s">
        <v>385</v>
      </c>
      <c r="F557" s="62">
        <f t="shared" ref="F557:G558" si="54">F558</f>
        <v>13068.1</v>
      </c>
      <c r="G557" s="62">
        <f t="shared" si="54"/>
        <v>3635.2999999999997</v>
      </c>
      <c r="H557" s="26">
        <f t="shared" si="46"/>
        <v>27.8</v>
      </c>
    </row>
    <row r="558" spans="1:8" ht="27" x14ac:dyDescent="0.3">
      <c r="A558" s="36" t="s">
        <v>104</v>
      </c>
      <c r="B558" s="36" t="s">
        <v>88</v>
      </c>
      <c r="C558" s="63" t="s">
        <v>73</v>
      </c>
      <c r="D558" s="52"/>
      <c r="E558" s="34" t="s">
        <v>386</v>
      </c>
      <c r="F558" s="64">
        <f t="shared" si="54"/>
        <v>13068.1</v>
      </c>
      <c r="G558" s="64">
        <f t="shared" si="54"/>
        <v>3635.2999999999997</v>
      </c>
      <c r="H558" s="26">
        <f t="shared" si="46"/>
        <v>27.8</v>
      </c>
    </row>
    <row r="559" spans="1:8" ht="79.2" x14ac:dyDescent="0.3">
      <c r="A559" s="36" t="s">
        <v>104</v>
      </c>
      <c r="B559" s="36" t="s">
        <v>88</v>
      </c>
      <c r="C559" s="105" t="s">
        <v>456</v>
      </c>
      <c r="D559" s="47"/>
      <c r="E559" s="46" t="s">
        <v>457</v>
      </c>
      <c r="F559" s="56">
        <f>F560+F561</f>
        <v>13068.1</v>
      </c>
      <c r="G559" s="56">
        <f>G560+G561</f>
        <v>3635.2999999999997</v>
      </c>
      <c r="H559" s="26">
        <f t="shared" si="46"/>
        <v>27.8</v>
      </c>
    </row>
    <row r="560" spans="1:8" ht="39.6" x14ac:dyDescent="0.3">
      <c r="A560" s="36" t="s">
        <v>104</v>
      </c>
      <c r="B560" s="36" t="s">
        <v>88</v>
      </c>
      <c r="C560" s="105" t="s">
        <v>456</v>
      </c>
      <c r="D560" s="48" t="s">
        <v>213</v>
      </c>
      <c r="E560" s="46" t="s">
        <v>214</v>
      </c>
      <c r="F560" s="56">
        <v>330</v>
      </c>
      <c r="G560" s="26">
        <v>104.6</v>
      </c>
      <c r="H560" s="26">
        <f t="shared" si="46"/>
        <v>31.7</v>
      </c>
    </row>
    <row r="561" spans="1:8" ht="39.6" x14ac:dyDescent="0.3">
      <c r="A561" s="36" t="s">
        <v>104</v>
      </c>
      <c r="B561" s="36" t="s">
        <v>88</v>
      </c>
      <c r="C561" s="105" t="s">
        <v>456</v>
      </c>
      <c r="D561" s="48" t="s">
        <v>238</v>
      </c>
      <c r="E561" s="46" t="s">
        <v>239</v>
      </c>
      <c r="F561" s="56">
        <v>12738.1</v>
      </c>
      <c r="G561" s="26">
        <v>3530.7</v>
      </c>
      <c r="H561" s="26">
        <f t="shared" si="46"/>
        <v>27.7</v>
      </c>
    </row>
    <row r="562" spans="1:8" ht="79.8" x14ac:dyDescent="0.3">
      <c r="A562" s="68" t="s">
        <v>104</v>
      </c>
      <c r="B562" s="68" t="s">
        <v>88</v>
      </c>
      <c r="C562" s="60" t="s">
        <v>33</v>
      </c>
      <c r="D562" s="72"/>
      <c r="E562" s="84" t="s">
        <v>455</v>
      </c>
      <c r="F562" s="77">
        <f t="shared" ref="F562:G562" si="55">F563</f>
        <v>39899.200000000004</v>
      </c>
      <c r="G562" s="77">
        <f t="shared" si="55"/>
        <v>25259.8</v>
      </c>
      <c r="H562" s="26">
        <f t="shared" si="46"/>
        <v>63.3</v>
      </c>
    </row>
    <row r="563" spans="1:8" ht="27" x14ac:dyDescent="0.3">
      <c r="A563" s="71" t="s">
        <v>104</v>
      </c>
      <c r="B563" s="71" t="s">
        <v>88</v>
      </c>
      <c r="C563" s="63" t="s">
        <v>34</v>
      </c>
      <c r="D563" s="52"/>
      <c r="E563" s="34" t="s">
        <v>81</v>
      </c>
      <c r="F563" s="64">
        <f>F564+F566+F568+F570+F572</f>
        <v>39899.200000000004</v>
      </c>
      <c r="G563" s="64">
        <f>G564+G566+G568+G570+G572</f>
        <v>25259.8</v>
      </c>
      <c r="H563" s="26">
        <f t="shared" si="46"/>
        <v>63.3</v>
      </c>
    </row>
    <row r="564" spans="1:8" ht="40.200000000000003" x14ac:dyDescent="0.3">
      <c r="A564" s="36" t="s">
        <v>104</v>
      </c>
      <c r="B564" s="36" t="s">
        <v>88</v>
      </c>
      <c r="C564" s="47" t="s">
        <v>254</v>
      </c>
      <c r="D564" s="72"/>
      <c r="E564" s="121" t="s">
        <v>182</v>
      </c>
      <c r="F564" s="39">
        <f t="shared" ref="F564:G564" si="56">F565</f>
        <v>686.2</v>
      </c>
      <c r="G564" s="39">
        <f t="shared" si="56"/>
        <v>0</v>
      </c>
      <c r="H564" s="26">
        <f t="shared" si="46"/>
        <v>0</v>
      </c>
    </row>
    <row r="565" spans="1:8" x14ac:dyDescent="0.3">
      <c r="A565" s="36" t="s">
        <v>104</v>
      </c>
      <c r="B565" s="36" t="s">
        <v>88</v>
      </c>
      <c r="C565" s="47" t="s">
        <v>254</v>
      </c>
      <c r="D565" s="48" t="s">
        <v>240</v>
      </c>
      <c r="E565" s="50" t="s">
        <v>255</v>
      </c>
      <c r="F565" s="39">
        <v>686.2</v>
      </c>
      <c r="G565" s="26">
        <v>0</v>
      </c>
      <c r="H565" s="26">
        <f t="shared" si="46"/>
        <v>0</v>
      </c>
    </row>
    <row r="566" spans="1:8" ht="40.200000000000003" x14ac:dyDescent="0.3">
      <c r="A566" s="36" t="s">
        <v>104</v>
      </c>
      <c r="B566" s="36" t="s">
        <v>88</v>
      </c>
      <c r="C566" s="47" t="s">
        <v>458</v>
      </c>
      <c r="D566" s="48"/>
      <c r="E566" s="89" t="s">
        <v>459</v>
      </c>
      <c r="F566" s="39">
        <f>F567</f>
        <v>2744.9</v>
      </c>
      <c r="G566" s="39">
        <f>G567</f>
        <v>0</v>
      </c>
      <c r="H566" s="26">
        <f t="shared" si="46"/>
        <v>0</v>
      </c>
    </row>
    <row r="567" spans="1:8" x14ac:dyDescent="0.3">
      <c r="A567" s="36" t="s">
        <v>104</v>
      </c>
      <c r="B567" s="36" t="s">
        <v>88</v>
      </c>
      <c r="C567" s="47" t="s">
        <v>458</v>
      </c>
      <c r="D567" s="48" t="s">
        <v>240</v>
      </c>
      <c r="E567" s="50" t="s">
        <v>255</v>
      </c>
      <c r="F567" s="39">
        <v>2744.9</v>
      </c>
      <c r="G567" s="26">
        <v>0</v>
      </c>
      <c r="H567" s="26">
        <f t="shared" si="46"/>
        <v>0</v>
      </c>
    </row>
    <row r="568" spans="1:8" ht="52.8" x14ac:dyDescent="0.3">
      <c r="A568" s="36" t="s">
        <v>104</v>
      </c>
      <c r="B568" s="36" t="s">
        <v>88</v>
      </c>
      <c r="C568" s="37">
        <v>1310210820</v>
      </c>
      <c r="D568" s="36"/>
      <c r="E568" s="46" t="s">
        <v>149</v>
      </c>
      <c r="F568" s="42">
        <f>F569</f>
        <v>14410.7</v>
      </c>
      <c r="G568" s="42">
        <f>G569</f>
        <v>3202.4</v>
      </c>
      <c r="H568" s="26">
        <f t="shared" si="46"/>
        <v>22.2</v>
      </c>
    </row>
    <row r="569" spans="1:8" x14ac:dyDescent="0.3">
      <c r="A569" s="36" t="s">
        <v>104</v>
      </c>
      <c r="B569" s="36" t="s">
        <v>88</v>
      </c>
      <c r="C569" s="37">
        <v>1310210820</v>
      </c>
      <c r="D569" s="48" t="s">
        <v>240</v>
      </c>
      <c r="E569" s="50" t="s">
        <v>255</v>
      </c>
      <c r="F569" s="42">
        <f>4803.6+9607.1</f>
        <v>14410.7</v>
      </c>
      <c r="G569" s="26">
        <v>3202.4</v>
      </c>
      <c r="H569" s="26">
        <f t="shared" si="46"/>
        <v>22.2</v>
      </c>
    </row>
    <row r="570" spans="1:8" ht="39.6" x14ac:dyDescent="0.3">
      <c r="A570" s="36" t="s">
        <v>104</v>
      </c>
      <c r="B570" s="36" t="s">
        <v>88</v>
      </c>
      <c r="C570" s="37" t="s">
        <v>280</v>
      </c>
      <c r="D570" s="36"/>
      <c r="E570" s="46" t="s">
        <v>257</v>
      </c>
      <c r="F570" s="42">
        <f>F571</f>
        <v>8005.9</v>
      </c>
      <c r="G570" s="42">
        <f>G571</f>
        <v>8005.9</v>
      </c>
      <c r="H570" s="26">
        <f t="shared" si="46"/>
        <v>100</v>
      </c>
    </row>
    <row r="571" spans="1:8" x14ac:dyDescent="0.3">
      <c r="A571" s="36" t="s">
        <v>104</v>
      </c>
      <c r="B571" s="36" t="s">
        <v>88</v>
      </c>
      <c r="C571" s="37" t="s">
        <v>280</v>
      </c>
      <c r="D571" s="48" t="s">
        <v>240</v>
      </c>
      <c r="E571" s="50" t="s">
        <v>255</v>
      </c>
      <c r="F571" s="42">
        <f>17613-9607.1</f>
        <v>8005.9</v>
      </c>
      <c r="G571" s="42">
        <f>17613-9607.1</f>
        <v>8005.9</v>
      </c>
      <c r="H571" s="26">
        <f t="shared" si="46"/>
        <v>100</v>
      </c>
    </row>
    <row r="572" spans="1:8" ht="52.8" x14ac:dyDescent="0.3">
      <c r="A572" s="36" t="s">
        <v>104</v>
      </c>
      <c r="B572" s="36" t="s">
        <v>88</v>
      </c>
      <c r="C572" s="67" t="s">
        <v>278</v>
      </c>
      <c r="D572" s="36"/>
      <c r="E572" s="46" t="s">
        <v>279</v>
      </c>
      <c r="F572" s="56">
        <f t="shared" ref="F572:G572" si="57">F573</f>
        <v>14051.5</v>
      </c>
      <c r="G572" s="56">
        <f t="shared" si="57"/>
        <v>14051.5</v>
      </c>
      <c r="H572" s="26">
        <f t="shared" si="46"/>
        <v>100</v>
      </c>
    </row>
    <row r="573" spans="1:8" ht="39.6" x14ac:dyDescent="0.3">
      <c r="A573" s="36" t="s">
        <v>104</v>
      </c>
      <c r="B573" s="36" t="s">
        <v>88</v>
      </c>
      <c r="C573" s="67" t="s">
        <v>278</v>
      </c>
      <c r="D573" s="48" t="s">
        <v>238</v>
      </c>
      <c r="E573" s="46" t="s">
        <v>239</v>
      </c>
      <c r="F573" s="56">
        <f>2810.3+11241.2</f>
        <v>14051.5</v>
      </c>
      <c r="G573" s="26">
        <v>14051.5</v>
      </c>
      <c r="H573" s="26">
        <f t="shared" si="46"/>
        <v>100</v>
      </c>
    </row>
    <row r="574" spans="1:8" x14ac:dyDescent="0.3">
      <c r="A574" s="29" t="s">
        <v>96</v>
      </c>
      <c r="B574" s="72"/>
      <c r="C574" s="72"/>
      <c r="D574" s="72"/>
      <c r="E574" s="73" t="s">
        <v>114</v>
      </c>
      <c r="F574" s="32">
        <f t="shared" ref="F574:G576" si="58">F575</f>
        <v>5986</v>
      </c>
      <c r="G574" s="32">
        <f t="shared" si="58"/>
        <v>5579.5</v>
      </c>
      <c r="H574" s="26">
        <f t="shared" si="46"/>
        <v>93.2</v>
      </c>
    </row>
    <row r="575" spans="1:8" x14ac:dyDescent="0.3">
      <c r="A575" s="52" t="s">
        <v>96</v>
      </c>
      <c r="B575" s="52" t="s">
        <v>85</v>
      </c>
      <c r="C575" s="52"/>
      <c r="D575" s="52"/>
      <c r="E575" s="34" t="s">
        <v>10</v>
      </c>
      <c r="F575" s="53">
        <f t="shared" si="58"/>
        <v>5986</v>
      </c>
      <c r="G575" s="53">
        <f t="shared" si="58"/>
        <v>5579.5</v>
      </c>
      <c r="H575" s="26">
        <f t="shared" si="46"/>
        <v>93.2</v>
      </c>
    </row>
    <row r="576" spans="1:8" ht="79.8" x14ac:dyDescent="0.3">
      <c r="A576" s="36" t="s">
        <v>96</v>
      </c>
      <c r="B576" s="36" t="s">
        <v>85</v>
      </c>
      <c r="C576" s="60" t="s">
        <v>58</v>
      </c>
      <c r="D576" s="52"/>
      <c r="E576" s="80" t="s">
        <v>424</v>
      </c>
      <c r="F576" s="102">
        <f t="shared" si="58"/>
        <v>5986</v>
      </c>
      <c r="G576" s="102">
        <f t="shared" si="58"/>
        <v>5579.5</v>
      </c>
      <c r="H576" s="26">
        <f t="shared" si="46"/>
        <v>93.2</v>
      </c>
    </row>
    <row r="577" spans="1:8" ht="27" x14ac:dyDescent="0.3">
      <c r="A577" s="71" t="s">
        <v>96</v>
      </c>
      <c r="B577" s="71" t="s">
        <v>85</v>
      </c>
      <c r="C577" s="63" t="s">
        <v>41</v>
      </c>
      <c r="D577" s="52"/>
      <c r="E577" s="44" t="s">
        <v>181</v>
      </c>
      <c r="F577" s="82">
        <f>F578+F581+F584+F586+F588</f>
        <v>5986</v>
      </c>
      <c r="G577" s="82">
        <f>G578+G581+G584+G586+G588</f>
        <v>5579.5</v>
      </c>
      <c r="H577" s="26">
        <f t="shared" si="46"/>
        <v>93.2</v>
      </c>
    </row>
    <row r="578" spans="1:8" ht="79.8" x14ac:dyDescent="0.3">
      <c r="A578" s="36" t="s">
        <v>96</v>
      </c>
      <c r="B578" s="36" t="s">
        <v>85</v>
      </c>
      <c r="C578" s="47" t="s">
        <v>460</v>
      </c>
      <c r="D578" s="47"/>
      <c r="E578" s="41" t="s">
        <v>157</v>
      </c>
      <c r="F578" s="42">
        <f>SUM(F579:F580)</f>
        <v>543.70000000000005</v>
      </c>
      <c r="G578" s="42">
        <f>SUM(G579:G580)</f>
        <v>208.39999999999998</v>
      </c>
      <c r="H578" s="26">
        <f t="shared" si="46"/>
        <v>38.299999999999997</v>
      </c>
    </row>
    <row r="579" spans="1:8" ht="26.4" x14ac:dyDescent="0.3">
      <c r="A579" s="36" t="s">
        <v>96</v>
      </c>
      <c r="B579" s="36" t="s">
        <v>85</v>
      </c>
      <c r="C579" s="47" t="s">
        <v>460</v>
      </c>
      <c r="D579" s="48" t="s">
        <v>63</v>
      </c>
      <c r="E579" s="38" t="s">
        <v>118</v>
      </c>
      <c r="F579" s="42">
        <v>130</v>
      </c>
      <c r="G579" s="26">
        <v>58.2</v>
      </c>
      <c r="H579" s="26">
        <f t="shared" si="46"/>
        <v>44.8</v>
      </c>
    </row>
    <row r="580" spans="1:8" ht="39.6" x14ac:dyDescent="0.3">
      <c r="A580" s="36" t="s">
        <v>96</v>
      </c>
      <c r="B580" s="36" t="s">
        <v>85</v>
      </c>
      <c r="C580" s="47" t="s">
        <v>460</v>
      </c>
      <c r="D580" s="48" t="s">
        <v>213</v>
      </c>
      <c r="E580" s="46" t="s">
        <v>214</v>
      </c>
      <c r="F580" s="42">
        <f>543.7-130</f>
        <v>413.70000000000005</v>
      </c>
      <c r="G580" s="26">
        <v>150.19999999999999</v>
      </c>
      <c r="H580" s="26">
        <f t="shared" si="46"/>
        <v>36.299999999999997</v>
      </c>
    </row>
    <row r="581" spans="1:8" ht="53.4" x14ac:dyDescent="0.3">
      <c r="A581" s="36" t="s">
        <v>96</v>
      </c>
      <c r="B581" s="36" t="s">
        <v>85</v>
      </c>
      <c r="C581" s="47" t="s">
        <v>461</v>
      </c>
      <c r="D581" s="47"/>
      <c r="E581" s="41" t="s">
        <v>60</v>
      </c>
      <c r="F581" s="42">
        <f>SUM(F582:F583)</f>
        <v>90.6</v>
      </c>
      <c r="G581" s="42">
        <f>SUM(G582:G583)</f>
        <v>19.399999999999999</v>
      </c>
      <c r="H581" s="26">
        <f t="shared" si="46"/>
        <v>21.4</v>
      </c>
    </row>
    <row r="582" spans="1:8" ht="26.4" x14ac:dyDescent="0.3">
      <c r="A582" s="36" t="s">
        <v>96</v>
      </c>
      <c r="B582" s="36" t="s">
        <v>85</v>
      </c>
      <c r="C582" s="47" t="s">
        <v>461</v>
      </c>
      <c r="D582" s="48" t="s">
        <v>63</v>
      </c>
      <c r="E582" s="38" t="s">
        <v>118</v>
      </c>
      <c r="F582" s="42">
        <v>39.6</v>
      </c>
      <c r="G582" s="26">
        <v>13.7</v>
      </c>
      <c r="H582" s="26">
        <f t="shared" si="46"/>
        <v>34.6</v>
      </c>
    </row>
    <row r="583" spans="1:8" ht="39.6" x14ac:dyDescent="0.3">
      <c r="A583" s="36" t="s">
        <v>96</v>
      </c>
      <c r="B583" s="36" t="s">
        <v>85</v>
      </c>
      <c r="C583" s="47" t="s">
        <v>461</v>
      </c>
      <c r="D583" s="48" t="s">
        <v>213</v>
      </c>
      <c r="E583" s="46" t="s">
        <v>214</v>
      </c>
      <c r="F583" s="42">
        <v>51</v>
      </c>
      <c r="G583" s="26">
        <v>5.7</v>
      </c>
      <c r="H583" s="26">
        <f t="shared" si="46"/>
        <v>11.2</v>
      </c>
    </row>
    <row r="584" spans="1:8" ht="26.4" x14ac:dyDescent="0.3">
      <c r="A584" s="36" t="s">
        <v>96</v>
      </c>
      <c r="B584" s="36" t="s">
        <v>85</v>
      </c>
      <c r="C584" s="47" t="s">
        <v>462</v>
      </c>
      <c r="D584" s="48"/>
      <c r="E584" s="46" t="s">
        <v>463</v>
      </c>
      <c r="F584" s="42">
        <f>F585</f>
        <v>5101.7</v>
      </c>
      <c r="G584" s="42">
        <f>G585</f>
        <v>5101.7</v>
      </c>
      <c r="H584" s="26">
        <f t="shared" si="46"/>
        <v>100</v>
      </c>
    </row>
    <row r="585" spans="1:8" ht="39.6" x14ac:dyDescent="0.3">
      <c r="A585" s="36" t="s">
        <v>96</v>
      </c>
      <c r="B585" s="36" t="s">
        <v>85</v>
      </c>
      <c r="C585" s="47" t="s">
        <v>462</v>
      </c>
      <c r="D585" s="48" t="s">
        <v>213</v>
      </c>
      <c r="E585" s="46" t="s">
        <v>214</v>
      </c>
      <c r="F585" s="42">
        <v>5101.7</v>
      </c>
      <c r="G585" s="42">
        <v>5101.7</v>
      </c>
      <c r="H585" s="26">
        <f t="shared" si="46"/>
        <v>100</v>
      </c>
    </row>
    <row r="586" spans="1:8" ht="52.8" x14ac:dyDescent="0.3">
      <c r="A586" s="36" t="s">
        <v>96</v>
      </c>
      <c r="B586" s="36" t="s">
        <v>85</v>
      </c>
      <c r="C586" s="47" t="s">
        <v>535</v>
      </c>
      <c r="D586" s="48"/>
      <c r="E586" s="46" t="s">
        <v>536</v>
      </c>
      <c r="F586" s="42">
        <f t="shared" ref="F586:G586" si="59">F587</f>
        <v>50</v>
      </c>
      <c r="G586" s="42">
        <f t="shared" si="59"/>
        <v>50</v>
      </c>
      <c r="H586" s="26">
        <f t="shared" si="46"/>
        <v>100</v>
      </c>
    </row>
    <row r="587" spans="1:8" ht="39.6" x14ac:dyDescent="0.3">
      <c r="A587" s="36" t="s">
        <v>96</v>
      </c>
      <c r="B587" s="36" t="s">
        <v>85</v>
      </c>
      <c r="C587" s="47" t="s">
        <v>535</v>
      </c>
      <c r="D587" s="48" t="s">
        <v>213</v>
      </c>
      <c r="E587" s="46" t="s">
        <v>214</v>
      </c>
      <c r="F587" s="42">
        <v>50</v>
      </c>
      <c r="G587" s="26">
        <v>50</v>
      </c>
      <c r="H587" s="26">
        <f t="shared" si="46"/>
        <v>100</v>
      </c>
    </row>
    <row r="588" spans="1:8" ht="39.6" x14ac:dyDescent="0.3">
      <c r="A588" s="36" t="s">
        <v>96</v>
      </c>
      <c r="B588" s="36" t="s">
        <v>85</v>
      </c>
      <c r="C588" s="47" t="s">
        <v>537</v>
      </c>
      <c r="D588" s="48"/>
      <c r="E588" s="46" t="s">
        <v>538</v>
      </c>
      <c r="F588" s="42">
        <f>F589</f>
        <v>200</v>
      </c>
      <c r="G588" s="42">
        <f>G589</f>
        <v>200</v>
      </c>
      <c r="H588" s="26">
        <f t="shared" si="46"/>
        <v>100</v>
      </c>
    </row>
    <row r="589" spans="1:8" ht="39.6" x14ac:dyDescent="0.3">
      <c r="A589" s="36" t="s">
        <v>96</v>
      </c>
      <c r="B589" s="36" t="s">
        <v>85</v>
      </c>
      <c r="C589" s="47" t="s">
        <v>537</v>
      </c>
      <c r="D589" s="48" t="s">
        <v>213</v>
      </c>
      <c r="E589" s="46" t="s">
        <v>214</v>
      </c>
      <c r="F589" s="42">
        <v>200</v>
      </c>
      <c r="G589" s="26">
        <v>200</v>
      </c>
      <c r="H589" s="26">
        <f t="shared" si="46"/>
        <v>100</v>
      </c>
    </row>
    <row r="590" spans="1:8" x14ac:dyDescent="0.3">
      <c r="A590" s="29" t="s">
        <v>113</v>
      </c>
      <c r="B590" s="72"/>
      <c r="C590" s="72"/>
      <c r="D590" s="72"/>
      <c r="E590" s="73" t="s">
        <v>12</v>
      </c>
      <c r="F590" s="32">
        <f t="shared" ref="F590:G592" si="60">F591</f>
        <v>3836.5</v>
      </c>
      <c r="G590" s="32">
        <f t="shared" si="60"/>
        <v>1872.6000000000001</v>
      </c>
      <c r="H590" s="26">
        <f t="shared" si="46"/>
        <v>48.8</v>
      </c>
    </row>
    <row r="591" spans="1:8" ht="28.8" x14ac:dyDescent="0.3">
      <c r="A591" s="52" t="s">
        <v>113</v>
      </c>
      <c r="B591" s="52" t="s">
        <v>88</v>
      </c>
      <c r="C591" s="52"/>
      <c r="D591" s="52"/>
      <c r="E591" s="86" t="s">
        <v>16</v>
      </c>
      <c r="F591" s="35">
        <f t="shared" si="60"/>
        <v>3836.5</v>
      </c>
      <c r="G591" s="35">
        <f t="shared" si="60"/>
        <v>1872.6000000000001</v>
      </c>
      <c r="H591" s="26">
        <f t="shared" si="46"/>
        <v>48.8</v>
      </c>
    </row>
    <row r="592" spans="1:8" ht="93" x14ac:dyDescent="0.3">
      <c r="A592" s="36" t="s">
        <v>113</v>
      </c>
      <c r="B592" s="36" t="s">
        <v>88</v>
      </c>
      <c r="C592" s="67">
        <v>400000000</v>
      </c>
      <c r="D592" s="33"/>
      <c r="E592" s="84" t="s">
        <v>323</v>
      </c>
      <c r="F592" s="62">
        <f t="shared" si="60"/>
        <v>3836.5</v>
      </c>
      <c r="G592" s="62">
        <f t="shared" si="60"/>
        <v>1872.6000000000001</v>
      </c>
      <c r="H592" s="26">
        <f t="shared" si="46"/>
        <v>48.8</v>
      </c>
    </row>
    <row r="593" spans="1:8" ht="53.4" x14ac:dyDescent="0.3">
      <c r="A593" s="36" t="s">
        <v>113</v>
      </c>
      <c r="B593" s="36" t="s">
        <v>88</v>
      </c>
      <c r="C593" s="85">
        <v>420000000</v>
      </c>
      <c r="D593" s="33"/>
      <c r="E593" s="34" t="s">
        <v>147</v>
      </c>
      <c r="F593" s="64">
        <f>F594+F596+F598+F600+F602+F604</f>
        <v>3836.5</v>
      </c>
      <c r="G593" s="64">
        <f>G594+G596+G598+G600+G602+G604</f>
        <v>1872.6000000000001</v>
      </c>
      <c r="H593" s="26">
        <f t="shared" si="46"/>
        <v>48.8</v>
      </c>
    </row>
    <row r="594" spans="1:8" ht="39.6" x14ac:dyDescent="0.3">
      <c r="A594" s="36" t="s">
        <v>113</v>
      </c>
      <c r="B594" s="36" t="s">
        <v>88</v>
      </c>
      <c r="C594" s="67" t="s">
        <v>258</v>
      </c>
      <c r="D594" s="36"/>
      <c r="E594" s="46" t="s">
        <v>297</v>
      </c>
      <c r="F594" s="39">
        <f>F595</f>
        <v>600</v>
      </c>
      <c r="G594" s="39">
        <f>G595</f>
        <v>450</v>
      </c>
      <c r="H594" s="26">
        <f t="shared" si="46"/>
        <v>75</v>
      </c>
    </row>
    <row r="595" spans="1:8" ht="66.599999999999994" x14ac:dyDescent="0.3">
      <c r="A595" s="36" t="s">
        <v>113</v>
      </c>
      <c r="B595" s="36" t="s">
        <v>88</v>
      </c>
      <c r="C595" s="67" t="s">
        <v>258</v>
      </c>
      <c r="D595" s="36" t="s">
        <v>256</v>
      </c>
      <c r="E595" s="41" t="s">
        <v>296</v>
      </c>
      <c r="F595" s="39">
        <v>600</v>
      </c>
      <c r="G595" s="26">
        <v>450</v>
      </c>
      <c r="H595" s="26">
        <f t="shared" si="46"/>
        <v>75</v>
      </c>
    </row>
    <row r="596" spans="1:8" ht="79.8" x14ac:dyDescent="0.3">
      <c r="A596" s="36" t="s">
        <v>113</v>
      </c>
      <c r="B596" s="36" t="s">
        <v>88</v>
      </c>
      <c r="C596" s="67">
        <v>420123230</v>
      </c>
      <c r="D596" s="36"/>
      <c r="E596" s="41" t="s">
        <v>464</v>
      </c>
      <c r="F596" s="39">
        <f>F597</f>
        <v>1200</v>
      </c>
      <c r="G596" s="39">
        <f>G597</f>
        <v>600</v>
      </c>
      <c r="H596" s="26">
        <f t="shared" si="46"/>
        <v>50</v>
      </c>
    </row>
    <row r="597" spans="1:8" ht="39.6" x14ac:dyDescent="0.3">
      <c r="A597" s="36" t="s">
        <v>113</v>
      </c>
      <c r="B597" s="36" t="s">
        <v>88</v>
      </c>
      <c r="C597" s="67">
        <v>420123230</v>
      </c>
      <c r="D597" s="48" t="s">
        <v>213</v>
      </c>
      <c r="E597" s="46" t="s">
        <v>214</v>
      </c>
      <c r="F597" s="39">
        <v>1200</v>
      </c>
      <c r="G597" s="26">
        <v>600</v>
      </c>
      <c r="H597" s="26">
        <f t="shared" si="46"/>
        <v>50</v>
      </c>
    </row>
    <row r="598" spans="1:8" ht="40.200000000000003" x14ac:dyDescent="0.3">
      <c r="A598" s="36" t="s">
        <v>113</v>
      </c>
      <c r="B598" s="36" t="s">
        <v>88</v>
      </c>
      <c r="C598" s="67">
        <v>420110320</v>
      </c>
      <c r="D598" s="87"/>
      <c r="E598" s="122" t="s">
        <v>465</v>
      </c>
      <c r="F598" s="39">
        <f>F599</f>
        <v>924.4</v>
      </c>
      <c r="G598" s="39">
        <f>G599</f>
        <v>462.2</v>
      </c>
      <c r="H598" s="26">
        <f t="shared" si="46"/>
        <v>50</v>
      </c>
    </row>
    <row r="599" spans="1:8" ht="66.599999999999994" x14ac:dyDescent="0.3">
      <c r="A599" s="36" t="s">
        <v>113</v>
      </c>
      <c r="B599" s="36" t="s">
        <v>88</v>
      </c>
      <c r="C599" s="67">
        <v>420110320</v>
      </c>
      <c r="D599" s="36" t="s">
        <v>256</v>
      </c>
      <c r="E599" s="41" t="s">
        <v>296</v>
      </c>
      <c r="F599" s="39">
        <f>895.5+28.9</f>
        <v>924.4</v>
      </c>
      <c r="G599" s="26">
        <v>462.2</v>
      </c>
      <c r="H599" s="26">
        <f t="shared" si="46"/>
        <v>50</v>
      </c>
    </row>
    <row r="600" spans="1:8" ht="40.200000000000003" x14ac:dyDescent="0.3">
      <c r="A600" s="36" t="s">
        <v>113</v>
      </c>
      <c r="B600" s="36" t="s">
        <v>88</v>
      </c>
      <c r="C600" s="67" t="s">
        <v>304</v>
      </c>
      <c r="D600" s="36"/>
      <c r="E600" s="41" t="s">
        <v>305</v>
      </c>
      <c r="F600" s="39">
        <f>F601</f>
        <v>100</v>
      </c>
      <c r="G600" s="39">
        <f>G601</f>
        <v>0</v>
      </c>
      <c r="H600" s="26">
        <f t="shared" si="46"/>
        <v>0</v>
      </c>
    </row>
    <row r="601" spans="1:8" ht="66.599999999999994" x14ac:dyDescent="0.3">
      <c r="A601" s="36" t="s">
        <v>113</v>
      </c>
      <c r="B601" s="36" t="s">
        <v>88</v>
      </c>
      <c r="C601" s="67" t="s">
        <v>304</v>
      </c>
      <c r="D601" s="36" t="s">
        <v>256</v>
      </c>
      <c r="E601" s="41" t="s">
        <v>296</v>
      </c>
      <c r="F601" s="39">
        <v>100</v>
      </c>
      <c r="G601" s="26">
        <v>0</v>
      </c>
      <c r="H601" s="26">
        <f t="shared" si="46"/>
        <v>0</v>
      </c>
    </row>
    <row r="602" spans="1:8" ht="79.2" x14ac:dyDescent="0.3">
      <c r="A602" s="36" t="s">
        <v>113</v>
      </c>
      <c r="B602" s="36" t="s">
        <v>88</v>
      </c>
      <c r="C602" s="67">
        <v>420223235</v>
      </c>
      <c r="D602" s="33"/>
      <c r="E602" s="46" t="s">
        <v>151</v>
      </c>
      <c r="F602" s="39">
        <f>F603</f>
        <v>575.29999999999995</v>
      </c>
      <c r="G602" s="39">
        <f>G603</f>
        <v>184</v>
      </c>
      <c r="H602" s="26">
        <f t="shared" si="46"/>
        <v>32</v>
      </c>
    </row>
    <row r="603" spans="1:8" ht="39.6" x14ac:dyDescent="0.3">
      <c r="A603" s="36" t="s">
        <v>113</v>
      </c>
      <c r="B603" s="36" t="s">
        <v>88</v>
      </c>
      <c r="C603" s="67">
        <v>420223235</v>
      </c>
      <c r="D603" s="48" t="s">
        <v>213</v>
      </c>
      <c r="E603" s="46" t="s">
        <v>214</v>
      </c>
      <c r="F603" s="39">
        <v>575.29999999999995</v>
      </c>
      <c r="G603" s="26">
        <v>184</v>
      </c>
      <c r="H603" s="26">
        <f t="shared" si="46"/>
        <v>32</v>
      </c>
    </row>
    <row r="604" spans="1:8" ht="79.2" x14ac:dyDescent="0.3">
      <c r="A604" s="36" t="s">
        <v>113</v>
      </c>
      <c r="B604" s="36" t="s">
        <v>88</v>
      </c>
      <c r="C604" s="67">
        <v>420223240</v>
      </c>
      <c r="D604" s="48"/>
      <c r="E604" s="46" t="s">
        <v>185</v>
      </c>
      <c r="F604" s="39">
        <f>F605</f>
        <v>436.8</v>
      </c>
      <c r="G604" s="39">
        <f>G605</f>
        <v>176.4</v>
      </c>
      <c r="H604" s="26">
        <f t="shared" si="46"/>
        <v>40.4</v>
      </c>
    </row>
    <row r="605" spans="1:8" ht="39.6" x14ac:dyDescent="0.3">
      <c r="A605" s="36" t="s">
        <v>113</v>
      </c>
      <c r="B605" s="36" t="s">
        <v>88</v>
      </c>
      <c r="C605" s="67">
        <v>420223240</v>
      </c>
      <c r="D605" s="48" t="s">
        <v>213</v>
      </c>
      <c r="E605" s="46" t="s">
        <v>214</v>
      </c>
      <c r="F605" s="39">
        <v>436.8</v>
      </c>
      <c r="G605" s="26">
        <v>176.4</v>
      </c>
      <c r="H605" s="26">
        <f t="shared" si="46"/>
        <v>40.4</v>
      </c>
    </row>
    <row r="606" spans="1:8" ht="31.2" x14ac:dyDescent="0.3">
      <c r="A606" s="29" t="s">
        <v>13</v>
      </c>
      <c r="B606" s="68"/>
      <c r="C606" s="87"/>
      <c r="D606" s="87"/>
      <c r="E606" s="31" t="s">
        <v>539</v>
      </c>
      <c r="F606" s="62">
        <f t="shared" ref="F606:G609" si="61">F607</f>
        <v>25</v>
      </c>
      <c r="G606" s="62">
        <f t="shared" si="61"/>
        <v>10.4</v>
      </c>
      <c r="H606" s="26">
        <f t="shared" si="46"/>
        <v>41.6</v>
      </c>
    </row>
    <row r="607" spans="1:8" ht="27" x14ac:dyDescent="0.3">
      <c r="A607" s="71" t="s">
        <v>13</v>
      </c>
      <c r="B607" s="71" t="s">
        <v>84</v>
      </c>
      <c r="C607" s="123"/>
      <c r="D607" s="123"/>
      <c r="E607" s="44" t="s">
        <v>540</v>
      </c>
      <c r="F607" s="64">
        <f t="shared" si="61"/>
        <v>25</v>
      </c>
      <c r="G607" s="64">
        <f t="shared" si="61"/>
        <v>10.4</v>
      </c>
      <c r="H607" s="26">
        <f t="shared" si="46"/>
        <v>41.6</v>
      </c>
    </row>
    <row r="608" spans="1:8" ht="27" x14ac:dyDescent="0.3">
      <c r="A608" s="48" t="s">
        <v>13</v>
      </c>
      <c r="B608" s="48" t="s">
        <v>84</v>
      </c>
      <c r="C608" s="48" t="s">
        <v>24</v>
      </c>
      <c r="D608" s="48"/>
      <c r="E608" s="41" t="s">
        <v>36</v>
      </c>
      <c r="F608" s="42">
        <f t="shared" si="61"/>
        <v>25</v>
      </c>
      <c r="G608" s="42">
        <f t="shared" si="61"/>
        <v>10.4</v>
      </c>
      <c r="H608" s="26">
        <f t="shared" si="46"/>
        <v>41.6</v>
      </c>
    </row>
    <row r="609" spans="1:8" ht="27" x14ac:dyDescent="0.3">
      <c r="A609" s="48" t="s">
        <v>13</v>
      </c>
      <c r="B609" s="48" t="s">
        <v>84</v>
      </c>
      <c r="C609" s="87">
        <v>9940026500</v>
      </c>
      <c r="D609" s="87"/>
      <c r="E609" s="41" t="s">
        <v>541</v>
      </c>
      <c r="F609" s="42">
        <f t="shared" si="61"/>
        <v>25</v>
      </c>
      <c r="G609" s="42">
        <f t="shared" si="61"/>
        <v>10.4</v>
      </c>
      <c r="H609" s="26">
        <f t="shared" si="46"/>
        <v>41.6</v>
      </c>
    </row>
    <row r="610" spans="1:8" x14ac:dyDescent="0.3">
      <c r="A610" s="48" t="s">
        <v>13</v>
      </c>
      <c r="B610" s="48" t="s">
        <v>84</v>
      </c>
      <c r="C610" s="87">
        <v>9940026500</v>
      </c>
      <c r="D610" s="48" t="s">
        <v>542</v>
      </c>
      <c r="E610" s="87" t="s">
        <v>543</v>
      </c>
      <c r="F610" s="42">
        <f>20.8+4.2</f>
        <v>25</v>
      </c>
      <c r="G610" s="26">
        <v>10.4</v>
      </c>
      <c r="H610" s="26">
        <f t="shared" si="46"/>
        <v>41.6</v>
      </c>
    </row>
    <row r="611" spans="1:8" x14ac:dyDescent="0.3">
      <c r="A611" s="128" t="s">
        <v>298</v>
      </c>
      <c r="B611" s="128"/>
      <c r="C611" s="128"/>
      <c r="D611" s="128"/>
      <c r="E611" s="128"/>
      <c r="F611" s="26">
        <f>F12+F86+F124+F226+F348+F493+F537+F574+F590+F606</f>
        <v>1218528.7000000002</v>
      </c>
      <c r="G611" s="26">
        <f>G12+G86+G124+G226+G348+G493+G537+G574+G590+G606</f>
        <v>598314.80000000005</v>
      </c>
      <c r="H611" s="26">
        <f t="shared" si="46"/>
        <v>49.1</v>
      </c>
    </row>
  </sheetData>
  <mergeCells count="3">
    <mergeCell ref="A7:H7"/>
    <mergeCell ref="A10:B10"/>
    <mergeCell ref="A611:E611"/>
  </mergeCells>
  <phoneticPr fontId="1" type="noConversion"/>
  <pageMargins left="0.75" right="0.75" top="0.81" bottom="0.71" header="0.5" footer="0.5"/>
  <pageSetup paperSize="9" fitToHeight="0"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F16"/>
  <sheetViews>
    <sheetView topLeftCell="A7" workbookViewId="0">
      <selection activeCell="A7" sqref="A7:F7"/>
    </sheetView>
  </sheetViews>
  <sheetFormatPr defaultRowHeight="13.2" x14ac:dyDescent="0.25"/>
  <cols>
    <col min="1" max="1" width="28" customWidth="1"/>
    <col min="2" max="2" width="45.77734375" customWidth="1"/>
    <col min="3" max="3" width="12.5546875" customWidth="1"/>
    <col min="4" max="4" width="10" hidden="1" customWidth="1"/>
    <col min="5" max="5" width="0.33203125" hidden="1" customWidth="1"/>
    <col min="6" max="6" width="10.5546875" customWidth="1"/>
  </cols>
  <sheetData>
    <row r="1" spans="1:6" ht="15.6" x14ac:dyDescent="0.3">
      <c r="A1" s="1"/>
      <c r="B1" s="14" t="s">
        <v>198</v>
      </c>
      <c r="C1" s="14"/>
      <c r="D1" s="14"/>
      <c r="E1" s="14"/>
      <c r="F1" s="6"/>
    </row>
    <row r="2" spans="1:6" ht="15.6" x14ac:dyDescent="0.3">
      <c r="A2" s="1"/>
      <c r="B2" s="14" t="s">
        <v>189</v>
      </c>
      <c r="C2" s="14"/>
      <c r="D2" s="14"/>
      <c r="E2" s="14"/>
      <c r="F2" s="6"/>
    </row>
    <row r="3" spans="1:6" ht="15.6" x14ac:dyDescent="0.3">
      <c r="A3" s="1"/>
      <c r="B3" s="14" t="s">
        <v>190</v>
      </c>
      <c r="C3" s="14"/>
      <c r="D3" s="14"/>
      <c r="E3" s="14"/>
      <c r="F3" s="6"/>
    </row>
    <row r="4" spans="1:6" ht="15.6" x14ac:dyDescent="0.3">
      <c r="A4" s="1"/>
      <c r="B4" s="14" t="s">
        <v>191</v>
      </c>
      <c r="C4" s="14"/>
      <c r="D4" s="14"/>
      <c r="E4" s="14"/>
      <c r="F4" s="6"/>
    </row>
    <row r="5" spans="1:6" s="7" customFormat="1" x14ac:dyDescent="0.25">
      <c r="A5" s="1"/>
      <c r="B5" s="5"/>
      <c r="C5" s="5"/>
      <c r="D5" s="6"/>
      <c r="E5" s="6"/>
      <c r="F5" s="6"/>
    </row>
    <row r="6" spans="1:6" s="7" customFormat="1" x14ac:dyDescent="0.25">
      <c r="A6" s="1"/>
    </row>
    <row r="7" spans="1:6" ht="57" customHeight="1" x14ac:dyDescent="0.35">
      <c r="A7" s="129" t="s">
        <v>567</v>
      </c>
      <c r="B7" s="129"/>
      <c r="C7" s="129"/>
      <c r="D7" s="129"/>
      <c r="E7" s="130"/>
      <c r="F7" s="130"/>
    </row>
    <row r="8" spans="1:6" x14ac:dyDescent="0.25">
      <c r="C8" s="4"/>
    </row>
    <row r="9" spans="1:6" ht="156" x14ac:dyDescent="0.3">
      <c r="A9" s="9" t="s">
        <v>199</v>
      </c>
      <c r="B9" s="9" t="s">
        <v>200</v>
      </c>
      <c r="C9" s="9" t="s">
        <v>212</v>
      </c>
      <c r="D9" s="8" t="s">
        <v>196</v>
      </c>
      <c r="E9" s="11" t="s">
        <v>125</v>
      </c>
      <c r="F9" s="8" t="s">
        <v>196</v>
      </c>
    </row>
    <row r="10" spans="1:6" s="3" customFormat="1" ht="31.2" x14ac:dyDescent="0.3">
      <c r="A10" s="11" t="s">
        <v>1</v>
      </c>
      <c r="B10" s="8" t="s">
        <v>2</v>
      </c>
      <c r="C10" s="12">
        <f>C11+C13</f>
        <v>73193.300000000047</v>
      </c>
      <c r="D10" s="12">
        <f t="shared" ref="D10:F10" si="0">D11+D13</f>
        <v>0</v>
      </c>
      <c r="E10" s="12">
        <f t="shared" si="0"/>
        <v>0</v>
      </c>
      <c r="F10" s="12">
        <f t="shared" si="0"/>
        <v>39854.800000000047</v>
      </c>
    </row>
    <row r="11" spans="1:6" s="3" customFormat="1" ht="15.6" x14ac:dyDescent="0.3">
      <c r="A11" s="11" t="s">
        <v>3</v>
      </c>
      <c r="B11" s="8" t="s">
        <v>110</v>
      </c>
      <c r="C11" s="12">
        <f>C12</f>
        <v>-1145335.3999999999</v>
      </c>
      <c r="D11" s="12">
        <f t="shared" ref="D11:F11" si="1">D12</f>
        <v>0</v>
      </c>
      <c r="E11" s="12">
        <f t="shared" si="1"/>
        <v>0</v>
      </c>
      <c r="F11" s="12">
        <f t="shared" si="1"/>
        <v>-558460</v>
      </c>
    </row>
    <row r="12" spans="1:6" s="3" customFormat="1" ht="35.4" customHeight="1" x14ac:dyDescent="0.3">
      <c r="A12" s="11" t="s">
        <v>174</v>
      </c>
      <c r="B12" s="13" t="s">
        <v>173</v>
      </c>
      <c r="C12" s="12">
        <v>-1145335.3999999999</v>
      </c>
      <c r="D12" s="11"/>
      <c r="E12" s="11"/>
      <c r="F12" s="12">
        <v>-558460</v>
      </c>
    </row>
    <row r="13" spans="1:6" s="3" customFormat="1" ht="15.6" x14ac:dyDescent="0.3">
      <c r="A13" s="11" t="s">
        <v>4</v>
      </c>
      <c r="B13" s="8" t="s">
        <v>111</v>
      </c>
      <c r="C13" s="12">
        <f>C14</f>
        <v>1218528.7</v>
      </c>
      <c r="D13" s="12">
        <f t="shared" ref="D13:F13" si="2">D14</f>
        <v>0</v>
      </c>
      <c r="E13" s="12">
        <f t="shared" si="2"/>
        <v>0</v>
      </c>
      <c r="F13" s="12">
        <f t="shared" si="2"/>
        <v>598314.80000000005</v>
      </c>
    </row>
    <row r="14" spans="1:6" s="3" customFormat="1" ht="31.2" x14ac:dyDescent="0.3">
      <c r="A14" s="15" t="s">
        <v>176</v>
      </c>
      <c r="B14" s="8" t="s">
        <v>175</v>
      </c>
      <c r="C14" s="12">
        <v>1218528.7</v>
      </c>
      <c r="D14" s="11"/>
      <c r="E14" s="11"/>
      <c r="F14" s="12">
        <v>598314.80000000005</v>
      </c>
    </row>
    <row r="15" spans="1:6" s="3" customFormat="1" ht="15.6" x14ac:dyDescent="0.3">
      <c r="A15" s="131" t="s">
        <v>177</v>
      </c>
      <c r="B15" s="128"/>
      <c r="C15" s="12">
        <f>C11+C13</f>
        <v>73193.300000000047</v>
      </c>
      <c r="D15" s="12">
        <f t="shared" ref="D15:F15" si="3">D11+D13</f>
        <v>0</v>
      </c>
      <c r="E15" s="12">
        <f t="shared" si="3"/>
        <v>0</v>
      </c>
      <c r="F15" s="12">
        <f t="shared" si="3"/>
        <v>39854.800000000047</v>
      </c>
    </row>
    <row r="16" spans="1:6" s="2" customFormat="1" ht="13.8" x14ac:dyDescent="0.25"/>
  </sheetData>
  <mergeCells count="2">
    <mergeCell ref="A7:F7"/>
    <mergeCell ref="A15:B15"/>
  </mergeCells>
  <phoneticPr fontId="1" type="noConversion"/>
  <pageMargins left="0.75" right="0.75" top="1" bottom="1" header="0.5" footer="0.5"/>
  <pageSetup paperSize="9" scale="90" orientation="portrait"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4" workbookViewId="0">
      <selection activeCell="A7" sqref="A7:G7"/>
    </sheetView>
  </sheetViews>
  <sheetFormatPr defaultRowHeight="15.6" x14ac:dyDescent="0.3"/>
  <cols>
    <col min="1" max="1" width="9.33203125" style="16" customWidth="1"/>
    <col min="2" max="2" width="13" style="16" customWidth="1"/>
    <col min="3" max="3" width="5.6640625" style="16" customWidth="1"/>
    <col min="4" max="4" width="22" style="16" customWidth="1"/>
    <col min="5" max="5" width="11" style="16" customWidth="1"/>
    <col min="6" max="6" width="16" style="16" customWidth="1"/>
    <col min="7" max="7" width="11.5546875" style="16" customWidth="1"/>
    <col min="8" max="256" width="9.109375" style="7"/>
    <col min="257" max="257" width="9.33203125" style="7" customWidth="1"/>
    <col min="258" max="258" width="9.109375" style="7"/>
    <col min="259" max="259" width="5.6640625" style="7" customWidth="1"/>
    <col min="260" max="260" width="22" style="7" customWidth="1"/>
    <col min="261" max="261" width="11" style="7" customWidth="1"/>
    <col min="262" max="262" width="19" style="7" customWidth="1"/>
    <col min="263" max="263" width="10.5546875" style="7" customWidth="1"/>
    <col min="264" max="512" width="9.109375" style="7"/>
    <col min="513" max="513" width="9.33203125" style="7" customWidth="1"/>
    <col min="514" max="514" width="9.109375" style="7"/>
    <col min="515" max="515" width="5.6640625" style="7" customWidth="1"/>
    <col min="516" max="516" width="22" style="7" customWidth="1"/>
    <col min="517" max="517" width="11" style="7" customWidth="1"/>
    <col min="518" max="518" width="19" style="7" customWidth="1"/>
    <col min="519" max="519" width="10.5546875" style="7" customWidth="1"/>
    <col min="520" max="768" width="9.109375" style="7"/>
    <col min="769" max="769" width="9.33203125" style="7" customWidth="1"/>
    <col min="770" max="770" width="9.109375" style="7"/>
    <col min="771" max="771" width="5.6640625" style="7" customWidth="1"/>
    <col min="772" max="772" width="22" style="7" customWidth="1"/>
    <col min="773" max="773" width="11" style="7" customWidth="1"/>
    <col min="774" max="774" width="19" style="7" customWidth="1"/>
    <col min="775" max="775" width="10.5546875" style="7" customWidth="1"/>
    <col min="776" max="1024" width="9.109375" style="7"/>
    <col min="1025" max="1025" width="9.33203125" style="7" customWidth="1"/>
    <col min="1026" max="1026" width="9.109375" style="7"/>
    <col min="1027" max="1027" width="5.6640625" style="7" customWidth="1"/>
    <col min="1028" max="1028" width="22" style="7" customWidth="1"/>
    <col min="1029" max="1029" width="11" style="7" customWidth="1"/>
    <col min="1030" max="1030" width="19" style="7" customWidth="1"/>
    <col min="1031" max="1031" width="10.5546875" style="7" customWidth="1"/>
    <col min="1032" max="1280" width="9.109375" style="7"/>
    <col min="1281" max="1281" width="9.33203125" style="7" customWidth="1"/>
    <col min="1282" max="1282" width="9.109375" style="7"/>
    <col min="1283" max="1283" width="5.6640625" style="7" customWidth="1"/>
    <col min="1284" max="1284" width="22" style="7" customWidth="1"/>
    <col min="1285" max="1285" width="11" style="7" customWidth="1"/>
    <col min="1286" max="1286" width="19" style="7" customWidth="1"/>
    <col min="1287" max="1287" width="10.5546875" style="7" customWidth="1"/>
    <col min="1288" max="1536" width="9.109375" style="7"/>
    <col min="1537" max="1537" width="9.33203125" style="7" customWidth="1"/>
    <col min="1538" max="1538" width="9.109375" style="7"/>
    <col min="1539" max="1539" width="5.6640625" style="7" customWidth="1"/>
    <col min="1540" max="1540" width="22" style="7" customWidth="1"/>
    <col min="1541" max="1541" width="11" style="7" customWidth="1"/>
    <col min="1542" max="1542" width="19" style="7" customWidth="1"/>
    <col min="1543" max="1543" width="10.5546875" style="7" customWidth="1"/>
    <col min="1544" max="1792" width="9.109375" style="7"/>
    <col min="1793" max="1793" width="9.33203125" style="7" customWidth="1"/>
    <col min="1794" max="1794" width="9.109375" style="7"/>
    <col min="1795" max="1795" width="5.6640625" style="7" customWidth="1"/>
    <col min="1796" max="1796" width="22" style="7" customWidth="1"/>
    <col min="1797" max="1797" width="11" style="7" customWidth="1"/>
    <col min="1798" max="1798" width="19" style="7" customWidth="1"/>
    <col min="1799" max="1799" width="10.5546875" style="7" customWidth="1"/>
    <col min="1800" max="2048" width="9.109375" style="7"/>
    <col min="2049" max="2049" width="9.33203125" style="7" customWidth="1"/>
    <col min="2050" max="2050" width="9.109375" style="7"/>
    <col min="2051" max="2051" width="5.6640625" style="7" customWidth="1"/>
    <col min="2052" max="2052" width="22" style="7" customWidth="1"/>
    <col min="2053" max="2053" width="11" style="7" customWidth="1"/>
    <col min="2054" max="2054" width="19" style="7" customWidth="1"/>
    <col min="2055" max="2055" width="10.5546875" style="7" customWidth="1"/>
    <col min="2056" max="2304" width="9.109375" style="7"/>
    <col min="2305" max="2305" width="9.33203125" style="7" customWidth="1"/>
    <col min="2306" max="2306" width="9.109375" style="7"/>
    <col min="2307" max="2307" width="5.6640625" style="7" customWidth="1"/>
    <col min="2308" max="2308" width="22" style="7" customWidth="1"/>
    <col min="2309" max="2309" width="11" style="7" customWidth="1"/>
    <col min="2310" max="2310" width="19" style="7" customWidth="1"/>
    <col min="2311" max="2311" width="10.5546875" style="7" customWidth="1"/>
    <col min="2312" max="2560" width="9.109375" style="7"/>
    <col min="2561" max="2561" width="9.33203125" style="7" customWidth="1"/>
    <col min="2562" max="2562" width="9.109375" style="7"/>
    <col min="2563" max="2563" width="5.6640625" style="7" customWidth="1"/>
    <col min="2564" max="2564" width="22" style="7" customWidth="1"/>
    <col min="2565" max="2565" width="11" style="7" customWidth="1"/>
    <col min="2566" max="2566" width="19" style="7" customWidth="1"/>
    <col min="2567" max="2567" width="10.5546875" style="7" customWidth="1"/>
    <col min="2568" max="2816" width="9.109375" style="7"/>
    <col min="2817" max="2817" width="9.33203125" style="7" customWidth="1"/>
    <col min="2818" max="2818" width="9.109375" style="7"/>
    <col min="2819" max="2819" width="5.6640625" style="7" customWidth="1"/>
    <col min="2820" max="2820" width="22" style="7" customWidth="1"/>
    <col min="2821" max="2821" width="11" style="7" customWidth="1"/>
    <col min="2822" max="2822" width="19" style="7" customWidth="1"/>
    <col min="2823" max="2823" width="10.5546875" style="7" customWidth="1"/>
    <col min="2824" max="3072" width="9.109375" style="7"/>
    <col min="3073" max="3073" width="9.33203125" style="7" customWidth="1"/>
    <col min="3074" max="3074" width="9.109375" style="7"/>
    <col min="3075" max="3075" width="5.6640625" style="7" customWidth="1"/>
    <col min="3076" max="3076" width="22" style="7" customWidth="1"/>
    <col min="3077" max="3077" width="11" style="7" customWidth="1"/>
    <col min="3078" max="3078" width="19" style="7" customWidth="1"/>
    <col min="3079" max="3079" width="10.5546875" style="7" customWidth="1"/>
    <col min="3080" max="3328" width="9.109375" style="7"/>
    <col min="3329" max="3329" width="9.33203125" style="7" customWidth="1"/>
    <col min="3330" max="3330" width="9.109375" style="7"/>
    <col min="3331" max="3331" width="5.6640625" style="7" customWidth="1"/>
    <col min="3332" max="3332" width="22" style="7" customWidth="1"/>
    <col min="3333" max="3333" width="11" style="7" customWidth="1"/>
    <col min="3334" max="3334" width="19" style="7" customWidth="1"/>
    <col min="3335" max="3335" width="10.5546875" style="7" customWidth="1"/>
    <col min="3336" max="3584" width="9.109375" style="7"/>
    <col min="3585" max="3585" width="9.33203125" style="7" customWidth="1"/>
    <col min="3586" max="3586" width="9.109375" style="7"/>
    <col min="3587" max="3587" width="5.6640625" style="7" customWidth="1"/>
    <col min="3588" max="3588" width="22" style="7" customWidth="1"/>
    <col min="3589" max="3589" width="11" style="7" customWidth="1"/>
    <col min="3590" max="3590" width="19" style="7" customWidth="1"/>
    <col min="3591" max="3591" width="10.5546875" style="7" customWidth="1"/>
    <col min="3592" max="3840" width="9.109375" style="7"/>
    <col min="3841" max="3841" width="9.33203125" style="7" customWidth="1"/>
    <col min="3842" max="3842" width="9.109375" style="7"/>
    <col min="3843" max="3843" width="5.6640625" style="7" customWidth="1"/>
    <col min="3844" max="3844" width="22" style="7" customWidth="1"/>
    <col min="3845" max="3845" width="11" style="7" customWidth="1"/>
    <col min="3846" max="3846" width="19" style="7" customWidth="1"/>
    <col min="3847" max="3847" width="10.5546875" style="7" customWidth="1"/>
    <col min="3848" max="4096" width="9.109375" style="7"/>
    <col min="4097" max="4097" width="9.33203125" style="7" customWidth="1"/>
    <col min="4098" max="4098" width="9.109375" style="7"/>
    <col min="4099" max="4099" width="5.6640625" style="7" customWidth="1"/>
    <col min="4100" max="4100" width="22" style="7" customWidth="1"/>
    <col min="4101" max="4101" width="11" style="7" customWidth="1"/>
    <col min="4102" max="4102" width="19" style="7" customWidth="1"/>
    <col min="4103" max="4103" width="10.5546875" style="7" customWidth="1"/>
    <col min="4104" max="4352" width="9.109375" style="7"/>
    <col min="4353" max="4353" width="9.33203125" style="7" customWidth="1"/>
    <col min="4354" max="4354" width="9.109375" style="7"/>
    <col min="4355" max="4355" width="5.6640625" style="7" customWidth="1"/>
    <col min="4356" max="4356" width="22" style="7" customWidth="1"/>
    <col min="4357" max="4357" width="11" style="7" customWidth="1"/>
    <col min="4358" max="4358" width="19" style="7" customWidth="1"/>
    <col min="4359" max="4359" width="10.5546875" style="7" customWidth="1"/>
    <col min="4360" max="4608" width="9.109375" style="7"/>
    <col min="4609" max="4609" width="9.33203125" style="7" customWidth="1"/>
    <col min="4610" max="4610" width="9.109375" style="7"/>
    <col min="4611" max="4611" width="5.6640625" style="7" customWidth="1"/>
    <col min="4612" max="4612" width="22" style="7" customWidth="1"/>
    <col min="4613" max="4613" width="11" style="7" customWidth="1"/>
    <col min="4614" max="4614" width="19" style="7" customWidth="1"/>
    <col min="4615" max="4615" width="10.5546875" style="7" customWidth="1"/>
    <col min="4616" max="4864" width="9.109375" style="7"/>
    <col min="4865" max="4865" width="9.33203125" style="7" customWidth="1"/>
    <col min="4866" max="4866" width="9.109375" style="7"/>
    <col min="4867" max="4867" width="5.6640625" style="7" customWidth="1"/>
    <col min="4868" max="4868" width="22" style="7" customWidth="1"/>
    <col min="4869" max="4869" width="11" style="7" customWidth="1"/>
    <col min="4870" max="4870" width="19" style="7" customWidth="1"/>
    <col min="4871" max="4871" width="10.5546875" style="7" customWidth="1"/>
    <col min="4872" max="5120" width="9.109375" style="7"/>
    <col min="5121" max="5121" width="9.33203125" style="7" customWidth="1"/>
    <col min="5122" max="5122" width="9.109375" style="7"/>
    <col min="5123" max="5123" width="5.6640625" style="7" customWidth="1"/>
    <col min="5124" max="5124" width="22" style="7" customWidth="1"/>
    <col min="5125" max="5125" width="11" style="7" customWidth="1"/>
    <col min="5126" max="5126" width="19" style="7" customWidth="1"/>
    <col min="5127" max="5127" width="10.5546875" style="7" customWidth="1"/>
    <col min="5128" max="5376" width="9.109375" style="7"/>
    <col min="5377" max="5377" width="9.33203125" style="7" customWidth="1"/>
    <col min="5378" max="5378" width="9.109375" style="7"/>
    <col min="5379" max="5379" width="5.6640625" style="7" customWidth="1"/>
    <col min="5380" max="5380" width="22" style="7" customWidth="1"/>
    <col min="5381" max="5381" width="11" style="7" customWidth="1"/>
    <col min="5382" max="5382" width="19" style="7" customWidth="1"/>
    <col min="5383" max="5383" width="10.5546875" style="7" customWidth="1"/>
    <col min="5384" max="5632" width="9.109375" style="7"/>
    <col min="5633" max="5633" width="9.33203125" style="7" customWidth="1"/>
    <col min="5634" max="5634" width="9.109375" style="7"/>
    <col min="5635" max="5635" width="5.6640625" style="7" customWidth="1"/>
    <col min="5636" max="5636" width="22" style="7" customWidth="1"/>
    <col min="5637" max="5637" width="11" style="7" customWidth="1"/>
    <col min="5638" max="5638" width="19" style="7" customWidth="1"/>
    <col min="5639" max="5639" width="10.5546875" style="7" customWidth="1"/>
    <col min="5640" max="5888" width="9.109375" style="7"/>
    <col min="5889" max="5889" width="9.33203125" style="7" customWidth="1"/>
    <col min="5890" max="5890" width="9.109375" style="7"/>
    <col min="5891" max="5891" width="5.6640625" style="7" customWidth="1"/>
    <col min="5892" max="5892" width="22" style="7" customWidth="1"/>
    <col min="5893" max="5893" width="11" style="7" customWidth="1"/>
    <col min="5894" max="5894" width="19" style="7" customWidth="1"/>
    <col min="5895" max="5895" width="10.5546875" style="7" customWidth="1"/>
    <col min="5896" max="6144" width="9.109375" style="7"/>
    <col min="6145" max="6145" width="9.33203125" style="7" customWidth="1"/>
    <col min="6146" max="6146" width="9.109375" style="7"/>
    <col min="6147" max="6147" width="5.6640625" style="7" customWidth="1"/>
    <col min="6148" max="6148" width="22" style="7" customWidth="1"/>
    <col min="6149" max="6149" width="11" style="7" customWidth="1"/>
    <col min="6150" max="6150" width="19" style="7" customWidth="1"/>
    <col min="6151" max="6151" width="10.5546875" style="7" customWidth="1"/>
    <col min="6152" max="6400" width="9.109375" style="7"/>
    <col min="6401" max="6401" width="9.33203125" style="7" customWidth="1"/>
    <col min="6402" max="6402" width="9.109375" style="7"/>
    <col min="6403" max="6403" width="5.6640625" style="7" customWidth="1"/>
    <col min="6404" max="6404" width="22" style="7" customWidth="1"/>
    <col min="6405" max="6405" width="11" style="7" customWidth="1"/>
    <col min="6406" max="6406" width="19" style="7" customWidth="1"/>
    <col min="6407" max="6407" width="10.5546875" style="7" customWidth="1"/>
    <col min="6408" max="6656" width="9.109375" style="7"/>
    <col min="6657" max="6657" width="9.33203125" style="7" customWidth="1"/>
    <col min="6658" max="6658" width="9.109375" style="7"/>
    <col min="6659" max="6659" width="5.6640625" style="7" customWidth="1"/>
    <col min="6660" max="6660" width="22" style="7" customWidth="1"/>
    <col min="6661" max="6661" width="11" style="7" customWidth="1"/>
    <col min="6662" max="6662" width="19" style="7" customWidth="1"/>
    <col min="6663" max="6663" width="10.5546875" style="7" customWidth="1"/>
    <col min="6664" max="6912" width="9.109375" style="7"/>
    <col min="6913" max="6913" width="9.33203125" style="7" customWidth="1"/>
    <col min="6914" max="6914" width="9.109375" style="7"/>
    <col min="6915" max="6915" width="5.6640625" style="7" customWidth="1"/>
    <col min="6916" max="6916" width="22" style="7" customWidth="1"/>
    <col min="6917" max="6917" width="11" style="7" customWidth="1"/>
    <col min="6918" max="6918" width="19" style="7" customWidth="1"/>
    <col min="6919" max="6919" width="10.5546875" style="7" customWidth="1"/>
    <col min="6920" max="7168" width="9.109375" style="7"/>
    <col min="7169" max="7169" width="9.33203125" style="7" customWidth="1"/>
    <col min="7170" max="7170" width="9.109375" style="7"/>
    <col min="7171" max="7171" width="5.6640625" style="7" customWidth="1"/>
    <col min="7172" max="7172" width="22" style="7" customWidth="1"/>
    <col min="7173" max="7173" width="11" style="7" customWidth="1"/>
    <col min="7174" max="7174" width="19" style="7" customWidth="1"/>
    <col min="7175" max="7175" width="10.5546875" style="7" customWidth="1"/>
    <col min="7176" max="7424" width="9.109375" style="7"/>
    <col min="7425" max="7425" width="9.33203125" style="7" customWidth="1"/>
    <col min="7426" max="7426" width="9.109375" style="7"/>
    <col min="7427" max="7427" width="5.6640625" style="7" customWidth="1"/>
    <col min="7428" max="7428" width="22" style="7" customWidth="1"/>
    <col min="7429" max="7429" width="11" style="7" customWidth="1"/>
    <col min="7430" max="7430" width="19" style="7" customWidth="1"/>
    <col min="7431" max="7431" width="10.5546875" style="7" customWidth="1"/>
    <col min="7432" max="7680" width="9.109375" style="7"/>
    <col min="7681" max="7681" width="9.33203125" style="7" customWidth="1"/>
    <col min="7682" max="7682" width="9.109375" style="7"/>
    <col min="7683" max="7683" width="5.6640625" style="7" customWidth="1"/>
    <col min="7684" max="7684" width="22" style="7" customWidth="1"/>
    <col min="7685" max="7685" width="11" style="7" customWidth="1"/>
    <col min="7686" max="7686" width="19" style="7" customWidth="1"/>
    <col min="7687" max="7687" width="10.5546875" style="7" customWidth="1"/>
    <col min="7688" max="7936" width="9.109375" style="7"/>
    <col min="7937" max="7937" width="9.33203125" style="7" customWidth="1"/>
    <col min="7938" max="7938" width="9.109375" style="7"/>
    <col min="7939" max="7939" width="5.6640625" style="7" customWidth="1"/>
    <col min="7940" max="7940" width="22" style="7" customWidth="1"/>
    <col min="7941" max="7941" width="11" style="7" customWidth="1"/>
    <col min="7942" max="7942" width="19" style="7" customWidth="1"/>
    <col min="7943" max="7943" width="10.5546875" style="7" customWidth="1"/>
    <col min="7944" max="8192" width="9.109375" style="7"/>
    <col min="8193" max="8193" width="9.33203125" style="7" customWidth="1"/>
    <col min="8194" max="8194" width="9.109375" style="7"/>
    <col min="8195" max="8195" width="5.6640625" style="7" customWidth="1"/>
    <col min="8196" max="8196" width="22" style="7" customWidth="1"/>
    <col min="8197" max="8197" width="11" style="7" customWidth="1"/>
    <col min="8198" max="8198" width="19" style="7" customWidth="1"/>
    <col min="8199" max="8199" width="10.5546875" style="7" customWidth="1"/>
    <col min="8200" max="8448" width="9.109375" style="7"/>
    <col min="8449" max="8449" width="9.33203125" style="7" customWidth="1"/>
    <col min="8450" max="8450" width="9.109375" style="7"/>
    <col min="8451" max="8451" width="5.6640625" style="7" customWidth="1"/>
    <col min="8452" max="8452" width="22" style="7" customWidth="1"/>
    <col min="8453" max="8453" width="11" style="7" customWidth="1"/>
    <col min="8454" max="8454" width="19" style="7" customWidth="1"/>
    <col min="8455" max="8455" width="10.5546875" style="7" customWidth="1"/>
    <col min="8456" max="8704" width="9.109375" style="7"/>
    <col min="8705" max="8705" width="9.33203125" style="7" customWidth="1"/>
    <col min="8706" max="8706" width="9.109375" style="7"/>
    <col min="8707" max="8707" width="5.6640625" style="7" customWidth="1"/>
    <col min="8708" max="8708" width="22" style="7" customWidth="1"/>
    <col min="8709" max="8709" width="11" style="7" customWidth="1"/>
    <col min="8710" max="8710" width="19" style="7" customWidth="1"/>
    <col min="8711" max="8711" width="10.5546875" style="7" customWidth="1"/>
    <col min="8712" max="8960" width="9.109375" style="7"/>
    <col min="8961" max="8961" width="9.33203125" style="7" customWidth="1"/>
    <col min="8962" max="8962" width="9.109375" style="7"/>
    <col min="8963" max="8963" width="5.6640625" style="7" customWidth="1"/>
    <col min="8964" max="8964" width="22" style="7" customWidth="1"/>
    <col min="8965" max="8965" width="11" style="7" customWidth="1"/>
    <col min="8966" max="8966" width="19" style="7" customWidth="1"/>
    <col min="8967" max="8967" width="10.5546875" style="7" customWidth="1"/>
    <col min="8968" max="9216" width="9.109375" style="7"/>
    <col min="9217" max="9217" width="9.33203125" style="7" customWidth="1"/>
    <col min="9218" max="9218" width="9.109375" style="7"/>
    <col min="9219" max="9219" width="5.6640625" style="7" customWidth="1"/>
    <col min="9220" max="9220" width="22" style="7" customWidth="1"/>
    <col min="9221" max="9221" width="11" style="7" customWidth="1"/>
    <col min="9222" max="9222" width="19" style="7" customWidth="1"/>
    <col min="9223" max="9223" width="10.5546875" style="7" customWidth="1"/>
    <col min="9224" max="9472" width="9.109375" style="7"/>
    <col min="9473" max="9473" width="9.33203125" style="7" customWidth="1"/>
    <col min="9474" max="9474" width="9.109375" style="7"/>
    <col min="9475" max="9475" width="5.6640625" style="7" customWidth="1"/>
    <col min="9476" max="9476" width="22" style="7" customWidth="1"/>
    <col min="9477" max="9477" width="11" style="7" customWidth="1"/>
    <col min="9478" max="9478" width="19" style="7" customWidth="1"/>
    <col min="9479" max="9479" width="10.5546875" style="7" customWidth="1"/>
    <col min="9480" max="9728" width="9.109375" style="7"/>
    <col min="9729" max="9729" width="9.33203125" style="7" customWidth="1"/>
    <col min="9730" max="9730" width="9.109375" style="7"/>
    <col min="9731" max="9731" width="5.6640625" style="7" customWidth="1"/>
    <col min="9732" max="9732" width="22" style="7" customWidth="1"/>
    <col min="9733" max="9733" width="11" style="7" customWidth="1"/>
    <col min="9734" max="9734" width="19" style="7" customWidth="1"/>
    <col min="9735" max="9735" width="10.5546875" style="7" customWidth="1"/>
    <col min="9736" max="9984" width="9.109375" style="7"/>
    <col min="9985" max="9985" width="9.33203125" style="7" customWidth="1"/>
    <col min="9986" max="9986" width="9.109375" style="7"/>
    <col min="9987" max="9987" width="5.6640625" style="7" customWidth="1"/>
    <col min="9988" max="9988" width="22" style="7" customWidth="1"/>
    <col min="9989" max="9989" width="11" style="7" customWidth="1"/>
    <col min="9990" max="9990" width="19" style="7" customWidth="1"/>
    <col min="9991" max="9991" width="10.5546875" style="7" customWidth="1"/>
    <col min="9992" max="10240" width="9.109375" style="7"/>
    <col min="10241" max="10241" width="9.33203125" style="7" customWidth="1"/>
    <col min="10242" max="10242" width="9.109375" style="7"/>
    <col min="10243" max="10243" width="5.6640625" style="7" customWidth="1"/>
    <col min="10244" max="10244" width="22" style="7" customWidth="1"/>
    <col min="10245" max="10245" width="11" style="7" customWidth="1"/>
    <col min="10246" max="10246" width="19" style="7" customWidth="1"/>
    <col min="10247" max="10247" width="10.5546875" style="7" customWidth="1"/>
    <col min="10248" max="10496" width="9.109375" style="7"/>
    <col min="10497" max="10497" width="9.33203125" style="7" customWidth="1"/>
    <col min="10498" max="10498" width="9.109375" style="7"/>
    <col min="10499" max="10499" width="5.6640625" style="7" customWidth="1"/>
    <col min="10500" max="10500" width="22" style="7" customWidth="1"/>
    <col min="10501" max="10501" width="11" style="7" customWidth="1"/>
    <col min="10502" max="10502" width="19" style="7" customWidth="1"/>
    <col min="10503" max="10503" width="10.5546875" style="7" customWidth="1"/>
    <col min="10504" max="10752" width="9.109375" style="7"/>
    <col min="10753" max="10753" width="9.33203125" style="7" customWidth="1"/>
    <col min="10754" max="10754" width="9.109375" style="7"/>
    <col min="10755" max="10755" width="5.6640625" style="7" customWidth="1"/>
    <col min="10756" max="10756" width="22" style="7" customWidth="1"/>
    <col min="10757" max="10757" width="11" style="7" customWidth="1"/>
    <col min="10758" max="10758" width="19" style="7" customWidth="1"/>
    <col min="10759" max="10759" width="10.5546875" style="7" customWidth="1"/>
    <col min="10760" max="11008" width="9.109375" style="7"/>
    <col min="11009" max="11009" width="9.33203125" style="7" customWidth="1"/>
    <col min="11010" max="11010" width="9.109375" style="7"/>
    <col min="11011" max="11011" width="5.6640625" style="7" customWidth="1"/>
    <col min="11012" max="11012" width="22" style="7" customWidth="1"/>
    <col min="11013" max="11013" width="11" style="7" customWidth="1"/>
    <col min="11014" max="11014" width="19" style="7" customWidth="1"/>
    <col min="11015" max="11015" width="10.5546875" style="7" customWidth="1"/>
    <col min="11016" max="11264" width="9.109375" style="7"/>
    <col min="11265" max="11265" width="9.33203125" style="7" customWidth="1"/>
    <col min="11266" max="11266" width="9.109375" style="7"/>
    <col min="11267" max="11267" width="5.6640625" style="7" customWidth="1"/>
    <col min="11268" max="11268" width="22" style="7" customWidth="1"/>
    <col min="11269" max="11269" width="11" style="7" customWidth="1"/>
    <col min="11270" max="11270" width="19" style="7" customWidth="1"/>
    <col min="11271" max="11271" width="10.5546875" style="7" customWidth="1"/>
    <col min="11272" max="11520" width="9.109375" style="7"/>
    <col min="11521" max="11521" width="9.33203125" style="7" customWidth="1"/>
    <col min="11522" max="11522" width="9.109375" style="7"/>
    <col min="11523" max="11523" width="5.6640625" style="7" customWidth="1"/>
    <col min="11524" max="11524" width="22" style="7" customWidth="1"/>
    <col min="11525" max="11525" width="11" style="7" customWidth="1"/>
    <col min="11526" max="11526" width="19" style="7" customWidth="1"/>
    <col min="11527" max="11527" width="10.5546875" style="7" customWidth="1"/>
    <col min="11528" max="11776" width="9.109375" style="7"/>
    <col min="11777" max="11777" width="9.33203125" style="7" customWidth="1"/>
    <col min="11778" max="11778" width="9.109375" style="7"/>
    <col min="11779" max="11779" width="5.6640625" style="7" customWidth="1"/>
    <col min="11780" max="11780" width="22" style="7" customWidth="1"/>
    <col min="11781" max="11781" width="11" style="7" customWidth="1"/>
    <col min="11782" max="11782" width="19" style="7" customWidth="1"/>
    <col min="11783" max="11783" width="10.5546875" style="7" customWidth="1"/>
    <col min="11784" max="12032" width="9.109375" style="7"/>
    <col min="12033" max="12033" width="9.33203125" style="7" customWidth="1"/>
    <col min="12034" max="12034" width="9.109375" style="7"/>
    <col min="12035" max="12035" width="5.6640625" style="7" customWidth="1"/>
    <col min="12036" max="12036" width="22" style="7" customWidth="1"/>
    <col min="12037" max="12037" width="11" style="7" customWidth="1"/>
    <col min="12038" max="12038" width="19" style="7" customWidth="1"/>
    <col min="12039" max="12039" width="10.5546875" style="7" customWidth="1"/>
    <col min="12040" max="12288" width="9.109375" style="7"/>
    <col min="12289" max="12289" width="9.33203125" style="7" customWidth="1"/>
    <col min="12290" max="12290" width="9.109375" style="7"/>
    <col min="12291" max="12291" width="5.6640625" style="7" customWidth="1"/>
    <col min="12292" max="12292" width="22" style="7" customWidth="1"/>
    <col min="12293" max="12293" width="11" style="7" customWidth="1"/>
    <col min="12294" max="12294" width="19" style="7" customWidth="1"/>
    <col min="12295" max="12295" width="10.5546875" style="7" customWidth="1"/>
    <col min="12296" max="12544" width="9.109375" style="7"/>
    <col min="12545" max="12545" width="9.33203125" style="7" customWidth="1"/>
    <col min="12546" max="12546" width="9.109375" style="7"/>
    <col min="12547" max="12547" width="5.6640625" style="7" customWidth="1"/>
    <col min="12548" max="12548" width="22" style="7" customWidth="1"/>
    <col min="12549" max="12549" width="11" style="7" customWidth="1"/>
    <col min="12550" max="12550" width="19" style="7" customWidth="1"/>
    <col min="12551" max="12551" width="10.5546875" style="7" customWidth="1"/>
    <col min="12552" max="12800" width="9.109375" style="7"/>
    <col min="12801" max="12801" width="9.33203125" style="7" customWidth="1"/>
    <col min="12802" max="12802" width="9.109375" style="7"/>
    <col min="12803" max="12803" width="5.6640625" style="7" customWidth="1"/>
    <col min="12804" max="12804" width="22" style="7" customWidth="1"/>
    <col min="12805" max="12805" width="11" style="7" customWidth="1"/>
    <col min="12806" max="12806" width="19" style="7" customWidth="1"/>
    <col min="12807" max="12807" width="10.5546875" style="7" customWidth="1"/>
    <col min="12808" max="13056" width="9.109375" style="7"/>
    <col min="13057" max="13057" width="9.33203125" style="7" customWidth="1"/>
    <col min="13058" max="13058" width="9.109375" style="7"/>
    <col min="13059" max="13059" width="5.6640625" style="7" customWidth="1"/>
    <col min="13060" max="13060" width="22" style="7" customWidth="1"/>
    <col min="13061" max="13061" width="11" style="7" customWidth="1"/>
    <col min="13062" max="13062" width="19" style="7" customWidth="1"/>
    <col min="13063" max="13063" width="10.5546875" style="7" customWidth="1"/>
    <col min="13064" max="13312" width="9.109375" style="7"/>
    <col min="13313" max="13313" width="9.33203125" style="7" customWidth="1"/>
    <col min="13314" max="13314" width="9.109375" style="7"/>
    <col min="13315" max="13315" width="5.6640625" style="7" customWidth="1"/>
    <col min="13316" max="13316" width="22" style="7" customWidth="1"/>
    <col min="13317" max="13317" width="11" style="7" customWidth="1"/>
    <col min="13318" max="13318" width="19" style="7" customWidth="1"/>
    <col min="13319" max="13319" width="10.5546875" style="7" customWidth="1"/>
    <col min="13320" max="13568" width="9.109375" style="7"/>
    <col min="13569" max="13569" width="9.33203125" style="7" customWidth="1"/>
    <col min="13570" max="13570" width="9.109375" style="7"/>
    <col min="13571" max="13571" width="5.6640625" style="7" customWidth="1"/>
    <col min="13572" max="13572" width="22" style="7" customWidth="1"/>
    <col min="13573" max="13573" width="11" style="7" customWidth="1"/>
    <col min="13574" max="13574" width="19" style="7" customWidth="1"/>
    <col min="13575" max="13575" width="10.5546875" style="7" customWidth="1"/>
    <col min="13576" max="13824" width="9.109375" style="7"/>
    <col min="13825" max="13825" width="9.33203125" style="7" customWidth="1"/>
    <col min="13826" max="13826" width="9.109375" style="7"/>
    <col min="13827" max="13827" width="5.6640625" style="7" customWidth="1"/>
    <col min="13828" max="13828" width="22" style="7" customWidth="1"/>
    <col min="13829" max="13829" width="11" style="7" customWidth="1"/>
    <col min="13830" max="13830" width="19" style="7" customWidth="1"/>
    <col min="13831" max="13831" width="10.5546875" style="7" customWidth="1"/>
    <col min="13832" max="14080" width="9.109375" style="7"/>
    <col min="14081" max="14081" width="9.33203125" style="7" customWidth="1"/>
    <col min="14082" max="14082" width="9.109375" style="7"/>
    <col min="14083" max="14083" width="5.6640625" style="7" customWidth="1"/>
    <col min="14084" max="14084" width="22" style="7" customWidth="1"/>
    <col min="14085" max="14085" width="11" style="7" customWidth="1"/>
    <col min="14086" max="14086" width="19" style="7" customWidth="1"/>
    <col min="14087" max="14087" width="10.5546875" style="7" customWidth="1"/>
    <col min="14088" max="14336" width="9.109375" style="7"/>
    <col min="14337" max="14337" width="9.33203125" style="7" customWidth="1"/>
    <col min="14338" max="14338" width="9.109375" style="7"/>
    <col min="14339" max="14339" width="5.6640625" style="7" customWidth="1"/>
    <col min="14340" max="14340" width="22" style="7" customWidth="1"/>
    <col min="14341" max="14341" width="11" style="7" customWidth="1"/>
    <col min="14342" max="14342" width="19" style="7" customWidth="1"/>
    <col min="14343" max="14343" width="10.5546875" style="7" customWidth="1"/>
    <col min="14344" max="14592" width="9.109375" style="7"/>
    <col min="14593" max="14593" width="9.33203125" style="7" customWidth="1"/>
    <col min="14594" max="14594" width="9.109375" style="7"/>
    <col min="14595" max="14595" width="5.6640625" style="7" customWidth="1"/>
    <col min="14596" max="14596" width="22" style="7" customWidth="1"/>
    <col min="14597" max="14597" width="11" style="7" customWidth="1"/>
    <col min="14598" max="14598" width="19" style="7" customWidth="1"/>
    <col min="14599" max="14599" width="10.5546875" style="7" customWidth="1"/>
    <col min="14600" max="14848" width="9.109375" style="7"/>
    <col min="14849" max="14849" width="9.33203125" style="7" customWidth="1"/>
    <col min="14850" max="14850" width="9.109375" style="7"/>
    <col min="14851" max="14851" width="5.6640625" style="7" customWidth="1"/>
    <col min="14852" max="14852" width="22" style="7" customWidth="1"/>
    <col min="14853" max="14853" width="11" style="7" customWidth="1"/>
    <col min="14854" max="14854" width="19" style="7" customWidth="1"/>
    <col min="14855" max="14855" width="10.5546875" style="7" customWidth="1"/>
    <col min="14856" max="15104" width="9.109375" style="7"/>
    <col min="15105" max="15105" width="9.33203125" style="7" customWidth="1"/>
    <col min="15106" max="15106" width="9.109375" style="7"/>
    <col min="15107" max="15107" width="5.6640625" style="7" customWidth="1"/>
    <col min="15108" max="15108" width="22" style="7" customWidth="1"/>
    <col min="15109" max="15109" width="11" style="7" customWidth="1"/>
    <col min="15110" max="15110" width="19" style="7" customWidth="1"/>
    <col min="15111" max="15111" width="10.5546875" style="7" customWidth="1"/>
    <col min="15112" max="15360" width="9.109375" style="7"/>
    <col min="15361" max="15361" width="9.33203125" style="7" customWidth="1"/>
    <col min="15362" max="15362" width="9.109375" style="7"/>
    <col min="15363" max="15363" width="5.6640625" style="7" customWidth="1"/>
    <col min="15364" max="15364" width="22" style="7" customWidth="1"/>
    <col min="15365" max="15365" width="11" style="7" customWidth="1"/>
    <col min="15366" max="15366" width="19" style="7" customWidth="1"/>
    <col min="15367" max="15367" width="10.5546875" style="7" customWidth="1"/>
    <col min="15368" max="15616" width="9.109375" style="7"/>
    <col min="15617" max="15617" width="9.33203125" style="7" customWidth="1"/>
    <col min="15618" max="15618" width="9.109375" style="7"/>
    <col min="15619" max="15619" width="5.6640625" style="7" customWidth="1"/>
    <col min="15620" max="15620" width="22" style="7" customWidth="1"/>
    <col min="15621" max="15621" width="11" style="7" customWidth="1"/>
    <col min="15622" max="15622" width="19" style="7" customWidth="1"/>
    <col min="15623" max="15623" width="10.5546875" style="7" customWidth="1"/>
    <col min="15624" max="15872" width="9.109375" style="7"/>
    <col min="15873" max="15873" width="9.33203125" style="7" customWidth="1"/>
    <col min="15874" max="15874" width="9.109375" style="7"/>
    <col min="15875" max="15875" width="5.6640625" style="7" customWidth="1"/>
    <col min="15876" max="15876" width="22" style="7" customWidth="1"/>
    <col min="15877" max="15877" width="11" style="7" customWidth="1"/>
    <col min="15878" max="15878" width="19" style="7" customWidth="1"/>
    <col min="15879" max="15879" width="10.5546875" style="7" customWidth="1"/>
    <col min="15880" max="16128" width="9.109375" style="7"/>
    <col min="16129" max="16129" width="9.33203125" style="7" customWidth="1"/>
    <col min="16130" max="16130" width="9.109375" style="7"/>
    <col min="16131" max="16131" width="5.6640625" style="7" customWidth="1"/>
    <col min="16132" max="16132" width="22" style="7" customWidth="1"/>
    <col min="16133" max="16133" width="11" style="7" customWidth="1"/>
    <col min="16134" max="16134" width="19" style="7" customWidth="1"/>
    <col min="16135" max="16135" width="10.5546875" style="7" customWidth="1"/>
    <col min="16136" max="16384" width="9.109375" style="7"/>
  </cols>
  <sheetData>
    <row r="1" spans="1:7" x14ac:dyDescent="0.3">
      <c r="E1" s="17" t="s">
        <v>201</v>
      </c>
      <c r="F1" s="17"/>
      <c r="G1" s="17"/>
    </row>
    <row r="2" spans="1:7" x14ac:dyDescent="0.3">
      <c r="E2" s="17" t="s">
        <v>202</v>
      </c>
      <c r="F2" s="17"/>
      <c r="G2" s="17"/>
    </row>
    <row r="3" spans="1:7" x14ac:dyDescent="0.3">
      <c r="E3" s="17" t="s">
        <v>211</v>
      </c>
      <c r="F3" s="17"/>
      <c r="G3" s="17"/>
    </row>
    <row r="4" spans="1:7" x14ac:dyDescent="0.3">
      <c r="E4" s="17" t="s">
        <v>210</v>
      </c>
      <c r="F4" s="17"/>
      <c r="G4" s="17"/>
    </row>
    <row r="5" spans="1:7" x14ac:dyDescent="0.3">
      <c r="E5" s="18"/>
      <c r="F5" s="13"/>
      <c r="G5" s="13"/>
    </row>
    <row r="7" spans="1:7" ht="37.5" customHeight="1" x14ac:dyDescent="0.35">
      <c r="A7" s="129" t="s">
        <v>566</v>
      </c>
      <c r="B7" s="129"/>
      <c r="C7" s="129"/>
      <c r="D7" s="129"/>
      <c r="E7" s="125"/>
      <c r="F7" s="125"/>
      <c r="G7" s="125"/>
    </row>
    <row r="10" spans="1:7" ht="78" x14ac:dyDescent="0.3">
      <c r="A10" s="8" t="s">
        <v>203</v>
      </c>
      <c r="B10" s="8" t="s">
        <v>204</v>
      </c>
      <c r="C10" s="8" t="s">
        <v>194</v>
      </c>
      <c r="D10" s="8" t="s">
        <v>205</v>
      </c>
      <c r="E10" s="8" t="s">
        <v>206</v>
      </c>
      <c r="F10" s="8" t="s">
        <v>207</v>
      </c>
      <c r="G10" s="8" t="s">
        <v>208</v>
      </c>
    </row>
    <row r="11" spans="1:7" x14ac:dyDescent="0.3">
      <c r="A11" s="10">
        <v>1</v>
      </c>
      <c r="B11" s="10">
        <v>2</v>
      </c>
      <c r="C11" s="10">
        <v>3</v>
      </c>
      <c r="D11" s="10">
        <v>4</v>
      </c>
      <c r="E11" s="10">
        <v>5</v>
      </c>
      <c r="F11" s="10">
        <v>6</v>
      </c>
      <c r="G11" s="10">
        <v>7</v>
      </c>
    </row>
    <row r="12" spans="1:7" ht="154.5" customHeight="1" x14ac:dyDescent="0.3">
      <c r="A12" s="11" t="s">
        <v>544</v>
      </c>
      <c r="B12" s="11">
        <v>9920026100</v>
      </c>
      <c r="C12" s="11">
        <v>360</v>
      </c>
      <c r="D12" s="28" t="s">
        <v>565</v>
      </c>
      <c r="E12" s="11">
        <v>937</v>
      </c>
      <c r="F12" s="12">
        <v>50000</v>
      </c>
      <c r="G12" s="12">
        <v>50000</v>
      </c>
    </row>
    <row r="13" spans="1:7" x14ac:dyDescent="0.3">
      <c r="A13" s="126" t="s">
        <v>209</v>
      </c>
      <c r="B13" s="132"/>
      <c r="C13" s="132"/>
      <c r="D13" s="132"/>
      <c r="E13" s="127"/>
      <c r="F13" s="12">
        <f>F12</f>
        <v>50000</v>
      </c>
      <c r="G13" s="12">
        <f>G12</f>
        <v>50000</v>
      </c>
    </row>
    <row r="14" spans="1:7" x14ac:dyDescent="0.3">
      <c r="A14" s="19"/>
      <c r="B14" s="19"/>
      <c r="C14" s="19"/>
      <c r="D14" s="19"/>
      <c r="E14" s="20"/>
      <c r="F14" s="20"/>
      <c r="G14" s="20"/>
    </row>
    <row r="17" spans="1:7" x14ac:dyDescent="0.3">
      <c r="A17" s="133"/>
      <c r="B17" s="134"/>
      <c r="C17" s="134"/>
      <c r="D17" s="134"/>
      <c r="E17" s="134"/>
      <c r="F17" s="135"/>
      <c r="G17" s="135"/>
    </row>
    <row r="18" spans="1:7" x14ac:dyDescent="0.3">
      <c r="A18" s="133"/>
      <c r="B18" s="134"/>
      <c r="C18" s="134"/>
      <c r="D18" s="134"/>
      <c r="E18" s="134"/>
    </row>
  </sheetData>
  <mergeCells count="5">
    <mergeCell ref="A7:G7"/>
    <mergeCell ref="A13:E13"/>
    <mergeCell ref="A17:E17"/>
    <mergeCell ref="F17:G17"/>
    <mergeCell ref="A18:E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прил.2</vt:lpstr>
      <vt:lpstr>прил.3</vt:lpstr>
      <vt:lpstr>прил.4</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Татьяна Кочеткова</cp:lastModifiedBy>
  <cp:lastPrinted>2023-07-17T08:09:03Z</cp:lastPrinted>
  <dcterms:created xsi:type="dcterms:W3CDTF">2007-02-27T13:35:41Z</dcterms:created>
  <dcterms:modified xsi:type="dcterms:W3CDTF">2023-07-17T08:51:10Z</dcterms:modified>
</cp:coreProperties>
</file>