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22935" windowHeight="9270" activeTab="5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  <sheet name="прил.7" sheetId="63" r:id="rId6"/>
    <sheet name="прил.8" sheetId="64" r:id="rId7"/>
  </sheets>
  <calcPr calcId="125725"/>
</workbook>
</file>

<file path=xl/calcChain.xml><?xml version="1.0" encoding="utf-8"?>
<calcChain xmlns="http://schemas.openxmlformats.org/spreadsheetml/2006/main">
  <c r="D80" i="3"/>
  <c r="D78" s="1"/>
  <c r="F79"/>
  <c r="E78"/>
  <c r="D41"/>
  <c r="D23"/>
  <c r="D34"/>
  <c r="D464"/>
  <c r="D564"/>
  <c r="D450"/>
  <c r="D609"/>
  <c r="D605"/>
  <c r="D603"/>
  <c r="H438" i="2"/>
  <c r="H144"/>
  <c r="H95"/>
  <c r="H639"/>
  <c r="J638"/>
  <c r="I637"/>
  <c r="H637"/>
  <c r="J637" s="1"/>
  <c r="H577"/>
  <c r="H566"/>
  <c r="H542"/>
  <c r="H40"/>
  <c r="H810"/>
  <c r="H52"/>
  <c r="F407" i="61"/>
  <c r="F145"/>
  <c r="F547"/>
  <c r="F545" s="1"/>
  <c r="G545"/>
  <c r="H546"/>
  <c r="F482"/>
  <c r="F472"/>
  <c r="F449"/>
  <c r="F96"/>
  <c r="F54"/>
  <c r="F42"/>
  <c r="F22"/>
  <c r="E45" i="1"/>
  <c r="E42"/>
  <c r="E41"/>
  <c r="E39"/>
  <c r="E26"/>
  <c r="E24"/>
  <c r="E22"/>
  <c r="E20"/>
  <c r="E18"/>
  <c r="H160" i="61" l="1"/>
  <c r="F25" i="1" l="1"/>
  <c r="F17"/>
  <c r="J532" i="2" l="1"/>
  <c r="E578" i="3" l="1"/>
  <c r="E579"/>
  <c r="E582"/>
  <c r="E586"/>
  <c r="E587"/>
  <c r="E149"/>
  <c r="E147"/>
  <c r="E181"/>
  <c r="E180" s="1"/>
  <c r="I787" i="2"/>
  <c r="I786" s="1"/>
  <c r="I783"/>
  <c r="I781"/>
  <c r="E155" i="3"/>
  <c r="E153"/>
  <c r="I801" i="2"/>
  <c r="I799"/>
  <c r="G637" i="61"/>
  <c r="I751" i="2"/>
  <c r="G603" i="61"/>
  <c r="E124" i="3"/>
  <c r="G602" i="61"/>
  <c r="I750" i="2"/>
  <c r="J748"/>
  <c r="I746"/>
  <c r="H600" i="61"/>
  <c r="G598"/>
  <c r="G597" s="1"/>
  <c r="E120" i="3"/>
  <c r="E133"/>
  <c r="E134"/>
  <c r="G607" i="61"/>
  <c r="G608"/>
  <c r="I755" i="2"/>
  <c r="I756"/>
  <c r="G606" i="61" l="1"/>
  <c r="E132" i="3"/>
  <c r="I754" i="2"/>
  <c r="E163" i="3"/>
  <c r="G553" i="61"/>
  <c r="H551"/>
  <c r="I728" i="2"/>
  <c r="I726"/>
  <c r="E136" i="3"/>
  <c r="E126"/>
  <c r="E125" s="1"/>
  <c r="G531" i="61"/>
  <c r="G523"/>
  <c r="G522" s="1"/>
  <c r="G524"/>
  <c r="G527"/>
  <c r="G526" s="1"/>
  <c r="I716" i="2"/>
  <c r="I708"/>
  <c r="I712"/>
  <c r="E209" i="3"/>
  <c r="E226"/>
  <c r="E228"/>
  <c r="I526" i="2"/>
  <c r="I528"/>
  <c r="G705" i="61"/>
  <c r="G521" l="1"/>
  <c r="G520" s="1"/>
  <c r="G653"/>
  <c r="G678"/>
  <c r="I508" i="2"/>
  <c r="E485" i="3"/>
  <c r="G680" i="61"/>
  <c r="I510" i="2"/>
  <c r="E487" i="3"/>
  <c r="E480"/>
  <c r="I503" i="2"/>
  <c r="G674" i="61"/>
  <c r="E497" i="3"/>
  <c r="I492" i="2"/>
  <c r="G660" i="61"/>
  <c r="G658"/>
  <c r="I489" i="2"/>
  <c r="E494" i="3"/>
  <c r="E236"/>
  <c r="I497" i="2"/>
  <c r="G664" i="61"/>
  <c r="E500" i="3"/>
  <c r="I483" i="2"/>
  <c r="G649" i="61"/>
  <c r="E504" i="3"/>
  <c r="E512"/>
  <c r="E509"/>
  <c r="I400" i="2"/>
  <c r="I396"/>
  <c r="I453"/>
  <c r="I456"/>
  <c r="I473"/>
  <c r="G372" i="61"/>
  <c r="G359"/>
  <c r="G358" s="1"/>
  <c r="G438"/>
  <c r="G422"/>
  <c r="G416"/>
  <c r="G415" s="1"/>
  <c r="G420"/>
  <c r="G400"/>
  <c r="F400"/>
  <c r="E444" i="3"/>
  <c r="D444"/>
  <c r="I430" i="2"/>
  <c r="G396" i="61"/>
  <c r="G395" s="1"/>
  <c r="E438" i="3"/>
  <c r="I424" i="2"/>
  <c r="I423" s="1"/>
  <c r="E432" i="3"/>
  <c r="I418" i="2"/>
  <c r="G391" i="61"/>
  <c r="G381"/>
  <c r="I406" i="2"/>
  <c r="E420" i="3"/>
  <c r="E327"/>
  <c r="D327"/>
  <c r="I392" i="2"/>
  <c r="H392"/>
  <c r="G369" i="61"/>
  <c r="E281" i="3"/>
  <c r="I376" i="2"/>
  <c r="H376"/>
  <c r="G356" i="61"/>
  <c r="E571" i="3"/>
  <c r="I370" i="2"/>
  <c r="E310" i="3"/>
  <c r="I360" i="2"/>
  <c r="E303" i="3"/>
  <c r="E302"/>
  <c r="E301" s="1"/>
  <c r="I353" i="2"/>
  <c r="I352"/>
  <c r="I351" s="1"/>
  <c r="E290" i="3"/>
  <c r="E288"/>
  <c r="I344" i="2"/>
  <c r="I342"/>
  <c r="I339"/>
  <c r="I341"/>
  <c r="G351" i="61"/>
  <c r="G342"/>
  <c r="G336"/>
  <c r="E258" i="3"/>
  <c r="E257" s="1"/>
  <c r="I307" i="2"/>
  <c r="G299" i="61"/>
  <c r="G314"/>
  <c r="I325" i="2"/>
  <c r="E276" i="3"/>
  <c r="E274"/>
  <c r="I323" i="2"/>
  <c r="G312" i="61"/>
  <c r="E267" i="3"/>
  <c r="D267"/>
  <c r="I316" i="2"/>
  <c r="H316"/>
  <c r="G307" i="61"/>
  <c r="E262" i="3"/>
  <c r="D262"/>
  <c r="I311" i="2"/>
  <c r="H311"/>
  <c r="G303" i="61"/>
  <c r="G652" l="1"/>
  <c r="I220" i="2"/>
  <c r="I219" s="1"/>
  <c r="E202" i="3"/>
  <c r="E205"/>
  <c r="E243"/>
  <c r="I290" i="2"/>
  <c r="I285"/>
  <c r="I282"/>
  <c r="E178" i="3"/>
  <c r="I701" i="2"/>
  <c r="G286" i="61"/>
  <c r="G282"/>
  <c r="G276"/>
  <c r="I276" i="2"/>
  <c r="I275"/>
  <c r="G271" i="61"/>
  <c r="G270"/>
  <c r="G258"/>
  <c r="H269" i="2"/>
  <c r="I269"/>
  <c r="G263" i="61"/>
  <c r="I268" i="2"/>
  <c r="E537" i="3"/>
  <c r="G255" i="61"/>
  <c r="F255"/>
  <c r="I260" i="2"/>
  <c r="H260"/>
  <c r="E527" i="3"/>
  <c r="E525"/>
  <c r="D525"/>
  <c r="I258" i="2"/>
  <c r="G253" i="61"/>
  <c r="G244"/>
  <c r="I247" i="2"/>
  <c r="E457" i="3"/>
  <c r="G218" i="61"/>
  <c r="E345" i="3"/>
  <c r="E347"/>
  <c r="D347"/>
  <c r="I222" i="2"/>
  <c r="I221" s="1"/>
  <c r="H222"/>
  <c r="G220" i="61"/>
  <c r="G651" l="1"/>
  <c r="E376" i="3"/>
  <c r="E374"/>
  <c r="E372"/>
  <c r="E371"/>
  <c r="E370" s="1"/>
  <c r="E368"/>
  <c r="I208" i="2"/>
  <c r="E212" i="3"/>
  <c r="E216"/>
  <c r="I196" i="2"/>
  <c r="I200"/>
  <c r="G196" i="61"/>
  <c r="E382" i="3"/>
  <c r="I181" i="2"/>
  <c r="G177" i="61"/>
  <c r="I175" i="2"/>
  <c r="E394" i="3"/>
  <c r="E387"/>
  <c r="E591"/>
  <c r="I166" i="2"/>
  <c r="I150"/>
  <c r="G164" i="61"/>
  <c r="G150"/>
  <c r="I115" i="2"/>
  <c r="I114"/>
  <c r="G116" i="61"/>
  <c r="G115"/>
  <c r="E575" i="3"/>
  <c r="I110" i="2"/>
  <c r="G111" i="61"/>
  <c r="G108" s="1"/>
  <c r="E451" i="3"/>
  <c r="E449"/>
  <c r="E447"/>
  <c r="I96" i="2"/>
  <c r="I94"/>
  <c r="I92"/>
  <c r="E334" i="3"/>
  <c r="I82" i="2"/>
  <c r="G84" i="61"/>
  <c r="E584" i="3"/>
  <c r="I117" i="2"/>
  <c r="G118" i="61"/>
  <c r="G592" l="1"/>
  <c r="G590"/>
  <c r="I673" i="2"/>
  <c r="I671"/>
  <c r="E113" i="3"/>
  <c r="E115"/>
  <c r="E110"/>
  <c r="I668" i="2"/>
  <c r="G587" i="61"/>
  <c r="E91" i="3"/>
  <c r="I655" i="2"/>
  <c r="G576" i="61"/>
  <c r="E75" i="3"/>
  <c r="D75"/>
  <c r="E74"/>
  <c r="D74"/>
  <c r="I652" i="2"/>
  <c r="H652"/>
  <c r="I651"/>
  <c r="H651"/>
  <c r="G573" i="61"/>
  <c r="G574"/>
  <c r="G571"/>
  <c r="I648" i="2"/>
  <c r="E47" i="3"/>
  <c r="G544" i="61"/>
  <c r="I636" i="2"/>
  <c r="H636"/>
  <c r="E70" i="3"/>
  <c r="E67"/>
  <c r="E66"/>
  <c r="G539" i="61"/>
  <c r="G538"/>
  <c r="I629" i="2"/>
  <c r="I628" s="1"/>
  <c r="I630"/>
  <c r="E585" i="3"/>
  <c r="E577"/>
  <c r="E20"/>
  <c r="E101"/>
  <c r="E89"/>
  <c r="I611" i="2"/>
  <c r="I615"/>
  <c r="G508" i="61"/>
  <c r="G513"/>
  <c r="G517"/>
  <c r="I600" i="2"/>
  <c r="G504" i="61"/>
  <c r="E569" i="3"/>
  <c r="G492" i="61"/>
  <c r="F492"/>
  <c r="I588" i="2"/>
  <c r="H588"/>
  <c r="E72" i="3"/>
  <c r="G488" i="61"/>
  <c r="I583" i="2"/>
  <c r="E53" i="3"/>
  <c r="E39"/>
  <c r="I575" i="2"/>
  <c r="G480" i="61"/>
  <c r="E32" i="3"/>
  <c r="D32"/>
  <c r="I540" i="2"/>
  <c r="H540"/>
  <c r="G447" i="61"/>
  <c r="G446" s="1"/>
  <c r="I560" i="2"/>
  <c r="H560"/>
  <c r="G467" i="61"/>
  <c r="I558" i="2"/>
  <c r="G465" i="61"/>
  <c r="E57" i="3"/>
  <c r="D57"/>
  <c r="I546" i="2"/>
  <c r="H546"/>
  <c r="G453" i="61"/>
  <c r="E45" i="3"/>
  <c r="I544" i="2"/>
  <c r="H544"/>
  <c r="G451" i="61"/>
  <c r="E51" i="3"/>
  <c r="G402" i="61"/>
  <c r="G355"/>
  <c r="G354" s="1"/>
  <c r="G353" s="1"/>
  <c r="E446" i="3"/>
  <c r="I64" i="2"/>
  <c r="I63" s="1"/>
  <c r="F609" i="3"/>
  <c r="J810" i="2"/>
  <c r="F605" i="3"/>
  <c r="J52" i="2"/>
  <c r="F603" i="3"/>
  <c r="J40" i="2"/>
  <c r="E559" i="3"/>
  <c r="E560"/>
  <c r="E558" s="1"/>
  <c r="E563"/>
  <c r="D563"/>
  <c r="I143" i="2"/>
  <c r="I141"/>
  <c r="I140"/>
  <c r="I139"/>
  <c r="I138" s="1"/>
  <c r="I137" s="1"/>
  <c r="I136" s="1"/>
  <c r="I135" s="1"/>
  <c r="H143"/>
  <c r="F140" i="61"/>
  <c r="G140"/>
  <c r="G139" s="1"/>
  <c r="G141"/>
  <c r="G142"/>
  <c r="H143"/>
  <c r="G144"/>
  <c r="F144"/>
  <c r="F34" i="3"/>
  <c r="J542" i="2"/>
  <c r="E191" i="3"/>
  <c r="E188"/>
  <c r="E187" s="1"/>
  <c r="E186" s="1"/>
  <c r="I68" i="2"/>
  <c r="I627" l="1"/>
  <c r="I626"/>
  <c r="I625" s="1"/>
  <c r="G138" i="61"/>
  <c r="G137" s="1"/>
  <c r="G136" s="1"/>
  <c r="I21" i="2"/>
  <c r="I23"/>
  <c r="I20" l="1"/>
  <c r="I19" s="1"/>
  <c r="E37" i="64"/>
  <c r="D37"/>
  <c r="F17" l="1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16"/>
  <c r="F37"/>
  <c r="G71" i="61" l="1"/>
  <c r="G69"/>
  <c r="G68" s="1"/>
  <c r="G41"/>
  <c r="G40" s="1"/>
  <c r="G25"/>
  <c r="G104"/>
  <c r="G103" s="1"/>
  <c r="K18" i="63" l="1"/>
  <c r="K16"/>
  <c r="E589" i="3"/>
  <c r="F551"/>
  <c r="F552"/>
  <c r="F554"/>
  <c r="F555"/>
  <c r="F557"/>
  <c r="F561"/>
  <c r="F562"/>
  <c r="F567"/>
  <c r="F573"/>
  <c r="F593"/>
  <c r="F599"/>
  <c r="F470"/>
  <c r="F369"/>
  <c r="F332"/>
  <c r="F260" l="1"/>
  <c r="F232"/>
  <c r="F210"/>
  <c r="F183"/>
  <c r="F166"/>
  <c r="F168"/>
  <c r="F150"/>
  <c r="E119"/>
  <c r="E69"/>
  <c r="F122"/>
  <c r="F128"/>
  <c r="F130"/>
  <c r="F131"/>
  <c r="F141"/>
  <c r="F145"/>
  <c r="F148"/>
  <c r="F154"/>
  <c r="F156"/>
  <c r="F161"/>
  <c r="F172"/>
  <c r="F174"/>
  <c r="F196"/>
  <c r="F198"/>
  <c r="F214"/>
  <c r="F220"/>
  <c r="F222"/>
  <c r="F224"/>
  <c r="F230"/>
  <c r="F246"/>
  <c r="F289"/>
  <c r="F304"/>
  <c r="F325"/>
  <c r="F336"/>
  <c r="F340"/>
  <c r="F353"/>
  <c r="F357"/>
  <c r="F375"/>
  <c r="F377"/>
  <c r="F391"/>
  <c r="F393"/>
  <c r="F398"/>
  <c r="F400"/>
  <c r="F404"/>
  <c r="F406"/>
  <c r="F424"/>
  <c r="F441"/>
  <c r="F450"/>
  <c r="F452"/>
  <c r="F464"/>
  <c r="F475"/>
  <c r="F482"/>
  <c r="F516"/>
  <c r="F518"/>
  <c r="F529"/>
  <c r="F531"/>
  <c r="F535"/>
  <c r="F536"/>
  <c r="F538"/>
  <c r="F540"/>
  <c r="F542"/>
  <c r="E112"/>
  <c r="E111" s="1"/>
  <c r="E109"/>
  <c r="E108" s="1"/>
  <c r="E106"/>
  <c r="E104"/>
  <c r="E65"/>
  <c r="E64" s="1"/>
  <c r="F105"/>
  <c r="F99"/>
  <c r="F97"/>
  <c r="F95"/>
  <c r="F93"/>
  <c r="F92"/>
  <c r="F86"/>
  <c r="F77"/>
  <c r="F63"/>
  <c r="F61"/>
  <c r="F59"/>
  <c r="F43"/>
  <c r="F23"/>
  <c r="F21"/>
  <c r="I821" i="2"/>
  <c r="I820" s="1"/>
  <c r="I819" s="1"/>
  <c r="I818" s="1"/>
  <c r="I817" s="1"/>
  <c r="I809"/>
  <c r="I808" s="1"/>
  <c r="I815"/>
  <c r="I814" s="1"/>
  <c r="I813" s="1"/>
  <c r="I792"/>
  <c r="I791" s="1"/>
  <c r="I790" s="1"/>
  <c r="J782"/>
  <c r="J784"/>
  <c r="J770"/>
  <c r="J772"/>
  <c r="J774"/>
  <c r="J776"/>
  <c r="I768"/>
  <c r="J761"/>
  <c r="J765"/>
  <c r="J789"/>
  <c r="J793"/>
  <c r="J800"/>
  <c r="J802"/>
  <c r="J822"/>
  <c r="J752"/>
  <c r="J753"/>
  <c r="I745"/>
  <c r="I738"/>
  <c r="I737" s="1"/>
  <c r="I736" s="1"/>
  <c r="I734"/>
  <c r="J733"/>
  <c r="I732"/>
  <c r="I731" s="1"/>
  <c r="I730" s="1"/>
  <c r="I725"/>
  <c r="I723"/>
  <c r="I715"/>
  <c r="I717"/>
  <c r="I711"/>
  <c r="J710"/>
  <c r="I709"/>
  <c r="I707"/>
  <c r="I700"/>
  <c r="I699" s="1"/>
  <c r="I698" s="1"/>
  <c r="I697" s="1"/>
  <c r="I696" s="1"/>
  <c r="I694"/>
  <c r="I692" s="1"/>
  <c r="I691" s="1"/>
  <c r="I690" s="1"/>
  <c r="I685"/>
  <c r="I684" s="1"/>
  <c r="J680"/>
  <c r="I679"/>
  <c r="I678" s="1"/>
  <c r="I677" s="1"/>
  <c r="I676" s="1"/>
  <c r="I675" s="1"/>
  <c r="I670"/>
  <c r="I669" s="1"/>
  <c r="I667"/>
  <c r="I666" s="1"/>
  <c r="I664"/>
  <c r="I662"/>
  <c r="I658"/>
  <c r="I656"/>
  <c r="I654"/>
  <c r="I650"/>
  <c r="I649" s="1"/>
  <c r="I647"/>
  <c r="I646" s="1"/>
  <c r="J645"/>
  <c r="I644"/>
  <c r="I643" s="1"/>
  <c r="I635"/>
  <c r="I624"/>
  <c r="I622"/>
  <c r="I620"/>
  <c r="I616"/>
  <c r="H616"/>
  <c r="J617"/>
  <c r="I614"/>
  <c r="I612"/>
  <c r="J613"/>
  <c r="I610"/>
  <c r="I607"/>
  <c r="I605"/>
  <c r="J606"/>
  <c r="I599"/>
  <c r="I597"/>
  <c r="I595"/>
  <c r="I591"/>
  <c r="I589"/>
  <c r="I587"/>
  <c r="I584"/>
  <c r="I582"/>
  <c r="I580"/>
  <c r="I578"/>
  <c r="I576"/>
  <c r="I574"/>
  <c r="I572"/>
  <c r="I570"/>
  <c r="I568"/>
  <c r="I565"/>
  <c r="I564" s="1"/>
  <c r="J566"/>
  <c r="I559"/>
  <c r="I557"/>
  <c r="J554"/>
  <c r="I553"/>
  <c r="H551"/>
  <c r="I551"/>
  <c r="I549"/>
  <c r="J548"/>
  <c r="J550"/>
  <c r="I547"/>
  <c r="I545"/>
  <c r="I543"/>
  <c r="I541"/>
  <c r="I539"/>
  <c r="I281"/>
  <c r="I280" s="1"/>
  <c r="I531"/>
  <c r="I525"/>
  <c r="I527"/>
  <c r="I523"/>
  <c r="I521"/>
  <c r="I519"/>
  <c r="I512"/>
  <c r="I511" s="1"/>
  <c r="I509"/>
  <c r="I507"/>
  <c r="I502"/>
  <c r="I504"/>
  <c r="I496"/>
  <c r="I495" s="1"/>
  <c r="I494" s="1"/>
  <c r="I493" s="1"/>
  <c r="I482"/>
  <c r="I481" s="1"/>
  <c r="I441"/>
  <c r="I491"/>
  <c r="I490" s="1"/>
  <c r="I488"/>
  <c r="I487" s="1"/>
  <c r="I475"/>
  <c r="I472"/>
  <c r="I468"/>
  <c r="I467" s="1"/>
  <c r="I466" s="1"/>
  <c r="I465" s="1"/>
  <c r="I463"/>
  <c r="I461"/>
  <c r="J460"/>
  <c r="J462"/>
  <c r="I459"/>
  <c r="I457"/>
  <c r="I455"/>
  <c r="I452"/>
  <c r="I450"/>
  <c r="I448"/>
  <c r="I443"/>
  <c r="I437"/>
  <c r="I435"/>
  <c r="I433"/>
  <c r="I429"/>
  <c r="I428" s="1"/>
  <c r="I426"/>
  <c r="I425" s="1"/>
  <c r="I421"/>
  <c r="I417"/>
  <c r="I415"/>
  <c r="I413"/>
  <c r="J410"/>
  <c r="I409"/>
  <c r="I408" s="1"/>
  <c r="I405"/>
  <c r="I403"/>
  <c r="I398"/>
  <c r="I395" s="1"/>
  <c r="I391"/>
  <c r="I389"/>
  <c r="I386"/>
  <c r="I384"/>
  <c r="I380"/>
  <c r="I379" s="1"/>
  <c r="I378" s="1"/>
  <c r="I407" l="1"/>
  <c r="I722"/>
  <c r="I706"/>
  <c r="I609"/>
  <c r="E103" i="3"/>
  <c r="E102" s="1"/>
  <c r="I807" i="2"/>
  <c r="I798"/>
  <c r="I797" s="1"/>
  <c r="I727"/>
  <c r="I714"/>
  <c r="I713" s="1"/>
  <c r="I689"/>
  <c r="I693"/>
  <c r="I683"/>
  <c r="I661"/>
  <c r="I660" s="1"/>
  <c r="I653"/>
  <c r="I642" s="1"/>
  <c r="I619"/>
  <c r="J616"/>
  <c r="I604"/>
  <c r="I594"/>
  <c r="I593" s="1"/>
  <c r="I586"/>
  <c r="I501"/>
  <c r="J551"/>
  <c r="I556"/>
  <c r="I555" s="1"/>
  <c r="I538"/>
  <c r="I537" s="1"/>
  <c r="I447"/>
  <c r="I440"/>
  <c r="I506"/>
  <c r="I500" s="1"/>
  <c r="I480"/>
  <c r="I439"/>
  <c r="I486"/>
  <c r="I471"/>
  <c r="I470" s="1"/>
  <c r="I454"/>
  <c r="I420"/>
  <c r="I419" s="1"/>
  <c r="I412"/>
  <c r="I411" s="1"/>
  <c r="I402"/>
  <c r="I394" s="1"/>
  <c r="I388"/>
  <c r="I383"/>
  <c r="I375"/>
  <c r="I374" s="1"/>
  <c r="I373" s="1"/>
  <c r="I372" s="1"/>
  <c r="I369"/>
  <c r="I368" s="1"/>
  <c r="I367" s="1"/>
  <c r="I365"/>
  <c r="I363"/>
  <c r="I359"/>
  <c r="I358" s="1"/>
  <c r="I356"/>
  <c r="I355" s="1"/>
  <c r="J354"/>
  <c r="I350"/>
  <c r="I338"/>
  <c r="I334"/>
  <c r="I332" s="1"/>
  <c r="I331" s="1"/>
  <c r="J329"/>
  <c r="I328"/>
  <c r="I327" s="1"/>
  <c r="I326" s="1"/>
  <c r="I322"/>
  <c r="I319"/>
  <c r="I318" s="1"/>
  <c r="I315"/>
  <c r="I313"/>
  <c r="I310"/>
  <c r="I308"/>
  <c r="I306"/>
  <c r="I302"/>
  <c r="I301" s="1"/>
  <c r="I299"/>
  <c r="I298" s="1"/>
  <c r="J293"/>
  <c r="I292"/>
  <c r="I291" s="1"/>
  <c r="I289"/>
  <c r="I288" s="1"/>
  <c r="I284"/>
  <c r="I283" s="1"/>
  <c r="I279" s="1"/>
  <c r="I278" s="1"/>
  <c r="I274"/>
  <c r="I272"/>
  <c r="I267"/>
  <c r="I265"/>
  <c r="I263"/>
  <c r="I261"/>
  <c r="I259"/>
  <c r="I257"/>
  <c r="I252"/>
  <c r="J253"/>
  <c r="I250"/>
  <c r="I249" s="1"/>
  <c r="I248" s="1"/>
  <c r="I246"/>
  <c r="I244"/>
  <c r="I239"/>
  <c r="I237"/>
  <c r="I235"/>
  <c r="J228"/>
  <c r="J232"/>
  <c r="I233"/>
  <c r="I231"/>
  <c r="I229"/>
  <c r="I227"/>
  <c r="I225"/>
  <c r="I223"/>
  <c r="I213"/>
  <c r="I211"/>
  <c r="I209"/>
  <c r="I207"/>
  <c r="I205"/>
  <c r="I199"/>
  <c r="I197"/>
  <c r="J194"/>
  <c r="I195"/>
  <c r="I193"/>
  <c r="I184"/>
  <c r="J185"/>
  <c r="I186"/>
  <c r="I183" s="1"/>
  <c r="I180"/>
  <c r="I179" s="1"/>
  <c r="I178" s="1"/>
  <c r="I177" s="1"/>
  <c r="J73"/>
  <c r="J75"/>
  <c r="J174"/>
  <c r="I173"/>
  <c r="I171"/>
  <c r="I164"/>
  <c r="I163" s="1"/>
  <c r="I161"/>
  <c r="J160"/>
  <c r="J162"/>
  <c r="I159"/>
  <c r="J154"/>
  <c r="J156"/>
  <c r="I155"/>
  <c r="I153"/>
  <c r="I149"/>
  <c r="I147" s="1"/>
  <c r="H141"/>
  <c r="I131"/>
  <c r="I130" s="1"/>
  <c r="I125"/>
  <c r="I121"/>
  <c r="J119"/>
  <c r="J122"/>
  <c r="I116"/>
  <c r="I112"/>
  <c r="I107"/>
  <c r="I103"/>
  <c r="I102" s="1"/>
  <c r="I100"/>
  <c r="I99" s="1"/>
  <c r="J84"/>
  <c r="J88"/>
  <c r="I87"/>
  <c r="I85"/>
  <c r="J80"/>
  <c r="I79"/>
  <c r="I74"/>
  <c r="I71"/>
  <c r="I69"/>
  <c r="I67"/>
  <c r="I58"/>
  <c r="I57" s="1"/>
  <c r="I51"/>
  <c r="I50" s="1"/>
  <c r="I48"/>
  <c r="I47" s="1"/>
  <c r="I44"/>
  <c r="I43" s="1"/>
  <c r="I39"/>
  <c r="I38" s="1"/>
  <c r="I31"/>
  <c r="E23" i="1"/>
  <c r="E17" s="1"/>
  <c r="E27"/>
  <c r="E28"/>
  <c r="E29"/>
  <c r="E30"/>
  <c r="F30"/>
  <c r="F36"/>
  <c r="E37"/>
  <c r="E38"/>
  <c r="F40"/>
  <c r="E43"/>
  <c r="E46"/>
  <c r="E47"/>
  <c r="F47"/>
  <c r="E50"/>
  <c r="F50"/>
  <c r="E54"/>
  <c r="F54"/>
  <c r="E56"/>
  <c r="F56"/>
  <c r="E58"/>
  <c r="F58"/>
  <c r="I749" i="2"/>
  <c r="J735"/>
  <c r="J729"/>
  <c r="J724"/>
  <c r="J718"/>
  <c r="J695"/>
  <c r="J665"/>
  <c r="J663"/>
  <c r="J659"/>
  <c r="I634"/>
  <c r="I633" s="1"/>
  <c r="I632" s="1"/>
  <c r="I631" s="1"/>
  <c r="J623"/>
  <c r="J581"/>
  <c r="J552"/>
  <c r="J524"/>
  <c r="J522"/>
  <c r="J520"/>
  <c r="J513"/>
  <c r="J505"/>
  <c r="J474"/>
  <c r="J438"/>
  <c r="J427"/>
  <c r="I348"/>
  <c r="I347" s="1"/>
  <c r="J343"/>
  <c r="J340"/>
  <c r="J270"/>
  <c r="J266"/>
  <c r="J264"/>
  <c r="J214"/>
  <c r="J212"/>
  <c r="J206"/>
  <c r="J198"/>
  <c r="J187"/>
  <c r="J172"/>
  <c r="J142"/>
  <c r="J128"/>
  <c r="J108"/>
  <c r="J105"/>
  <c r="J104"/>
  <c r="J97"/>
  <c r="I83"/>
  <c r="I81"/>
  <c r="J59"/>
  <c r="J49"/>
  <c r="J46"/>
  <c r="J45"/>
  <c r="G696" i="61"/>
  <c r="G663"/>
  <c r="G662" s="1"/>
  <c r="G661" s="1"/>
  <c r="G168"/>
  <c r="G34"/>
  <c r="G33" s="1"/>
  <c r="G689"/>
  <c r="G687"/>
  <c r="G668"/>
  <c r="G667" s="1"/>
  <c r="H676"/>
  <c r="H682"/>
  <c r="H688"/>
  <c r="H690"/>
  <c r="H697"/>
  <c r="H699"/>
  <c r="H701"/>
  <c r="H707"/>
  <c r="H709"/>
  <c r="H715"/>
  <c r="H661"/>
  <c r="G659"/>
  <c r="H655"/>
  <c r="G657"/>
  <c r="H654"/>
  <c r="G648"/>
  <c r="G647" s="1"/>
  <c r="G646" s="1"/>
  <c r="G645" s="1"/>
  <c r="G642"/>
  <c r="G641" s="1"/>
  <c r="G640" s="1"/>
  <c r="G636"/>
  <c r="G635" s="1"/>
  <c r="G633"/>
  <c r="H632"/>
  <c r="H634"/>
  <c r="G631"/>
  <c r="H627"/>
  <c r="G626"/>
  <c r="G624"/>
  <c r="H621"/>
  <c r="G622"/>
  <c r="G619"/>
  <c r="G615"/>
  <c r="G613"/>
  <c r="G611"/>
  <c r="G609"/>
  <c r="H610"/>
  <c r="H604"/>
  <c r="H605"/>
  <c r="G601"/>
  <c r="G489"/>
  <c r="G589"/>
  <c r="G588" s="1"/>
  <c r="G586"/>
  <c r="G584"/>
  <c r="H583"/>
  <c r="H585"/>
  <c r="G582"/>
  <c r="G579"/>
  <c r="G577"/>
  <c r="H578"/>
  <c r="G575"/>
  <c r="H569"/>
  <c r="G572"/>
  <c r="G570"/>
  <c r="G568"/>
  <c r="G563"/>
  <c r="G562" s="1"/>
  <c r="G561" s="1"/>
  <c r="H560"/>
  <c r="G559"/>
  <c r="H558"/>
  <c r="G557"/>
  <c r="G556" s="1"/>
  <c r="G554"/>
  <c r="G552"/>
  <c r="G550"/>
  <c r="G543"/>
  <c r="G537"/>
  <c r="G536" s="1"/>
  <c r="G535" s="1"/>
  <c r="G534" s="1"/>
  <c r="H533"/>
  <c r="G532"/>
  <c r="G530"/>
  <c r="H525"/>
  <c r="G518"/>
  <c r="F518"/>
  <c r="G516"/>
  <c r="G514"/>
  <c r="G512"/>
  <c r="G510"/>
  <c r="G503"/>
  <c r="G499"/>
  <c r="G495"/>
  <c r="G493"/>
  <c r="G487"/>
  <c r="H486"/>
  <c r="G485"/>
  <c r="G483"/>
  <c r="G481"/>
  <c r="G479"/>
  <c r="G477"/>
  <c r="G475"/>
  <c r="G473"/>
  <c r="G466"/>
  <c r="G464"/>
  <c r="H457"/>
  <c r="H459"/>
  <c r="G456"/>
  <c r="G454"/>
  <c r="G452"/>
  <c r="H455"/>
  <c r="G440"/>
  <c r="G437"/>
  <c r="H439"/>
  <c r="G433"/>
  <c r="G432" s="1"/>
  <c r="G431" s="1"/>
  <c r="G429"/>
  <c r="G427"/>
  <c r="G425"/>
  <c r="G423"/>
  <c r="G421"/>
  <c r="G419"/>
  <c r="G417"/>
  <c r="G411"/>
  <c r="G409"/>
  <c r="G406"/>
  <c r="G404"/>
  <c r="H398"/>
  <c r="G399"/>
  <c r="G397"/>
  <c r="G393"/>
  <c r="G390"/>
  <c r="G388"/>
  <c r="G386"/>
  <c r="G383"/>
  <c r="G382" s="1"/>
  <c r="G380"/>
  <c r="F381"/>
  <c r="H381" s="1"/>
  <c r="H384"/>
  <c r="G378"/>
  <c r="G376"/>
  <c r="G374"/>
  <c r="G368"/>
  <c r="G366"/>
  <c r="G364"/>
  <c r="G362"/>
  <c r="G293"/>
  <c r="G311"/>
  <c r="G350"/>
  <c r="G349" s="1"/>
  <c r="G348" s="1"/>
  <c r="G344"/>
  <c r="G346"/>
  <c r="G341"/>
  <c r="G339"/>
  <c r="G337"/>
  <c r="G335"/>
  <c r="G333"/>
  <c r="G330"/>
  <c r="G328"/>
  <c r="G326"/>
  <c r="G322"/>
  <c r="G321" s="1"/>
  <c r="G320" s="1"/>
  <c r="G317"/>
  <c r="G316" s="1"/>
  <c r="G315" s="1"/>
  <c r="G313"/>
  <c r="G309"/>
  <c r="H301"/>
  <c r="G306"/>
  <c r="G304"/>
  <c r="G302"/>
  <c r="G300"/>
  <c r="G298"/>
  <c r="G295"/>
  <c r="H288"/>
  <c r="G287"/>
  <c r="G281"/>
  <c r="G275"/>
  <c r="G274" s="1"/>
  <c r="G273" s="1"/>
  <c r="G269"/>
  <c r="H265"/>
  <c r="G267"/>
  <c r="G264"/>
  <c r="G262"/>
  <c r="G260"/>
  <c r="H257"/>
  <c r="H259"/>
  <c r="G256"/>
  <c r="G254"/>
  <c r="G252"/>
  <c r="H249"/>
  <c r="G248"/>
  <c r="G246"/>
  <c r="G241"/>
  <c r="G235"/>
  <c r="H230"/>
  <c r="G229"/>
  <c r="G227"/>
  <c r="G225"/>
  <c r="H226"/>
  <c r="G223"/>
  <c r="G221"/>
  <c r="G219"/>
  <c r="G217"/>
  <c r="H211"/>
  <c r="H213"/>
  <c r="G212"/>
  <c r="G210"/>
  <c r="G208"/>
  <c r="G206"/>
  <c r="G204"/>
  <c r="G199"/>
  <c r="G197"/>
  <c r="G195"/>
  <c r="G193"/>
  <c r="H189"/>
  <c r="G188"/>
  <c r="G187" s="1"/>
  <c r="G186" s="1"/>
  <c r="G185" s="1"/>
  <c r="G182"/>
  <c r="G180"/>
  <c r="G176"/>
  <c r="G175" s="1"/>
  <c r="G174" s="1"/>
  <c r="G170"/>
  <c r="G162"/>
  <c r="G161" s="1"/>
  <c r="G159"/>
  <c r="G157"/>
  <c r="H153"/>
  <c r="H155"/>
  <c r="G154"/>
  <c r="G149"/>
  <c r="G148" s="1"/>
  <c r="F142"/>
  <c r="G132"/>
  <c r="G131" s="1"/>
  <c r="H129"/>
  <c r="G126"/>
  <c r="H123"/>
  <c r="G122"/>
  <c r="G121" s="1"/>
  <c r="G119"/>
  <c r="G117"/>
  <c r="G113"/>
  <c r="H109"/>
  <c r="G107"/>
  <c r="G101"/>
  <c r="G100" s="1"/>
  <c r="G97"/>
  <c r="G95"/>
  <c r="G93"/>
  <c r="H90"/>
  <c r="G89"/>
  <c r="G87"/>
  <c r="H78"/>
  <c r="G77"/>
  <c r="G63"/>
  <c r="G62" s="1"/>
  <c r="G61" s="1"/>
  <c r="G58"/>
  <c r="G53"/>
  <c r="G52" s="1"/>
  <c r="G48"/>
  <c r="G47" s="1"/>
  <c r="G46" s="1"/>
  <c r="G45" s="1"/>
  <c r="G27"/>
  <c r="G24" s="1"/>
  <c r="G23" s="1"/>
  <c r="H643"/>
  <c r="H639"/>
  <c r="H625"/>
  <c r="H623"/>
  <c r="H616"/>
  <c r="H580"/>
  <c r="H564"/>
  <c r="H555"/>
  <c r="H519"/>
  <c r="H515"/>
  <c r="H509"/>
  <c r="G501"/>
  <c r="H496"/>
  <c r="G491"/>
  <c r="H472"/>
  <c r="G471"/>
  <c r="H461"/>
  <c r="G458"/>
  <c r="G450"/>
  <c r="G448"/>
  <c r="H428"/>
  <c r="H426"/>
  <c r="H412"/>
  <c r="H407"/>
  <c r="H367"/>
  <c r="H338"/>
  <c r="H329"/>
  <c r="H327"/>
  <c r="H318"/>
  <c r="G285"/>
  <c r="H280"/>
  <c r="H268"/>
  <c r="H261"/>
  <c r="G243"/>
  <c r="G237"/>
  <c r="G233"/>
  <c r="G231"/>
  <c r="H205"/>
  <c r="H198"/>
  <c r="H194"/>
  <c r="H183"/>
  <c r="H181"/>
  <c r="H171"/>
  <c r="H169"/>
  <c r="H158"/>
  <c r="H120"/>
  <c r="H106"/>
  <c r="H105"/>
  <c r="H98"/>
  <c r="H96"/>
  <c r="H86"/>
  <c r="G85"/>
  <c r="G83"/>
  <c r="H82"/>
  <c r="G81"/>
  <c r="H76"/>
  <c r="G74"/>
  <c r="G72"/>
  <c r="G70"/>
  <c r="H49"/>
  <c r="H36"/>
  <c r="H35"/>
  <c r="H22"/>
  <c r="G21"/>
  <c r="G20" s="1"/>
  <c r="G19" s="1"/>
  <c r="G18" s="1"/>
  <c r="F16" i="1" l="1"/>
  <c r="G57" i="61"/>
  <c r="G67"/>
  <c r="G66" s="1"/>
  <c r="G371"/>
  <c r="G401"/>
  <c r="G414"/>
  <c r="G413" s="1"/>
  <c r="G507"/>
  <c r="G506" s="1"/>
  <c r="E40" i="1"/>
  <c r="E36"/>
  <c r="E25"/>
  <c r="I243" i="2"/>
  <c r="I242" s="1"/>
  <c r="I241" s="1"/>
  <c r="I218"/>
  <c r="I217" s="1"/>
  <c r="I216" s="1"/>
  <c r="I256"/>
  <c r="I255" s="1"/>
  <c r="I254" s="1"/>
  <c r="G361" i="61"/>
  <c r="G357" s="1"/>
  <c r="I346" i="2"/>
  <c r="G192" i="61"/>
  <c r="G191" s="1"/>
  <c r="G190" s="1"/>
  <c r="G470"/>
  <c r="G469" s="1"/>
  <c r="I796" i="2"/>
  <c r="G385" i="61"/>
  <c r="G167"/>
  <c r="G166" s="1"/>
  <c r="G165" s="1"/>
  <c r="G596"/>
  <c r="G595" s="1"/>
  <c r="I806" i="2"/>
  <c r="I618"/>
  <c r="I682"/>
  <c r="I641"/>
  <c r="I382"/>
  <c r="I377" s="1"/>
  <c r="J592"/>
  <c r="I536"/>
  <c r="I535" s="1"/>
  <c r="I287"/>
  <c r="I286" s="1"/>
  <c r="I277" s="1"/>
  <c r="I446"/>
  <c r="I445" s="1"/>
  <c r="I479"/>
  <c r="I485"/>
  <c r="J530"/>
  <c r="I529"/>
  <c r="I518" s="1"/>
  <c r="I517" s="1"/>
  <c r="I499"/>
  <c r="J141"/>
  <c r="I312"/>
  <c r="I362"/>
  <c r="I361" s="1"/>
  <c r="I337"/>
  <c r="I333"/>
  <c r="I305"/>
  <c r="I297"/>
  <c r="I567"/>
  <c r="I271"/>
  <c r="I182"/>
  <c r="I192"/>
  <c r="I191" s="1"/>
  <c r="I190" s="1"/>
  <c r="I189" s="1"/>
  <c r="I324"/>
  <c r="I204"/>
  <c r="I203" s="1"/>
  <c r="I202" s="1"/>
  <c r="I201" s="1"/>
  <c r="I176"/>
  <c r="I721"/>
  <c r="I720" s="1"/>
  <c r="I157"/>
  <c r="I170"/>
  <c r="I169" s="1"/>
  <c r="I158"/>
  <c r="I151"/>
  <c r="I152"/>
  <c r="I148"/>
  <c r="J739"/>
  <c r="I120"/>
  <c r="I91"/>
  <c r="I90" s="1"/>
  <c r="I78"/>
  <c r="I77" s="1"/>
  <c r="I66"/>
  <c r="I62" s="1"/>
  <c r="I61" s="1"/>
  <c r="I56"/>
  <c r="I42"/>
  <c r="I37"/>
  <c r="I30"/>
  <c r="I29" s="1"/>
  <c r="I18"/>
  <c r="I17" s="1"/>
  <c r="I16" s="1"/>
  <c r="J390"/>
  <c r="J309"/>
  <c r="I432"/>
  <c r="J657"/>
  <c r="G666" i="61"/>
  <c r="G656"/>
  <c r="G655" s="1"/>
  <c r="G650" s="1"/>
  <c r="G618"/>
  <c r="G617" s="1"/>
  <c r="G549"/>
  <c r="G567"/>
  <c r="G581"/>
  <c r="G529"/>
  <c r="G528" s="1"/>
  <c r="G505" s="1"/>
  <c r="G498"/>
  <c r="G497" s="1"/>
  <c r="G463"/>
  <c r="G462" s="1"/>
  <c r="G436"/>
  <c r="G435" s="1"/>
  <c r="G408"/>
  <c r="G392"/>
  <c r="G343"/>
  <c r="G292"/>
  <c r="G297"/>
  <c r="G332"/>
  <c r="G325"/>
  <c r="G308"/>
  <c r="G284"/>
  <c r="G283" s="1"/>
  <c r="G279"/>
  <c r="G266"/>
  <c r="G251"/>
  <c r="G250" s="1"/>
  <c r="G245"/>
  <c r="G240"/>
  <c r="G216"/>
  <c r="G215" s="1"/>
  <c r="G542"/>
  <c r="G541" s="1"/>
  <c r="G203"/>
  <c r="G202" s="1"/>
  <c r="G201" s="1"/>
  <c r="G179"/>
  <c r="G178" s="1"/>
  <c r="G460"/>
  <c r="G445" s="1"/>
  <c r="G444" s="1"/>
  <c r="G443" s="1"/>
  <c r="G548"/>
  <c r="G156"/>
  <c r="H142"/>
  <c r="G99"/>
  <c r="G92"/>
  <c r="G80"/>
  <c r="G51"/>
  <c r="G50" s="1"/>
  <c r="H518"/>
  <c r="G152"/>
  <c r="D16" i="62"/>
  <c r="E16"/>
  <c r="F16"/>
  <c r="D14"/>
  <c r="E14"/>
  <c r="C16"/>
  <c r="C14"/>
  <c r="G24" i="1"/>
  <c r="G26"/>
  <c r="G27"/>
  <c r="G28"/>
  <c r="G29"/>
  <c r="G31"/>
  <c r="G32"/>
  <c r="G33"/>
  <c r="G34"/>
  <c r="G35"/>
  <c r="G37"/>
  <c r="G38"/>
  <c r="G39"/>
  <c r="G41"/>
  <c r="G42"/>
  <c r="G43"/>
  <c r="G44"/>
  <c r="G45"/>
  <c r="G46"/>
  <c r="G48"/>
  <c r="G49"/>
  <c r="G51"/>
  <c r="G52"/>
  <c r="G53"/>
  <c r="G55"/>
  <c r="G57"/>
  <c r="G59"/>
  <c r="G25"/>
  <c r="G30"/>
  <c r="G36"/>
  <c r="G40"/>
  <c r="G47"/>
  <c r="G50"/>
  <c r="G54"/>
  <c r="G56"/>
  <c r="G58"/>
  <c r="G22"/>
  <c r="G21"/>
  <c r="G20"/>
  <c r="G19"/>
  <c r="G18"/>
  <c r="G370" i="61" l="1"/>
  <c r="G468"/>
  <c r="E16" i="1"/>
  <c r="I215" i="2"/>
  <c r="G352" i="61"/>
  <c r="I795" i="2"/>
  <c r="G239" i="61"/>
  <c r="I805" i="2"/>
  <c r="I681"/>
  <c r="I640"/>
  <c r="I563"/>
  <c r="I562" s="1"/>
  <c r="I561" s="1"/>
  <c r="J621"/>
  <c r="I304"/>
  <c r="I484"/>
  <c r="I478"/>
  <c r="I515"/>
  <c r="I514" s="1"/>
  <c r="I516"/>
  <c r="I498"/>
  <c r="I431"/>
  <c r="I393" s="1"/>
  <c r="I371" s="1"/>
  <c r="I336"/>
  <c r="I330" s="1"/>
  <c r="I321"/>
  <c r="J262"/>
  <c r="I168"/>
  <c r="I146"/>
  <c r="I145" s="1"/>
  <c r="J444"/>
  <c r="I89"/>
  <c r="I76"/>
  <c r="I55"/>
  <c r="I41"/>
  <c r="I36"/>
  <c r="I28"/>
  <c r="J273"/>
  <c r="J95"/>
  <c r="G594" i="61"/>
  <c r="G566"/>
  <c r="G565" s="1"/>
  <c r="G540"/>
  <c r="G324"/>
  <c r="G319" s="1"/>
  <c r="G291"/>
  <c r="G290" s="1"/>
  <c r="G278"/>
  <c r="G277" s="1"/>
  <c r="G214"/>
  <c r="G91"/>
  <c r="G79"/>
  <c r="G151"/>
  <c r="G65" l="1"/>
  <c r="I794" i="2"/>
  <c r="G289" i="61"/>
  <c r="I804" i="2"/>
  <c r="I674"/>
  <c r="I477"/>
  <c r="I317"/>
  <c r="I296" s="1"/>
  <c r="I295" s="1"/>
  <c r="I167"/>
  <c r="I134" s="1"/>
  <c r="I27"/>
  <c r="G630" i="61"/>
  <c r="G272"/>
  <c r="G173"/>
  <c r="G147"/>
  <c r="H39"/>
  <c r="G38"/>
  <c r="G37" s="1"/>
  <c r="G32" s="1"/>
  <c r="G31" s="1"/>
  <c r="G17" l="1"/>
  <c r="I188" i="2"/>
  <c r="I719"/>
  <c r="I294"/>
  <c r="I118"/>
  <c r="G629" i="61"/>
  <c r="G442"/>
  <c r="G184"/>
  <c r="G146"/>
  <c r="G135" s="1"/>
  <c r="I705" i="2" l="1"/>
  <c r="I106"/>
  <c r="G628" i="61"/>
  <c r="I704" i="2" l="1"/>
  <c r="I98"/>
  <c r="I60" s="1"/>
  <c r="G593" i="61"/>
  <c r="I703" i="2" l="1"/>
  <c r="I702" l="1"/>
  <c r="I603"/>
  <c r="I35"/>
  <c r="I34" s="1"/>
  <c r="I602" l="1"/>
  <c r="I601" l="1"/>
  <c r="I534" l="1"/>
  <c r="I533" s="1"/>
  <c r="D316" i="3" l="1"/>
  <c r="D299"/>
  <c r="F299" s="1"/>
  <c r="H349" i="2"/>
  <c r="J349" s="1"/>
  <c r="H366"/>
  <c r="J366" s="1"/>
  <c r="F347" i="61"/>
  <c r="H347" s="1"/>
  <c r="F334"/>
  <c r="H334" s="1"/>
  <c r="D610" i="3" l="1"/>
  <c r="F610" s="1"/>
  <c r="H811" i="2"/>
  <c r="J811" s="1"/>
  <c r="F55" i="61"/>
  <c r="H55" s="1"/>
  <c r="H54"/>
  <c r="G23" i="1" l="1"/>
  <c r="D611" i="3" l="1"/>
  <c r="F611" s="1"/>
  <c r="H812" i="2"/>
  <c r="J812" s="1"/>
  <c r="F56" i="61"/>
  <c r="H56" s="1"/>
  <c r="D559" i="3" l="1"/>
  <c r="F559" s="1"/>
  <c r="D560"/>
  <c r="F560" s="1"/>
  <c r="D607"/>
  <c r="F607" s="1"/>
  <c r="D606"/>
  <c r="D600"/>
  <c r="F600" s="1"/>
  <c r="D598"/>
  <c r="D597"/>
  <c r="F597" s="1"/>
  <c r="D582"/>
  <c r="F582" s="1"/>
  <c r="D576"/>
  <c r="F576" s="1"/>
  <c r="D574"/>
  <c r="F574" s="1"/>
  <c r="D580"/>
  <c r="F580" s="1"/>
  <c r="D548"/>
  <c r="F548" s="1"/>
  <c r="D547"/>
  <c r="F547" s="1"/>
  <c r="D394"/>
  <c r="F394" s="1"/>
  <c r="D387"/>
  <c r="F387" s="1"/>
  <c r="D382"/>
  <c r="F382" s="1"/>
  <c r="D320"/>
  <c r="D265"/>
  <c r="F265" s="1"/>
  <c r="F262"/>
  <c r="D258"/>
  <c r="F258" s="1"/>
  <c r="D114"/>
  <c r="F114" s="1"/>
  <c r="D113"/>
  <c r="F113" s="1"/>
  <c r="D84"/>
  <c r="F84" s="1"/>
  <c r="D26"/>
  <c r="F26" s="1"/>
  <c r="H816" i="2"/>
  <c r="J816" s="1"/>
  <c r="H716"/>
  <c r="J716" s="1"/>
  <c r="H672"/>
  <c r="J672" s="1"/>
  <c r="H671"/>
  <c r="J671" s="1"/>
  <c r="H608"/>
  <c r="J608" s="1"/>
  <c r="H569"/>
  <c r="J569" s="1"/>
  <c r="H385"/>
  <c r="J385" s="1"/>
  <c r="H314"/>
  <c r="J314" s="1"/>
  <c r="J311"/>
  <c r="H307"/>
  <c r="J307" s="1"/>
  <c r="H181"/>
  <c r="J181" s="1"/>
  <c r="H175"/>
  <c r="J175" s="1"/>
  <c r="H150"/>
  <c r="J150" s="1"/>
  <c r="H139"/>
  <c r="H129"/>
  <c r="J129" s="1"/>
  <c r="H127"/>
  <c r="J127" s="1"/>
  <c r="H126"/>
  <c r="J126" s="1"/>
  <c r="H111"/>
  <c r="J111" s="1"/>
  <c r="H109"/>
  <c r="J109" s="1"/>
  <c r="H101"/>
  <c r="J101" s="1"/>
  <c r="H54"/>
  <c r="J54" s="1"/>
  <c r="H53"/>
  <c r="J53" s="1"/>
  <c r="F591" i="61"/>
  <c r="H591" s="1"/>
  <c r="F590"/>
  <c r="H590" s="1"/>
  <c r="F531"/>
  <c r="H531" s="1"/>
  <c r="F511"/>
  <c r="H511" s="1"/>
  <c r="F474"/>
  <c r="F363"/>
  <c r="H363" s="1"/>
  <c r="F299"/>
  <c r="H299" s="1"/>
  <c r="F305"/>
  <c r="H305" s="1"/>
  <c r="F303"/>
  <c r="H303" s="1"/>
  <c r="F177"/>
  <c r="H177" s="1"/>
  <c r="F172"/>
  <c r="H172" s="1"/>
  <c r="F150"/>
  <c r="H150" s="1"/>
  <c r="H140"/>
  <c r="F127"/>
  <c r="H127" s="1"/>
  <c r="F130"/>
  <c r="H130" s="1"/>
  <c r="F128"/>
  <c r="H128" s="1"/>
  <c r="F112"/>
  <c r="H112" s="1"/>
  <c r="F110"/>
  <c r="H110" s="1"/>
  <c r="F102"/>
  <c r="H102" s="1"/>
  <c r="F64"/>
  <c r="H64" s="1"/>
  <c r="F44"/>
  <c r="H44" s="1"/>
  <c r="F43"/>
  <c r="H43" s="1"/>
  <c r="H42"/>
  <c r="J139" i="2" l="1"/>
  <c r="H51"/>
  <c r="H474" i="61"/>
  <c r="F473"/>
  <c r="H473" s="1"/>
  <c r="H50" i="2" l="1"/>
  <c r="J50" s="1"/>
  <c r="J51"/>
  <c r="D110" i="3"/>
  <c r="F110" s="1"/>
  <c r="D51"/>
  <c r="F51" s="1"/>
  <c r="E197"/>
  <c r="D197"/>
  <c r="D584"/>
  <c r="F584" s="1"/>
  <c r="F598"/>
  <c r="H668" i="2"/>
  <c r="J668" s="1"/>
  <c r="H74"/>
  <c r="J74" s="1"/>
  <c r="H117"/>
  <c r="J117" s="1"/>
  <c r="F587" i="61"/>
  <c r="H587" s="1"/>
  <c r="F458"/>
  <c r="H458" s="1"/>
  <c r="F77"/>
  <c r="H77" s="1"/>
  <c r="F118"/>
  <c r="H118" s="1"/>
  <c r="F197" i="3" l="1"/>
  <c r="F553" i="61"/>
  <c r="H553" s="1"/>
  <c r="H726" i="2"/>
  <c r="J726" s="1"/>
  <c r="D163" i="3"/>
  <c r="F163" s="1"/>
  <c r="D157"/>
  <c r="F157" s="1"/>
  <c r="H803" i="2"/>
  <c r="J803" s="1"/>
  <c r="F691" i="61"/>
  <c r="H691" s="1"/>
  <c r="D178" i="3"/>
  <c r="F178" s="1"/>
  <c r="H701" i="2"/>
  <c r="J701" s="1"/>
  <c r="F276" i="61"/>
  <c r="H276" s="1"/>
  <c r="D143" i="3"/>
  <c r="F143" s="1"/>
  <c r="D124"/>
  <c r="F124" s="1"/>
  <c r="H750" i="2"/>
  <c r="J750" s="1"/>
  <c r="H763"/>
  <c r="J763" s="1"/>
  <c r="F614" i="61"/>
  <c r="H614" s="1"/>
  <c r="F602"/>
  <c r="H602" s="1"/>
  <c r="D310" i="3"/>
  <c r="F310" s="1"/>
  <c r="H360" i="2"/>
  <c r="F342" i="61"/>
  <c r="H342" s="1"/>
  <c r="D420" i="3"/>
  <c r="F420" s="1"/>
  <c r="H406" i="2"/>
  <c r="J406" s="1"/>
  <c r="F267" i="3"/>
  <c r="J316" i="2"/>
  <c r="F307" i="61"/>
  <c r="H307" s="1"/>
  <c r="D455" i="3"/>
  <c r="F455" s="1"/>
  <c r="H245" i="2"/>
  <c r="J245" s="1"/>
  <c r="F242" i="61"/>
  <c r="H242" s="1"/>
  <c r="J360" i="2" l="1"/>
  <c r="H359"/>
  <c r="H358" s="1"/>
  <c r="D462" i="3"/>
  <c r="F462" s="1"/>
  <c r="H436" i="2"/>
  <c r="J436" s="1"/>
  <c r="F405" i="61"/>
  <c r="H405" s="1"/>
  <c r="D191" i="3"/>
  <c r="F191" s="1"/>
  <c r="H68" i="2"/>
  <c r="J68" s="1"/>
  <c r="F71" i="61"/>
  <c r="H71" s="1"/>
  <c r="F320" i="3" l="1"/>
  <c r="D507" l="1"/>
  <c r="F507" s="1"/>
  <c r="H451" i="2"/>
  <c r="J451" s="1"/>
  <c r="F418" i="61"/>
  <c r="H418" s="1"/>
  <c r="D355" i="3"/>
  <c r="F355" s="1"/>
  <c r="H230" i="2"/>
  <c r="J230" s="1"/>
  <c r="F228" i="61"/>
  <c r="H228" s="1"/>
  <c r="D411" i="3"/>
  <c r="F411" s="1"/>
  <c r="H397" i="2"/>
  <c r="J397" s="1"/>
  <c r="F373" i="61"/>
  <c r="H373" s="1"/>
  <c r="F360"/>
  <c r="H360" s="1"/>
  <c r="H381" i="2"/>
  <c r="J381" s="1"/>
  <c r="D295" i="3"/>
  <c r="F295" s="1"/>
  <c r="D322"/>
  <c r="F322" s="1"/>
  <c r="H387" i="2"/>
  <c r="J387" s="1"/>
  <c r="F365" i="61"/>
  <c r="H365" s="1"/>
  <c r="F323"/>
  <c r="H323" s="1"/>
  <c r="H335" i="2"/>
  <c r="J335" s="1"/>
  <c r="D239" i="3"/>
  <c r="F239" s="1"/>
  <c r="D236"/>
  <c r="F236" s="1"/>
  <c r="H497" i="2"/>
  <c r="J497" s="1"/>
  <c r="F664" i="61"/>
  <c r="H664" s="1"/>
  <c r="F379"/>
  <c r="H379" s="1"/>
  <c r="H404" i="2"/>
  <c r="J404" s="1"/>
  <c r="D418" i="3"/>
  <c r="F418" s="1"/>
  <c r="D243"/>
  <c r="F243" s="1"/>
  <c r="H290" i="2"/>
  <c r="J290" s="1"/>
  <c r="F286" i="61"/>
  <c r="H286" s="1"/>
  <c r="D216" i="3"/>
  <c r="F216" s="1"/>
  <c r="H200" i="2"/>
  <c r="J200" s="1"/>
  <c r="F200" i="61"/>
  <c r="H200" s="1"/>
  <c r="D226" i="3"/>
  <c r="F226" s="1"/>
  <c r="H526" i="2"/>
  <c r="J526" s="1"/>
  <c r="F703" i="61"/>
  <c r="H703" s="1"/>
  <c r="F236"/>
  <c r="H236" s="1"/>
  <c r="H238" i="2"/>
  <c r="J238" s="1"/>
  <c r="D363" i="3"/>
  <c r="F363" s="1"/>
  <c r="D351"/>
  <c r="F351" s="1"/>
  <c r="H226" i="2"/>
  <c r="J226" s="1"/>
  <c r="F224" i="61"/>
  <c r="H224" s="1"/>
  <c r="D195" i="3"/>
  <c r="F195" s="1"/>
  <c r="H72" i="2"/>
  <c r="J72" s="1"/>
  <c r="F75" i="61"/>
  <c r="H75" s="1"/>
  <c r="D500" i="3"/>
  <c r="F500" s="1"/>
  <c r="H483" i="2"/>
  <c r="J483" s="1"/>
  <c r="F649" i="61"/>
  <c r="H649" s="1"/>
  <c r="D480" i="3"/>
  <c r="F480" s="1"/>
  <c r="H503" i="2"/>
  <c r="J503" s="1"/>
  <c r="F674" i="61"/>
  <c r="H674" s="1"/>
  <c r="F296"/>
  <c r="H296" s="1"/>
  <c r="H303" i="2"/>
  <c r="J303" s="1"/>
  <c r="D254" i="3"/>
  <c r="F254" s="1"/>
  <c r="D274" l="1"/>
  <c r="F274" s="1"/>
  <c r="H323" i="2"/>
  <c r="J323" s="1"/>
  <c r="F312" i="61"/>
  <c r="H312" s="1"/>
  <c r="D457" i="3" l="1"/>
  <c r="F457" s="1"/>
  <c r="H247" i="2"/>
  <c r="J247" s="1"/>
  <c r="F244" i="61"/>
  <c r="H244" s="1"/>
  <c r="H110" i="2"/>
  <c r="J110" s="1"/>
  <c r="F286" i="3"/>
  <c r="F316"/>
  <c r="D621" l="1"/>
  <c r="F621" s="1"/>
  <c r="D620"/>
  <c r="F620" s="1"/>
  <c r="D619"/>
  <c r="D617"/>
  <c r="F617" s="1"/>
  <c r="D623"/>
  <c r="F623" s="1"/>
  <c r="F60" i="61"/>
  <c r="H60" s="1"/>
  <c r="F59"/>
  <c r="H59" s="1"/>
  <c r="F30"/>
  <c r="H30" s="1"/>
  <c r="F29"/>
  <c r="H29" s="1"/>
  <c r="F28"/>
  <c r="F26"/>
  <c r="H26" s="1"/>
  <c r="H26" i="2"/>
  <c r="J26" s="1"/>
  <c r="H25"/>
  <c r="J25" s="1"/>
  <c r="H24"/>
  <c r="J24" s="1"/>
  <c r="H32"/>
  <c r="J32" s="1"/>
  <c r="H22"/>
  <c r="J22" s="1"/>
  <c r="F27" i="61" l="1"/>
  <c r="H27" s="1"/>
  <c r="H28"/>
  <c r="F606" i="3"/>
  <c r="D49"/>
  <c r="F49" s="1"/>
  <c r="H579" i="2"/>
  <c r="J579" s="1"/>
  <c r="F484" i="61"/>
  <c r="H484" s="1"/>
  <c r="E542" i="3" l="1"/>
  <c r="D542"/>
  <c r="J269" i="2"/>
  <c r="F264" i="61"/>
  <c r="H264" s="1"/>
  <c r="D188" i="3"/>
  <c r="F188" s="1"/>
  <c r="H65" i="2"/>
  <c r="J65" s="1"/>
  <c r="F69" i="61"/>
  <c r="H69" s="1"/>
  <c r="D595" i="3"/>
  <c r="F595" s="1"/>
  <c r="D594"/>
  <c r="F594" s="1"/>
  <c r="H124" i="2"/>
  <c r="J124" s="1"/>
  <c r="H123"/>
  <c r="J123" s="1"/>
  <c r="F125" i="61"/>
  <c r="H125" s="1"/>
  <c r="F124"/>
  <c r="H124" s="1"/>
  <c r="D586" i="3" l="1"/>
  <c r="F586" s="1"/>
  <c r="H118" i="2"/>
  <c r="J118" s="1"/>
  <c r="F119" i="61"/>
  <c r="H119" s="1"/>
  <c r="D205" i="3" l="1"/>
  <c r="F205" s="1"/>
  <c r="D202"/>
  <c r="F202" s="1"/>
  <c r="H285" i="2"/>
  <c r="J285" s="1"/>
  <c r="F279" i="61"/>
  <c r="H279" s="1"/>
  <c r="H282" i="2"/>
  <c r="F282" i="61"/>
  <c r="H282" s="1"/>
  <c r="D194" i="3"/>
  <c r="D193"/>
  <c r="F193" s="1"/>
  <c r="D190"/>
  <c r="H71" i="2"/>
  <c r="J71" s="1"/>
  <c r="H70"/>
  <c r="H67"/>
  <c r="J67" s="1"/>
  <c r="F73" i="61"/>
  <c r="H73" s="1"/>
  <c r="D192" i="3" l="1"/>
  <c r="D189" s="1"/>
  <c r="D201"/>
  <c r="D204"/>
  <c r="D203" s="1"/>
  <c r="H69" i="2"/>
  <c r="J69" s="1"/>
  <c r="J70"/>
  <c r="H281"/>
  <c r="J281" s="1"/>
  <c r="J282"/>
  <c r="H284"/>
  <c r="H66"/>
  <c r="J66" s="1"/>
  <c r="D47" i="3"/>
  <c r="F47" s="1"/>
  <c r="F32"/>
  <c r="D39"/>
  <c r="F39" s="1"/>
  <c r="D569"/>
  <c r="F569" s="1"/>
  <c r="H648" i="2"/>
  <c r="J648" s="1"/>
  <c r="J540"/>
  <c r="H558"/>
  <c r="J558" s="1"/>
  <c r="H575"/>
  <c r="J575" s="1"/>
  <c r="H596"/>
  <c r="J596" s="1"/>
  <c r="F571" i="61"/>
  <c r="H571" s="1"/>
  <c r="F447"/>
  <c r="H447" s="1"/>
  <c r="F465"/>
  <c r="H465" s="1"/>
  <c r="F480"/>
  <c r="H480" s="1"/>
  <c r="F500"/>
  <c r="H500" s="1"/>
  <c r="H283" i="2" l="1"/>
  <c r="J283" s="1"/>
  <c r="J284"/>
  <c r="D91" i="3"/>
  <c r="F91" s="1"/>
  <c r="H655" i="2"/>
  <c r="J655" s="1"/>
  <c r="F576" i="61"/>
  <c r="H576" s="1"/>
  <c r="F75" i="3"/>
  <c r="F74"/>
  <c r="J652" i="2"/>
  <c r="J651"/>
  <c r="F574" i="61"/>
  <c r="H574" s="1"/>
  <c r="F573"/>
  <c r="H573" s="1"/>
  <c r="D115" i="3"/>
  <c r="F115" s="1"/>
  <c r="H673" i="2"/>
  <c r="J673" s="1"/>
  <c r="F592" i="61"/>
  <c r="H592" s="1"/>
  <c r="D67" i="3"/>
  <c r="F67" s="1"/>
  <c r="D66"/>
  <c r="F66" s="1"/>
  <c r="H630" i="2"/>
  <c r="J630" s="1"/>
  <c r="H629"/>
  <c r="J629" s="1"/>
  <c r="F538" i="61"/>
  <c r="H538" s="1"/>
  <c r="F539"/>
  <c r="H539" s="1"/>
  <c r="D575" i="3" l="1"/>
  <c r="F575" s="1"/>
  <c r="H107" i="2"/>
  <c r="J107" s="1"/>
  <c r="F111" i="61"/>
  <c r="H111" s="1"/>
  <c r="H115" i="2" l="1"/>
  <c r="J115" s="1"/>
  <c r="F116" i="61" l="1"/>
  <c r="H116" s="1"/>
  <c r="D571" i="3"/>
  <c r="F571" s="1"/>
  <c r="H272" i="2"/>
  <c r="J272" s="1"/>
  <c r="F267" i="61"/>
  <c r="H267" s="1"/>
  <c r="D314" i="3" l="1"/>
  <c r="F314" s="1"/>
  <c r="H364" i="2"/>
  <c r="J364" s="1"/>
  <c r="F345" i="61"/>
  <c r="H345" s="1"/>
  <c r="D591" i="3"/>
  <c r="F591" s="1"/>
  <c r="D590"/>
  <c r="H166" i="2"/>
  <c r="J166" s="1"/>
  <c r="H165"/>
  <c r="F164" i="61"/>
  <c r="H164" s="1"/>
  <c r="F163"/>
  <c r="F590" i="3" l="1"/>
  <c r="D589"/>
  <c r="J165" i="2"/>
  <c r="H164"/>
  <c r="J164" s="1"/>
  <c r="H163" i="61"/>
  <c r="F162"/>
  <c r="F478"/>
  <c r="H478" s="1"/>
  <c r="H370" i="2"/>
  <c r="J370" s="1"/>
  <c r="F351" i="61"/>
  <c r="H351" s="1"/>
  <c r="D624" i="3" l="1"/>
  <c r="H33" i="2"/>
  <c r="J33" s="1"/>
  <c r="D436" i="3" l="1"/>
  <c r="F436" s="1"/>
  <c r="D413"/>
  <c r="F413" s="1"/>
  <c r="H422" i="2"/>
  <c r="J422" s="1"/>
  <c r="H399"/>
  <c r="J399" s="1"/>
  <c r="F394" i="61"/>
  <c r="H394" s="1"/>
  <c r="F375"/>
  <c r="H375" s="1"/>
  <c r="E570" i="3" l="1"/>
  <c r="D570"/>
  <c r="H369" i="2"/>
  <c r="F350" i="61"/>
  <c r="D497" i="3"/>
  <c r="F497" s="1"/>
  <c r="D494"/>
  <c r="F494" s="1"/>
  <c r="H492" i="2"/>
  <c r="J492" s="1"/>
  <c r="H489"/>
  <c r="J489" s="1"/>
  <c r="F660" i="61"/>
  <c r="H660" s="1"/>
  <c r="F658"/>
  <c r="H658" s="1"/>
  <c r="D438" i="3"/>
  <c r="F438" s="1"/>
  <c r="H424" i="2"/>
  <c r="J424" s="1"/>
  <c r="F396" i="61"/>
  <c r="H396" s="1"/>
  <c r="F570" i="3" l="1"/>
  <c r="H368" i="2"/>
  <c r="J369"/>
  <c r="F349" i="61"/>
  <c r="H349" s="1"/>
  <c r="H350"/>
  <c r="F348" l="1"/>
  <c r="H348" s="1"/>
  <c r="H367" i="2"/>
  <c r="J367" s="1"/>
  <c r="J368"/>
  <c r="D448" i="3"/>
  <c r="F448" s="1"/>
  <c r="H93" i="2"/>
  <c r="J93" s="1"/>
  <c r="F94" i="61"/>
  <c r="H94" s="1"/>
  <c r="F702" l="1"/>
  <c r="D70" i="3" l="1"/>
  <c r="F70" s="1"/>
  <c r="J636" i="2"/>
  <c r="F544" i="61"/>
  <c r="H544" s="1"/>
  <c r="D182" i="3" l="1"/>
  <c r="F182" s="1"/>
  <c r="D181"/>
  <c r="F181" s="1"/>
  <c r="H788" i="2"/>
  <c r="J788" s="1"/>
  <c r="H787"/>
  <c r="J787" s="1"/>
  <c r="F637" i="61"/>
  <c r="H637" s="1"/>
  <c r="H786" i="2" l="1"/>
  <c r="D180" i="3"/>
  <c r="J577" i="2"/>
  <c r="H482" i="61" l="1"/>
  <c r="F41" i="3"/>
  <c r="H449" i="61"/>
  <c r="D392" i="3" l="1"/>
  <c r="E392"/>
  <c r="F392" s="1"/>
  <c r="H173" i="2"/>
  <c r="J173" s="1"/>
  <c r="F170" i="61"/>
  <c r="H170" s="1"/>
  <c r="D460" i="3" l="1"/>
  <c r="F460" s="1"/>
  <c r="F403" i="61"/>
  <c r="H403" s="1"/>
  <c r="H595" i="2"/>
  <c r="J595" s="1"/>
  <c r="D53" i="3"/>
  <c r="F53" s="1"/>
  <c r="H583" i="2"/>
  <c r="J583" s="1"/>
  <c r="F488" i="61"/>
  <c r="H488" s="1"/>
  <c r="D55" i="3"/>
  <c r="F55" s="1"/>
  <c r="H585" i="2"/>
  <c r="J585" s="1"/>
  <c r="F490" i="61"/>
  <c r="H490" s="1"/>
  <c r="D72" i="3"/>
  <c r="F72" s="1"/>
  <c r="J588" i="2"/>
  <c r="H492" i="61"/>
  <c r="D30" i="3"/>
  <c r="F30" s="1"/>
  <c r="H573" i="2"/>
  <c r="D473" i="3"/>
  <c r="F473" s="1"/>
  <c r="H442" i="2"/>
  <c r="J442" s="1"/>
  <c r="F410" i="61"/>
  <c r="H410" s="1"/>
  <c r="E568" i="3"/>
  <c r="D568"/>
  <c r="H557" i="2"/>
  <c r="J557" s="1"/>
  <c r="F464" i="61"/>
  <c r="H464" s="1"/>
  <c r="F499"/>
  <c r="H499" s="1"/>
  <c r="H525" i="2"/>
  <c r="J525" s="1"/>
  <c r="D430" i="3"/>
  <c r="F430" s="1"/>
  <c r="H416" i="2"/>
  <c r="J416" s="1"/>
  <c r="F389" i="61"/>
  <c r="H389" s="1"/>
  <c r="D281" i="3"/>
  <c r="F281" s="1"/>
  <c r="J376" i="2"/>
  <c r="F356" i="61"/>
  <c r="H356" s="1"/>
  <c r="F444" i="3"/>
  <c r="H430" i="2"/>
  <c r="J430" s="1"/>
  <c r="H400" i="61"/>
  <c r="D527" i="3"/>
  <c r="F527" s="1"/>
  <c r="J260" i="2"/>
  <c r="H255" i="61"/>
  <c r="H434" i="2"/>
  <c r="J434" s="1"/>
  <c r="D415" i="3"/>
  <c r="F415" s="1"/>
  <c r="H401" i="2"/>
  <c r="J401" s="1"/>
  <c r="F377" i="61"/>
  <c r="H377" s="1"/>
  <c r="D428" i="3"/>
  <c r="F428" s="1"/>
  <c r="H414" i="2"/>
  <c r="J414" s="1"/>
  <c r="F387" i="61"/>
  <c r="H387" s="1"/>
  <c r="D468" i="3"/>
  <c r="F468" s="1"/>
  <c r="H251" i="2"/>
  <c r="J251" s="1"/>
  <c r="F247" i="61"/>
  <c r="H247" s="1"/>
  <c r="F568" i="3" l="1"/>
  <c r="H572" i="2"/>
  <c r="J572" s="1"/>
  <c r="J573"/>
  <c r="D138" i="3"/>
  <c r="F138" s="1"/>
  <c r="E144"/>
  <c r="D144"/>
  <c r="H758" i="2"/>
  <c r="J758" s="1"/>
  <c r="I764"/>
  <c r="H764"/>
  <c r="F612" i="61"/>
  <c r="H612" s="1"/>
  <c r="F615"/>
  <c r="H615" s="1"/>
  <c r="D579" i="3"/>
  <c r="F579" s="1"/>
  <c r="D578"/>
  <c r="F578" s="1"/>
  <c r="F620" i="61"/>
  <c r="H620" s="1"/>
  <c r="F622"/>
  <c r="H622" s="1"/>
  <c r="H769" i="2"/>
  <c r="D373" i="3"/>
  <c r="F373" s="1"/>
  <c r="D365"/>
  <c r="F365" s="1"/>
  <c r="H240" i="2"/>
  <c r="J240" s="1"/>
  <c r="H210"/>
  <c r="J210" s="1"/>
  <c r="F238" i="61"/>
  <c r="H238" s="1"/>
  <c r="F209"/>
  <c r="H209" s="1"/>
  <c r="F144" i="3" l="1"/>
  <c r="H768" i="2"/>
  <c r="J769"/>
  <c r="J764"/>
  <c r="F619" i="61"/>
  <c r="H619" s="1"/>
  <c r="D604" i="3"/>
  <c r="E22" l="1"/>
  <c r="E19" s="1"/>
  <c r="D22"/>
  <c r="H565" i="2"/>
  <c r="F471" i="61"/>
  <c r="F22" i="3" l="1"/>
  <c r="H564" i="2"/>
  <c r="J564" s="1"/>
  <c r="J565"/>
  <c r="H471" i="61"/>
  <c r="H114" i="2"/>
  <c r="J114" s="1"/>
  <c r="H113"/>
  <c r="J113" s="1"/>
  <c r="H473"/>
  <c r="F438" i="61"/>
  <c r="H438" s="1"/>
  <c r="F114"/>
  <c r="H114" s="1"/>
  <c r="H472" i="2" l="1"/>
  <c r="J472" s="1"/>
  <c r="J473"/>
  <c r="F437" i="61"/>
  <c r="H437" s="1"/>
  <c r="H112" i="2"/>
  <c r="J112" s="1"/>
  <c r="D28" i="3"/>
  <c r="F28" s="1"/>
  <c r="H571" i="2"/>
  <c r="J571" s="1"/>
  <c r="F476" i="61"/>
  <c r="H476" s="1"/>
  <c r="D82" i="3" l="1"/>
  <c r="F82" s="1"/>
  <c r="H590" i="2"/>
  <c r="J590" s="1"/>
  <c r="F494" i="61"/>
  <c r="H494" s="1"/>
  <c r="E85" i="3" l="1"/>
  <c r="D85"/>
  <c r="H591" i="2"/>
  <c r="J591" s="1"/>
  <c r="F495" i="61"/>
  <c r="H495" s="1"/>
  <c r="F85" i="3" l="1"/>
  <c r="D349"/>
  <c r="F349" s="1"/>
  <c r="H224" i="2"/>
  <c r="J224" s="1"/>
  <c r="F222" i="61"/>
  <c r="H222" s="1"/>
  <c r="F327" i="3" l="1"/>
  <c r="J392" i="2"/>
  <c r="F369" i="61"/>
  <c r="H369" s="1"/>
  <c r="D520" i="3"/>
  <c r="F520" s="1"/>
  <c r="H464" i="2"/>
  <c r="J464" s="1"/>
  <c r="F430" i="61"/>
  <c r="H430" s="1"/>
  <c r="D514" i="3"/>
  <c r="F514" s="1"/>
  <c r="H458" i="2"/>
  <c r="J458" s="1"/>
  <c r="F424" i="61"/>
  <c r="H424" s="1"/>
  <c r="D334" i="3"/>
  <c r="F334" s="1"/>
  <c r="H82" i="2"/>
  <c r="J82" s="1"/>
  <c r="F84" i="61"/>
  <c r="H84" s="1"/>
  <c r="F232"/>
  <c r="H232" s="1"/>
  <c r="H234" i="2"/>
  <c r="J234" s="1"/>
  <c r="D359" i="3"/>
  <c r="F359" s="1"/>
  <c r="D302"/>
  <c r="F302" s="1"/>
  <c r="H352" i="2"/>
  <c r="J352" s="1"/>
  <c r="F336" i="61"/>
  <c r="H336" s="1"/>
  <c r="E231" i="3" l="1"/>
  <c r="D231"/>
  <c r="H531" i="2"/>
  <c r="J531" s="1"/>
  <c r="G708" i="61"/>
  <c r="F708"/>
  <c r="H708" l="1"/>
  <c r="F231" i="3"/>
  <c r="E194"/>
  <c r="F194" s="1"/>
  <c r="F74" i="61"/>
  <c r="H74" s="1"/>
  <c r="F638" l="1"/>
  <c r="H638" s="1"/>
  <c r="E60" i="3" l="1"/>
  <c r="D60"/>
  <c r="H549" i="2"/>
  <c r="J549" s="1"/>
  <c r="F456" i="61"/>
  <c r="H456" s="1"/>
  <c r="F60" i="3" l="1"/>
  <c r="H504" i="2"/>
  <c r="J504" s="1"/>
  <c r="H502"/>
  <c r="J502" s="1"/>
  <c r="G675" i="61"/>
  <c r="F675"/>
  <c r="G673"/>
  <c r="F673"/>
  <c r="H673" l="1"/>
  <c r="H675"/>
  <c r="H501" i="2"/>
  <c r="J501" s="1"/>
  <c r="D89" i="3"/>
  <c r="F89" s="1"/>
  <c r="H611" i="2"/>
  <c r="J611" s="1"/>
  <c r="F513" i="61"/>
  <c r="H513" s="1"/>
  <c r="H276" i="2" l="1"/>
  <c r="J276" s="1"/>
  <c r="H275"/>
  <c r="J275" s="1"/>
  <c r="H48"/>
  <c r="F115" i="61"/>
  <c r="H115" s="1"/>
  <c r="F271"/>
  <c r="H271" s="1"/>
  <c r="F270"/>
  <c r="H270" s="1"/>
  <c r="F38"/>
  <c r="H38" s="1"/>
  <c r="H47" i="2" l="1"/>
  <c r="J47" s="1"/>
  <c r="J48"/>
  <c r="F37" i="61"/>
  <c r="H37" s="1"/>
  <c r="F113"/>
  <c r="H113" s="1"/>
  <c r="H792" i="2"/>
  <c r="H791" s="1"/>
  <c r="H790" s="1"/>
  <c r="I771"/>
  <c r="H771"/>
  <c r="H715"/>
  <c r="H598"/>
  <c r="J598" s="1"/>
  <c r="H620"/>
  <c r="J620" s="1"/>
  <c r="J560"/>
  <c r="F642" i="61"/>
  <c r="F530"/>
  <c r="H530" s="1"/>
  <c r="F502"/>
  <c r="H502" s="1"/>
  <c r="F467"/>
  <c r="H467" s="1"/>
  <c r="J771" i="2" l="1"/>
  <c r="J790"/>
  <c r="J791"/>
  <c r="J792"/>
  <c r="F641" i="61"/>
  <c r="H641" s="1"/>
  <c r="H642"/>
  <c r="E215" i="3"/>
  <c r="D215"/>
  <c r="H199" i="2"/>
  <c r="J199" s="1"/>
  <c r="F199" i="61"/>
  <c r="H199" s="1"/>
  <c r="F215" i="3" l="1"/>
  <c r="D251"/>
  <c r="F251" s="1"/>
  <c r="H300" i="2"/>
  <c r="J300" s="1"/>
  <c r="F294" i="61"/>
  <c r="H294" s="1"/>
  <c r="E546" i="3" l="1"/>
  <c r="D546"/>
  <c r="F546" l="1"/>
  <c r="E583"/>
  <c r="D583"/>
  <c r="H116" i="2"/>
  <c r="F117" i="61"/>
  <c r="H117" s="1"/>
  <c r="F583" i="3" l="1"/>
  <c r="H106" i="2"/>
  <c r="J106" s="1"/>
  <c r="J116"/>
  <c r="F525" i="3"/>
  <c r="H258" i="2"/>
  <c r="J258" s="1"/>
  <c r="F253" i="61"/>
  <c r="H253" s="1"/>
  <c r="D371" i="3"/>
  <c r="F371" s="1"/>
  <c r="H208" i="2"/>
  <c r="J208" s="1"/>
  <c r="F207" i="61"/>
  <c r="H207" s="1"/>
  <c r="D291" i="3"/>
  <c r="F291" s="1"/>
  <c r="H345" i="2"/>
  <c r="J345" s="1"/>
  <c r="F331" i="61"/>
  <c r="H331" s="1"/>
  <c r="D307" i="3" l="1"/>
  <c r="F307" s="1"/>
  <c r="H357" i="2"/>
  <c r="J357" s="1"/>
  <c r="F340" i="61"/>
  <c r="H340" s="1"/>
  <c r="E474" i="3"/>
  <c r="D474"/>
  <c r="E472"/>
  <c r="D472"/>
  <c r="E469"/>
  <c r="D469"/>
  <c r="E467"/>
  <c r="D467"/>
  <c r="H443" i="2"/>
  <c r="J443" s="1"/>
  <c r="H441"/>
  <c r="J441" s="1"/>
  <c r="D429" i="3"/>
  <c r="D427"/>
  <c r="H415" i="2"/>
  <c r="J415" s="1"/>
  <c r="H413"/>
  <c r="J413" s="1"/>
  <c r="F386" i="61"/>
  <c r="H386" s="1"/>
  <c r="F388"/>
  <c r="H388" s="1"/>
  <c r="F469" i="3" l="1"/>
  <c r="F467"/>
  <c r="F472"/>
  <c r="F474"/>
  <c r="E471"/>
  <c r="D471"/>
  <c r="E466"/>
  <c r="H440" i="2"/>
  <c r="J440" s="1"/>
  <c r="D466" i="3"/>
  <c r="H439" i="2"/>
  <c r="J439" s="1"/>
  <c r="F411" i="61"/>
  <c r="H411" s="1"/>
  <c r="F409"/>
  <c r="H409" s="1"/>
  <c r="H252" i="2"/>
  <c r="J252" s="1"/>
  <c r="H250"/>
  <c r="J250" s="1"/>
  <c r="F248" i="61"/>
  <c r="H248" s="1"/>
  <c r="F246"/>
  <c r="H246" s="1"/>
  <c r="D121" i="3"/>
  <c r="F121" s="1"/>
  <c r="H747" i="2"/>
  <c r="J747" s="1"/>
  <c r="F599" i="61"/>
  <c r="H599" s="1"/>
  <c r="F466" i="3" l="1"/>
  <c r="F471"/>
  <c r="E465"/>
  <c r="D465"/>
  <c r="H249" i="2"/>
  <c r="F245" i="61"/>
  <c r="H245" s="1"/>
  <c r="F408"/>
  <c r="H408" s="1"/>
  <c r="E461" i="3"/>
  <c r="D461"/>
  <c r="H435" i="2"/>
  <c r="J435" s="1"/>
  <c r="F404" i="61"/>
  <c r="H404" s="1"/>
  <c r="F461" i="3" l="1"/>
  <c r="F465"/>
  <c r="H248" i="2"/>
  <c r="J248" s="1"/>
  <c r="J249"/>
  <c r="E456" i="3"/>
  <c r="D456"/>
  <c r="H246" i="2"/>
  <c r="J246" s="1"/>
  <c r="F243" i="61"/>
  <c r="H243" s="1"/>
  <c r="F456" i="3" l="1"/>
  <c r="F196" i="61"/>
  <c r="H196" s="1"/>
  <c r="D212" i="3"/>
  <c r="F212" s="1"/>
  <c r="H196" i="2"/>
  <c r="J196" s="1"/>
  <c r="E242" i="3"/>
  <c r="D242"/>
  <c r="D241" s="1"/>
  <c r="H289" i="2"/>
  <c r="F285" i="61"/>
  <c r="F242" i="3" l="1"/>
  <c r="E241"/>
  <c r="H288" i="2"/>
  <c r="J289"/>
  <c r="H285" i="61"/>
  <c r="D614" i="3"/>
  <c r="F614" s="1"/>
  <c r="D613"/>
  <c r="F613" s="1"/>
  <c r="H133" i="2"/>
  <c r="J133" s="1"/>
  <c r="H132"/>
  <c r="J132" s="1"/>
  <c r="F134" i="61"/>
  <c r="H134" s="1"/>
  <c r="F133"/>
  <c r="H133" s="1"/>
  <c r="F241" i="3" l="1"/>
  <c r="J288" i="2"/>
  <c r="H100"/>
  <c r="F101" i="61"/>
  <c r="H99" i="2" l="1"/>
  <c r="J99" s="1"/>
  <c r="J100"/>
  <c r="F100" i="61"/>
  <c r="H100" s="1"/>
  <c r="H101"/>
  <c r="E481" i="3"/>
  <c r="D481"/>
  <c r="F481" l="1"/>
  <c r="D451"/>
  <c r="H96" i="2"/>
  <c r="J96" s="1"/>
  <c r="F97" i="61"/>
  <c r="H97" s="1"/>
  <c r="F451" i="3" l="1"/>
  <c r="E62"/>
  <c r="D62"/>
  <c r="H553" i="2"/>
  <c r="J553" s="1"/>
  <c r="F460" i="61"/>
  <c r="H460" s="1"/>
  <c r="D149" i="3"/>
  <c r="H783" i="2"/>
  <c r="F633" i="61"/>
  <c r="H633" s="1"/>
  <c r="E140" i="3"/>
  <c r="D140"/>
  <c r="I760" i="2"/>
  <c r="H760"/>
  <c r="F609" i="61"/>
  <c r="H609" s="1"/>
  <c r="D109" i="3"/>
  <c r="D108" s="1"/>
  <c r="H667" i="2"/>
  <c r="F586" i="61"/>
  <c r="H586" s="1"/>
  <c r="E50" i="3"/>
  <c r="D50"/>
  <c r="H580" i="2"/>
  <c r="J580" s="1"/>
  <c r="F485" i="61"/>
  <c r="H485" s="1"/>
  <c r="F140" i="3" l="1"/>
  <c r="F149"/>
  <c r="F50"/>
  <c r="F108"/>
  <c r="F109"/>
  <c r="F62"/>
  <c r="J783" i="2"/>
  <c r="I780"/>
  <c r="J760"/>
  <c r="H666"/>
  <c r="J666" s="1"/>
  <c r="J667"/>
  <c r="F406" i="61"/>
  <c r="H406" s="1"/>
  <c r="H437" i="2"/>
  <c r="J437" s="1"/>
  <c r="E463" i="3"/>
  <c r="D463"/>
  <c r="D449"/>
  <c r="H94" i="2"/>
  <c r="J94" s="1"/>
  <c r="F95" i="61"/>
  <c r="H95" s="1"/>
  <c r="F449" i="3" l="1"/>
  <c r="F463"/>
  <c r="I779" i="2"/>
  <c r="E58" i="3"/>
  <c r="D58"/>
  <c r="F454" i="61"/>
  <c r="H454" s="1"/>
  <c r="H547" i="2"/>
  <c r="J547" s="1"/>
  <c r="F58" i="3" l="1"/>
  <c r="H140" i="2"/>
  <c r="F141" i="61"/>
  <c r="J140" i="2" l="1"/>
  <c r="H138"/>
  <c r="H137" s="1"/>
  <c r="H141" i="61"/>
  <c r="F139"/>
  <c r="D432" i="3"/>
  <c r="F432" s="1"/>
  <c r="H418" i="2"/>
  <c r="J418" s="1"/>
  <c r="F391" i="61"/>
  <c r="H391" s="1"/>
  <c r="H139" l="1"/>
  <c r="F138"/>
  <c r="H138" s="1"/>
  <c r="E229" i="3"/>
  <c r="D229"/>
  <c r="H529" i="2"/>
  <c r="J529" s="1"/>
  <c r="G706" i="61"/>
  <c r="F706"/>
  <c r="H706" l="1"/>
  <c r="F229" i="3"/>
  <c r="D303"/>
  <c r="F303" s="1"/>
  <c r="H353" i="2"/>
  <c r="J353" s="1"/>
  <c r="F337" i="61"/>
  <c r="H337" s="1"/>
  <c r="F80" i="3" l="1"/>
  <c r="J639" i="2"/>
  <c r="H547" i="61"/>
  <c r="D65" i="3"/>
  <c r="F65" s="1"/>
  <c r="H628" i="2"/>
  <c r="J628" s="1"/>
  <c r="F537" i="61"/>
  <c r="H537" s="1"/>
  <c r="D512" i="3" l="1"/>
  <c r="F512" s="1"/>
  <c r="D505"/>
  <c r="F505" s="1"/>
  <c r="D509"/>
  <c r="F509" s="1"/>
  <c r="H449" i="2"/>
  <c r="J449" s="1"/>
  <c r="H456"/>
  <c r="J456" s="1"/>
  <c r="H453"/>
  <c r="J453" s="1"/>
  <c r="F422" i="61"/>
  <c r="H422" s="1"/>
  <c r="F416"/>
  <c r="H416" s="1"/>
  <c r="F420"/>
  <c r="H420" s="1"/>
  <c r="F670" l="1"/>
  <c r="H670" s="1"/>
  <c r="F669"/>
  <c r="H669" s="1"/>
  <c r="H687" i="2"/>
  <c r="J687" s="1"/>
  <c r="H686"/>
  <c r="J686" s="1"/>
  <c r="D37" i="3"/>
  <c r="F37" s="1"/>
  <c r="D36"/>
  <c r="F36" s="1"/>
  <c r="D338" l="1"/>
  <c r="F338" s="1"/>
  <c r="H86" i="2"/>
  <c r="J86" s="1"/>
  <c r="F88" i="61"/>
  <c r="H88" s="1"/>
  <c r="E142" i="3"/>
  <c r="D142"/>
  <c r="D139" s="1"/>
  <c r="I762" i="2"/>
  <c r="I759" s="1"/>
  <c r="H762"/>
  <c r="H759" s="1"/>
  <c r="F613" i="61"/>
  <c r="H613" s="1"/>
  <c r="E137" i="3"/>
  <c r="D137"/>
  <c r="I757" i="2"/>
  <c r="H757"/>
  <c r="F611" i="61"/>
  <c r="H611" s="1"/>
  <c r="F57" i="3"/>
  <c r="J546" i="2"/>
  <c r="F453" i="61"/>
  <c r="H453" s="1"/>
  <c r="D45" i="3"/>
  <c r="F45" s="1"/>
  <c r="F142" l="1"/>
  <c r="E139"/>
  <c r="F137"/>
  <c r="J757" i="2"/>
  <c r="J759"/>
  <c r="J762"/>
  <c r="H274"/>
  <c r="H271" l="1"/>
  <c r="J271" s="1"/>
  <c r="J274"/>
  <c r="G681" i="61"/>
  <c r="F681"/>
  <c r="H512" i="2"/>
  <c r="F269" i="61"/>
  <c r="H269" s="1"/>
  <c r="H681" l="1"/>
  <c r="H511" i="2"/>
  <c r="J511" s="1"/>
  <c r="J512"/>
  <c r="F266" i="61"/>
  <c r="H266" s="1"/>
  <c r="D577" i="3"/>
  <c r="H597" i="2"/>
  <c r="J597" s="1"/>
  <c r="F501" i="61"/>
  <c r="H501" s="1"/>
  <c r="D101" i="3" l="1"/>
  <c r="F101" s="1"/>
  <c r="H615" i="2"/>
  <c r="J615" s="1"/>
  <c r="F517" i="61"/>
  <c r="H517" s="1"/>
  <c r="D126" i="3"/>
  <c r="F126" s="1"/>
  <c r="D136"/>
  <c r="F136" s="1"/>
  <c r="H712" i="2"/>
  <c r="J712" s="1"/>
  <c r="H708"/>
  <c r="J708" s="1"/>
  <c r="F523" i="61"/>
  <c r="H523" s="1"/>
  <c r="F527"/>
  <c r="H527" s="1"/>
  <c r="E513" i="3"/>
  <c r="D513"/>
  <c r="F423" i="61"/>
  <c r="H423" s="1"/>
  <c r="H457" i="2"/>
  <c r="J457" s="1"/>
  <c r="F513" i="3" l="1"/>
  <c r="E508"/>
  <c r="D508"/>
  <c r="H452" i="2"/>
  <c r="J452" s="1"/>
  <c r="F419" i="61"/>
  <c r="H419" s="1"/>
  <c r="F508" i="3" l="1"/>
  <c r="E581"/>
  <c r="D581"/>
  <c r="H559" i="2"/>
  <c r="J559" s="1"/>
  <c r="F466" i="61"/>
  <c r="H466" s="1"/>
  <c r="H545" i="2"/>
  <c r="J545" s="1"/>
  <c r="F452" i="61"/>
  <c r="H452" s="1"/>
  <c r="E54" i="3"/>
  <c r="D54"/>
  <c r="E52"/>
  <c r="D52"/>
  <c r="H582" i="2"/>
  <c r="J582" s="1"/>
  <c r="F487" i="61"/>
  <c r="H487" s="1"/>
  <c r="E56" i="3"/>
  <c r="D56"/>
  <c r="F581" l="1"/>
  <c r="F56"/>
  <c r="F52"/>
  <c r="F54"/>
  <c r="F463" i="61"/>
  <c r="H556" i="2"/>
  <c r="E309" i="3"/>
  <c r="D309"/>
  <c r="D308" s="1"/>
  <c r="F341" i="61"/>
  <c r="H341" s="1"/>
  <c r="F309" i="3" l="1"/>
  <c r="E308"/>
  <c r="F308" s="1"/>
  <c r="H555" i="2"/>
  <c r="J555" s="1"/>
  <c r="J556"/>
  <c r="J358"/>
  <c r="J359"/>
  <c r="F462" i="61"/>
  <c r="H462" s="1"/>
  <c r="H463"/>
  <c r="D376" i="3"/>
  <c r="H213" i="2"/>
  <c r="J213" s="1"/>
  <c r="F212" i="61"/>
  <c r="H212" s="1"/>
  <c r="F376" i="3" l="1"/>
  <c r="D271"/>
  <c r="F271" s="1"/>
  <c r="H320" i="2"/>
  <c r="J320" s="1"/>
  <c r="F310" i="61"/>
  <c r="H310" s="1"/>
  <c r="D533" i="3" l="1"/>
  <c r="F533" s="1"/>
  <c r="H469" i="2"/>
  <c r="J469" s="1"/>
  <c r="F434" i="61"/>
  <c r="H434" s="1"/>
  <c r="F235" l="1"/>
  <c r="H235" s="1"/>
  <c r="H237" i="2"/>
  <c r="J237" s="1"/>
  <c r="E362" i="3"/>
  <c r="D362"/>
  <c r="D345"/>
  <c r="F345" s="1"/>
  <c r="H220" i="2"/>
  <c r="J220" s="1"/>
  <c r="F218" i="61"/>
  <c r="H218" s="1"/>
  <c r="F362" i="3" l="1"/>
  <c r="E294"/>
  <c r="D294"/>
  <c r="D293" s="1"/>
  <c r="D292" s="1"/>
  <c r="F359" i="61"/>
  <c r="H380" i="2"/>
  <c r="J380" s="1"/>
  <c r="F335" i="61"/>
  <c r="H335" s="1"/>
  <c r="H351" i="2"/>
  <c r="J351" s="1"/>
  <c r="E300" i="3"/>
  <c r="D301"/>
  <c r="F301" s="1"/>
  <c r="F294" l="1"/>
  <c r="E293"/>
  <c r="F293" s="1"/>
  <c r="D300"/>
  <c r="F300" s="1"/>
  <c r="H350" i="2"/>
  <c r="J350" s="1"/>
  <c r="H379"/>
  <c r="J379" s="1"/>
  <c r="F358" i="61"/>
  <c r="H358" s="1"/>
  <c r="H359"/>
  <c r="E352" i="3"/>
  <c r="D352"/>
  <c r="H227" i="2"/>
  <c r="J227" s="1"/>
  <c r="F225" i="61"/>
  <c r="H225" s="1"/>
  <c r="F352" i="3" l="1"/>
  <c r="E292"/>
  <c r="F292" s="1"/>
  <c r="H378" i="2"/>
  <c r="J378" s="1"/>
  <c r="E27" i="3"/>
  <c r="D27"/>
  <c r="H570" i="2"/>
  <c r="J570" s="1"/>
  <c r="F475" i="61"/>
  <c r="F27" i="3" l="1"/>
  <c r="H475" i="61"/>
  <c r="F577" i="3"/>
  <c r="E506" l="1"/>
  <c r="E503" s="1"/>
  <c r="D506"/>
  <c r="D504"/>
  <c r="H450" i="2"/>
  <c r="J450" s="1"/>
  <c r="F417" i="61"/>
  <c r="H417" s="1"/>
  <c r="D537" i="3"/>
  <c r="H268" i="2"/>
  <c r="J268" s="1"/>
  <c r="F263" i="61"/>
  <c r="H263" s="1"/>
  <c r="F504" i="3" l="1"/>
  <c r="F506"/>
  <c r="D503"/>
  <c r="D276"/>
  <c r="F276" s="1"/>
  <c r="H325" i="2"/>
  <c r="J325" s="1"/>
  <c r="F314" i="61"/>
  <c r="H314" s="1"/>
  <c r="F503" i="3" l="1"/>
  <c r="F107"/>
  <c r="E519"/>
  <c r="D519"/>
  <c r="H463" i="2"/>
  <c r="J463" s="1"/>
  <c r="F429" i="61"/>
  <c r="H429" s="1"/>
  <c r="F519" i="3" l="1"/>
  <c r="D487"/>
  <c r="D486" s="1"/>
  <c r="D485"/>
  <c r="D484" s="1"/>
  <c r="H510" i="2"/>
  <c r="H508"/>
  <c r="J508" s="1"/>
  <c r="F680" i="61"/>
  <c r="H680" s="1"/>
  <c r="F678"/>
  <c r="H678" s="1"/>
  <c r="D361" i="3"/>
  <c r="F361" s="1"/>
  <c r="H236" i="2"/>
  <c r="J236" s="1"/>
  <c r="F234" i="61"/>
  <c r="H234" s="1"/>
  <c r="J222" i="2"/>
  <c r="F220" i="61"/>
  <c r="H220" s="1"/>
  <c r="F347" i="3" l="1"/>
  <c r="F485"/>
  <c r="F487"/>
  <c r="E484"/>
  <c r="F484" s="1"/>
  <c r="E486"/>
  <c r="F486" s="1"/>
  <c r="H507" i="2"/>
  <c r="J507" s="1"/>
  <c r="H509"/>
  <c r="J509" s="1"/>
  <c r="J510"/>
  <c r="E532" i="3"/>
  <c r="D532"/>
  <c r="E526"/>
  <c r="D526"/>
  <c r="H259" i="2"/>
  <c r="J259" s="1"/>
  <c r="F254" i="61"/>
  <c r="H254" s="1"/>
  <c r="D228" i="3"/>
  <c r="H528" i="2"/>
  <c r="J528" s="1"/>
  <c r="F705" i="61"/>
  <c r="H705" s="1"/>
  <c r="F228" i="3" l="1"/>
  <c r="F526"/>
  <c r="F532"/>
  <c r="E517"/>
  <c r="D517"/>
  <c r="H461" i="2"/>
  <c r="J461" s="1"/>
  <c r="F427" i="61"/>
  <c r="H427" s="1"/>
  <c r="F517" i="3" l="1"/>
  <c r="D134"/>
  <c r="F134" s="1"/>
  <c r="D133"/>
  <c r="F133" s="1"/>
  <c r="H756" i="2"/>
  <c r="J756" s="1"/>
  <c r="H755"/>
  <c r="J755" s="1"/>
  <c r="F607" i="61"/>
  <c r="H607" s="1"/>
  <c r="F608"/>
  <c r="H608" s="1"/>
  <c r="D120" i="3"/>
  <c r="F120" s="1"/>
  <c r="H746" i="2"/>
  <c r="J746" s="1"/>
  <c r="F598" i="61"/>
  <c r="H598" s="1"/>
  <c r="H244" i="2" l="1"/>
  <c r="J244" s="1"/>
  <c r="H92"/>
  <c r="J92" s="1"/>
  <c r="F241" i="61"/>
  <c r="H241" s="1"/>
  <c r="F93"/>
  <c r="H93" s="1"/>
  <c r="E459" i="3"/>
  <c r="D459"/>
  <c r="D458" s="1"/>
  <c r="E454"/>
  <c r="D454"/>
  <c r="D453" s="1"/>
  <c r="D447"/>
  <c r="D446" s="1"/>
  <c r="F446" s="1"/>
  <c r="H433" i="2"/>
  <c r="J433" s="1"/>
  <c r="F402" i="61"/>
  <c r="E306" i="3"/>
  <c r="D306"/>
  <c r="D305" s="1"/>
  <c r="H356" i="2"/>
  <c r="F339" i="61"/>
  <c r="H339" s="1"/>
  <c r="F459" i="3" l="1"/>
  <c r="F306"/>
  <c r="F447"/>
  <c r="F454"/>
  <c r="E305"/>
  <c r="F305" s="1"/>
  <c r="E453"/>
  <c r="E458"/>
  <c r="F458" s="1"/>
  <c r="H432" i="2"/>
  <c r="J432" s="1"/>
  <c r="H355"/>
  <c r="J355" s="1"/>
  <c r="J356"/>
  <c r="F401" i="61"/>
  <c r="H401" s="1"/>
  <c r="H402"/>
  <c r="H243" i="2"/>
  <c r="J243" s="1"/>
  <c r="F240" i="61"/>
  <c r="H240" s="1"/>
  <c r="F92"/>
  <c r="H92" s="1"/>
  <c r="H91" i="2"/>
  <c r="D445" i="3"/>
  <c r="F453" l="1"/>
  <c r="E445"/>
  <c r="H431" i="2"/>
  <c r="J431" s="1"/>
  <c r="H90"/>
  <c r="J91"/>
  <c r="H242"/>
  <c r="J242" s="1"/>
  <c r="F239" i="61"/>
  <c r="H239" s="1"/>
  <c r="F91"/>
  <c r="H91" s="1"/>
  <c r="H600" i="2"/>
  <c r="J600" s="1"/>
  <c r="F504" i="61"/>
  <c r="H504" s="1"/>
  <c r="F441"/>
  <c r="H441" s="1"/>
  <c r="H476" i="2"/>
  <c r="J476" s="1"/>
  <c r="D587" i="3"/>
  <c r="F587" s="1"/>
  <c r="F445" l="1"/>
  <c r="H241" i="2"/>
  <c r="J241" s="1"/>
  <c r="H89"/>
  <c r="J89" s="1"/>
  <c r="J90"/>
  <c r="F636" i="61"/>
  <c r="H636" s="1"/>
  <c r="J786" i="2"/>
  <c r="F559" i="61"/>
  <c r="H559" s="1"/>
  <c r="F557"/>
  <c r="H557" s="1"/>
  <c r="H734" i="2"/>
  <c r="J734" s="1"/>
  <c r="H732"/>
  <c r="J732" s="1"/>
  <c r="F554" i="61"/>
  <c r="H554" s="1"/>
  <c r="H728" i="2"/>
  <c r="F552" i="61"/>
  <c r="H552" s="1"/>
  <c r="F550"/>
  <c r="H550" s="1"/>
  <c r="H725" i="2"/>
  <c r="J725" s="1"/>
  <c r="H723"/>
  <c r="F689" i="61"/>
  <c r="H689" s="1"/>
  <c r="F687"/>
  <c r="H687" s="1"/>
  <c r="H801" i="2"/>
  <c r="H799"/>
  <c r="F549" i="61" l="1"/>
  <c r="J799" i="2"/>
  <c r="J801"/>
  <c r="H727"/>
  <c r="J727" s="1"/>
  <c r="J728"/>
  <c r="J723"/>
  <c r="H722"/>
  <c r="F686" i="61"/>
  <c r="F556"/>
  <c r="H556" s="1"/>
  <c r="G686"/>
  <c r="H798" i="2"/>
  <c r="H549" i="61"/>
  <c r="J798" i="2" l="1"/>
  <c r="G685" i="61"/>
  <c r="H686"/>
  <c r="F597" l="1"/>
  <c r="H745" i="2"/>
  <c r="J745" s="1"/>
  <c r="H597" i="61" l="1"/>
  <c r="D155" i="3"/>
  <c r="F155" l="1"/>
  <c r="F139"/>
  <c r="E364"/>
  <c r="D364"/>
  <c r="H239" i="2"/>
  <c r="J239" s="1"/>
  <c r="D374" i="3"/>
  <c r="D372"/>
  <c r="D370"/>
  <c r="F370" s="1"/>
  <c r="D368"/>
  <c r="F368" s="1"/>
  <c r="H211" i="2"/>
  <c r="J211" s="1"/>
  <c r="H209"/>
  <c r="J209" s="1"/>
  <c r="H207"/>
  <c r="J207" s="1"/>
  <c r="H205"/>
  <c r="J205" s="1"/>
  <c r="H219"/>
  <c r="J219" s="1"/>
  <c r="H221"/>
  <c r="J221" s="1"/>
  <c r="H223"/>
  <c r="J223" s="1"/>
  <c r="H225"/>
  <c r="J225" s="1"/>
  <c r="F237" i="61"/>
  <c r="H237" s="1"/>
  <c r="F372" i="3" l="1"/>
  <c r="F374"/>
  <c r="F364"/>
  <c r="H204" i="2"/>
  <c r="J204" s="1"/>
  <c r="D367" i="3"/>
  <c r="E367"/>
  <c r="E515"/>
  <c r="D515"/>
  <c r="H459" i="2"/>
  <c r="J459" s="1"/>
  <c r="F367" i="3" l="1"/>
  <c r="F515"/>
  <c r="E366"/>
  <c r="E25"/>
  <c r="E29"/>
  <c r="E31"/>
  <c r="E33"/>
  <c r="E35"/>
  <c r="E38"/>
  <c r="E40"/>
  <c r="E42"/>
  <c r="E44"/>
  <c r="E46"/>
  <c r="E48"/>
  <c r="E71"/>
  <c r="E73"/>
  <c r="E76"/>
  <c r="E81"/>
  <c r="E83"/>
  <c r="E88"/>
  <c r="E90"/>
  <c r="E94"/>
  <c r="E96"/>
  <c r="E98"/>
  <c r="E100"/>
  <c r="E68" l="1"/>
  <c r="E24"/>
  <c r="E87"/>
  <c r="E18" l="1"/>
  <c r="E17" s="1"/>
  <c r="F490"/>
  <c r="D83" l="1"/>
  <c r="F83" s="1"/>
  <c r="F589" i="61"/>
  <c r="H589" s="1"/>
  <c r="F584"/>
  <c r="H584" s="1"/>
  <c r="F582"/>
  <c r="H582" s="1"/>
  <c r="F579"/>
  <c r="H579" s="1"/>
  <c r="F577"/>
  <c r="H577" s="1"/>
  <c r="F575"/>
  <c r="H575" s="1"/>
  <c r="F572"/>
  <c r="H572" s="1"/>
  <c r="F570"/>
  <c r="H570" s="1"/>
  <c r="F568"/>
  <c r="H568" s="1"/>
  <c r="H545"/>
  <c r="F543"/>
  <c r="H543" s="1"/>
  <c r="F516"/>
  <c r="H516" s="1"/>
  <c r="F514"/>
  <c r="H514" s="1"/>
  <c r="F512"/>
  <c r="H512" s="1"/>
  <c r="F510"/>
  <c r="H510" s="1"/>
  <c r="F508"/>
  <c r="F493"/>
  <c r="H493" s="1"/>
  <c r="F491"/>
  <c r="H491" s="1"/>
  <c r="F489"/>
  <c r="H489" s="1"/>
  <c r="F483"/>
  <c r="H483" s="1"/>
  <c r="F481"/>
  <c r="H481" s="1"/>
  <c r="F479"/>
  <c r="H479" s="1"/>
  <c r="F477"/>
  <c r="F451"/>
  <c r="H451" s="1"/>
  <c r="F448"/>
  <c r="H448" s="1"/>
  <c r="F446"/>
  <c r="H607" i="2"/>
  <c r="J607" s="1"/>
  <c r="F507" i="61" l="1"/>
  <c r="H507" s="1"/>
  <c r="F470"/>
  <c r="H477"/>
  <c r="H446"/>
  <c r="F450"/>
  <c r="H450" s="1"/>
  <c r="H508"/>
  <c r="F588"/>
  <c r="H588" s="1"/>
  <c r="F581"/>
  <c r="H581" s="1"/>
  <c r="F567"/>
  <c r="H567" s="1"/>
  <c r="J544" i="2"/>
  <c r="F445" i="61" l="1"/>
  <c r="H445" s="1"/>
  <c r="F566"/>
  <c r="H566" s="1"/>
  <c r="E227" i="3"/>
  <c r="D227"/>
  <c r="H527" i="2"/>
  <c r="J527" s="1"/>
  <c r="G704" i="61"/>
  <c r="F704"/>
  <c r="H704" l="1"/>
  <c r="F227" i="3"/>
  <c r="F565" i="61"/>
  <c r="H565" s="1"/>
  <c r="H738" i="2"/>
  <c r="J738" s="1"/>
  <c r="H737" l="1"/>
  <c r="J737" s="1"/>
  <c r="H775"/>
  <c r="H773"/>
  <c r="H475"/>
  <c r="E540" i="3"/>
  <c r="D540"/>
  <c r="E538"/>
  <c r="D538"/>
  <c r="E536"/>
  <c r="D536"/>
  <c r="E534"/>
  <c r="D534"/>
  <c r="E530"/>
  <c r="D530"/>
  <c r="E528"/>
  <c r="D528"/>
  <c r="D524"/>
  <c r="E524"/>
  <c r="F524" s="1"/>
  <c r="H267" i="2"/>
  <c r="J267" s="1"/>
  <c r="H265"/>
  <c r="J265" s="1"/>
  <c r="H263"/>
  <c r="J263" s="1"/>
  <c r="H261"/>
  <c r="J261" s="1"/>
  <c r="H257"/>
  <c r="J257" s="1"/>
  <c r="H186"/>
  <c r="J186" s="1"/>
  <c r="H184"/>
  <c r="J184" s="1"/>
  <c r="F528" i="3" l="1"/>
  <c r="F530"/>
  <c r="F534"/>
  <c r="E523"/>
  <c r="H256" i="2"/>
  <c r="J256" s="1"/>
  <c r="H471"/>
  <c r="J471" s="1"/>
  <c r="J475"/>
  <c r="H736"/>
  <c r="J736" s="1"/>
  <c r="D523" i="3"/>
  <c r="H767" i="2"/>
  <c r="H183"/>
  <c r="J183" s="1"/>
  <c r="F182" i="61"/>
  <c r="H182" s="1"/>
  <c r="F180"/>
  <c r="H180" s="1"/>
  <c r="F262"/>
  <c r="H262" s="1"/>
  <c r="F260"/>
  <c r="H260" s="1"/>
  <c r="E522" i="3" l="1"/>
  <c r="F523"/>
  <c r="H182" i="2"/>
  <c r="J182" s="1"/>
  <c r="F179" i="61"/>
  <c r="H179" s="1"/>
  <c r="F440"/>
  <c r="F436" l="1"/>
  <c r="H436" s="1"/>
  <c r="H440"/>
  <c r="F563"/>
  <c r="E324" i="3"/>
  <c r="E315"/>
  <c r="D315"/>
  <c r="E313"/>
  <c r="D313"/>
  <c r="F346" i="61"/>
  <c r="H346" s="1"/>
  <c r="F344"/>
  <c r="H344" s="1"/>
  <c r="F313" i="3" l="1"/>
  <c r="F315"/>
  <c r="F562" i="61"/>
  <c r="H562" s="1"/>
  <c r="H563"/>
  <c r="F619" i="3"/>
  <c r="D290"/>
  <c r="H344" i="2"/>
  <c r="J344" s="1"/>
  <c r="F330" i="61"/>
  <c r="H330" s="1"/>
  <c r="F290" i="3" l="1"/>
  <c r="F168" i="61"/>
  <c r="H168" s="1"/>
  <c r="E405" i="3"/>
  <c r="D405"/>
  <c r="E403"/>
  <c r="D403"/>
  <c r="E399"/>
  <c r="D399"/>
  <c r="E397"/>
  <c r="D397"/>
  <c r="E390"/>
  <c r="D390"/>
  <c r="E386"/>
  <c r="D386"/>
  <c r="H171" i="2"/>
  <c r="J171" s="1"/>
  <c r="H161"/>
  <c r="J161" s="1"/>
  <c r="H159"/>
  <c r="J159" s="1"/>
  <c r="H155"/>
  <c r="J155" s="1"/>
  <c r="H153"/>
  <c r="J153" s="1"/>
  <c r="H149"/>
  <c r="H87"/>
  <c r="J87" s="1"/>
  <c r="H85"/>
  <c r="J85" s="1"/>
  <c r="H83"/>
  <c r="J83" s="1"/>
  <c r="H81"/>
  <c r="J81" s="1"/>
  <c r="H79"/>
  <c r="J79" s="1"/>
  <c r="E339" i="3"/>
  <c r="D339"/>
  <c r="E337"/>
  <c r="D337"/>
  <c r="E335"/>
  <c r="D335"/>
  <c r="E333"/>
  <c r="D333"/>
  <c r="E331"/>
  <c r="D331"/>
  <c r="D385" l="1"/>
  <c r="D384"/>
  <c r="E385"/>
  <c r="F385" s="1"/>
  <c r="E384"/>
  <c r="F384" s="1"/>
  <c r="F386"/>
  <c r="F390"/>
  <c r="F397"/>
  <c r="F399"/>
  <c r="F403"/>
  <c r="F405"/>
  <c r="F331"/>
  <c r="F333"/>
  <c r="F335"/>
  <c r="F337"/>
  <c r="F339"/>
  <c r="J149" i="2"/>
  <c r="H148"/>
  <c r="J148" s="1"/>
  <c r="H147"/>
  <c r="J147" s="1"/>
  <c r="H157"/>
  <c r="J157" s="1"/>
  <c r="H151"/>
  <c r="J151" s="1"/>
  <c r="H158"/>
  <c r="J158" s="1"/>
  <c r="H152"/>
  <c r="J152" s="1"/>
  <c r="E618" i="3" l="1"/>
  <c r="D618"/>
  <c r="E616"/>
  <c r="D616"/>
  <c r="F25" i="61"/>
  <c r="H25" s="1"/>
  <c r="F616" i="3" l="1"/>
  <c r="F618"/>
  <c r="F24" i="61"/>
  <c r="H24" s="1"/>
  <c r="F624" i="3" l="1"/>
  <c r="F58" i="61"/>
  <c r="H58" s="1"/>
  <c r="F57" l="1"/>
  <c r="H57" s="1"/>
  <c r="F589" i="3"/>
  <c r="E592"/>
  <c r="D592"/>
  <c r="H121" i="2"/>
  <c r="J121" s="1"/>
  <c r="H125"/>
  <c r="J125" s="1"/>
  <c r="F592" i="3" l="1"/>
  <c r="E381"/>
  <c r="D381"/>
  <c r="D380" s="1"/>
  <c r="H180" i="2"/>
  <c r="F381" i="3" l="1"/>
  <c r="E380"/>
  <c r="H179" i="2"/>
  <c r="J179" s="1"/>
  <c r="J180"/>
  <c r="H280"/>
  <c r="J280" s="1"/>
  <c r="D200" i="3"/>
  <c r="E201"/>
  <c r="F201" s="1"/>
  <c r="E204"/>
  <c r="F204" s="1"/>
  <c r="E192"/>
  <c r="F192" s="1"/>
  <c r="E190"/>
  <c r="F190" s="1"/>
  <c r="D187"/>
  <c r="D186" s="1"/>
  <c r="F187" l="1"/>
  <c r="F186"/>
  <c r="E189"/>
  <c r="E185" s="1"/>
  <c r="E203"/>
  <c r="F203" s="1"/>
  <c r="E200"/>
  <c r="F200" s="1"/>
  <c r="H279" i="2"/>
  <c r="J279" s="1"/>
  <c r="F189" i="3" l="1"/>
  <c r="E245"/>
  <c r="E244" s="1"/>
  <c r="E240" s="1"/>
  <c r="D245"/>
  <c r="D244" s="1"/>
  <c r="D240" s="1"/>
  <c r="F287" i="61"/>
  <c r="F322"/>
  <c r="H322" s="1"/>
  <c r="H334" i="2"/>
  <c r="J334" s="1"/>
  <c r="H496"/>
  <c r="J496" s="1"/>
  <c r="F663" i="61"/>
  <c r="H663" s="1"/>
  <c r="E225" i="3"/>
  <c r="D225"/>
  <c r="E223"/>
  <c r="D223"/>
  <c r="E221"/>
  <c r="F221" s="1"/>
  <c r="D221"/>
  <c r="E219"/>
  <c r="F219" s="1"/>
  <c r="D219"/>
  <c r="H523" i="2"/>
  <c r="J523" s="1"/>
  <c r="H521"/>
  <c r="J521" s="1"/>
  <c r="H519"/>
  <c r="J519" s="1"/>
  <c r="E213" i="3"/>
  <c r="D213"/>
  <c r="H197" i="2"/>
  <c r="J197" s="1"/>
  <c r="E211" i="3"/>
  <c r="D211"/>
  <c r="F209"/>
  <c r="D209"/>
  <c r="H195" i="2"/>
  <c r="J195" s="1"/>
  <c r="H193"/>
  <c r="J193" s="1"/>
  <c r="F211" i="3" l="1"/>
  <c r="E208"/>
  <c r="E207" s="1"/>
  <c r="E218"/>
  <c r="E217" s="1"/>
  <c r="F223"/>
  <c r="F225"/>
  <c r="F213"/>
  <c r="F245"/>
  <c r="H287" i="61"/>
  <c r="F284"/>
  <c r="H284" s="1"/>
  <c r="D208" i="3"/>
  <c r="D218"/>
  <c r="F208"/>
  <c r="H518" i="2"/>
  <c r="J518" s="1"/>
  <c r="H192"/>
  <c r="J192" s="1"/>
  <c r="F244" i="3"/>
  <c r="F218" l="1"/>
  <c r="F240"/>
  <c r="F283" i="61"/>
  <c r="H283" s="1"/>
  <c r="H21" i="2"/>
  <c r="J21" s="1"/>
  <c r="H23" l="1"/>
  <c r="H20" l="1"/>
  <c r="J23"/>
  <c r="H328"/>
  <c r="J328" s="1"/>
  <c r="F317" i="61"/>
  <c r="H584" i="2"/>
  <c r="J584" s="1"/>
  <c r="H574"/>
  <c r="J574" s="1"/>
  <c r="H327" l="1"/>
  <c r="J327" s="1"/>
  <c r="H19"/>
  <c r="J19" s="1"/>
  <c r="J20"/>
  <c r="F316" i="61"/>
  <c r="H316" s="1"/>
  <c r="H317"/>
  <c r="E261" i="3"/>
  <c r="F261" s="1"/>
  <c r="D261"/>
  <c r="H310" i="2"/>
  <c r="J310" s="1"/>
  <c r="F302" i="61"/>
  <c r="H302" s="1"/>
  <c r="E419" i="3" l="1"/>
  <c r="D419"/>
  <c r="H405" i="2"/>
  <c r="J405" s="1"/>
  <c r="F380" i="61"/>
  <c r="H380" s="1"/>
  <c r="F419" i="3" l="1"/>
  <c r="D106"/>
  <c r="F106" s="1"/>
  <c r="D104"/>
  <c r="F104" s="1"/>
  <c r="D103" l="1"/>
  <c r="F425" i="61"/>
  <c r="H425" s="1"/>
  <c r="D102" i="3" l="1"/>
  <c r="F102" s="1"/>
  <c r="F103"/>
  <c r="D511"/>
  <c r="D510" s="1"/>
  <c r="E511"/>
  <c r="H455" i="2"/>
  <c r="H448"/>
  <c r="F511" i="3" l="1"/>
  <c r="E510"/>
  <c r="H454" i="2"/>
  <c r="J454" s="1"/>
  <c r="J455"/>
  <c r="H447"/>
  <c r="J447" s="1"/>
  <c r="J448"/>
  <c r="H700"/>
  <c r="F275" i="61"/>
  <c r="H275" s="1"/>
  <c r="F510" i="3" l="1"/>
  <c r="E502"/>
  <c r="E501" s="1"/>
  <c r="H699" i="2"/>
  <c r="J700"/>
  <c r="F274" i="61"/>
  <c r="H274" s="1"/>
  <c r="D132" i="3"/>
  <c r="H754" i="2"/>
  <c r="J754" s="1"/>
  <c r="F606" i="61"/>
  <c r="H606" s="1"/>
  <c r="F132" i="3" l="1"/>
  <c r="H698" i="2"/>
  <c r="J699"/>
  <c r="F273" i="61"/>
  <c r="H273" s="1"/>
  <c r="F78" i="3"/>
  <c r="H697" i="2" l="1"/>
  <c r="J698"/>
  <c r="H365"/>
  <c r="J365" s="1"/>
  <c r="H363"/>
  <c r="J363" s="1"/>
  <c r="H696" l="1"/>
  <c r="J696" s="1"/>
  <c r="J697"/>
  <c r="I773"/>
  <c r="I775"/>
  <c r="J775" s="1"/>
  <c r="J773" l="1"/>
  <c r="J768" s="1"/>
  <c r="I767"/>
  <c r="F624" i="61"/>
  <c r="H624" s="1"/>
  <c r="F626"/>
  <c r="H626" s="1"/>
  <c r="J767" i="2" l="1"/>
  <c r="I766"/>
  <c r="F618" i="61"/>
  <c r="H618" s="1"/>
  <c r="F258"/>
  <c r="H258" s="1"/>
  <c r="F256"/>
  <c r="H256" s="1"/>
  <c r="F415" l="1"/>
  <c r="H415" s="1"/>
  <c r="E360" i="3"/>
  <c r="D360"/>
  <c r="E358"/>
  <c r="D358"/>
  <c r="E356"/>
  <c r="D356"/>
  <c r="E354"/>
  <c r="D354"/>
  <c r="F233" i="61"/>
  <c r="H233" s="1"/>
  <c r="F231"/>
  <c r="H231" s="1"/>
  <c r="F229"/>
  <c r="H229" s="1"/>
  <c r="F227"/>
  <c r="H227" s="1"/>
  <c r="H231" i="2"/>
  <c r="J231" s="1"/>
  <c r="H229"/>
  <c r="J229" s="1"/>
  <c r="H235"/>
  <c r="J235" s="1"/>
  <c r="H233"/>
  <c r="J233" s="1"/>
  <c r="F354" i="3" l="1"/>
  <c r="F356"/>
  <c r="F358"/>
  <c r="F360"/>
  <c r="H218" i="2"/>
  <c r="J218" s="1"/>
  <c r="F210" i="61"/>
  <c r="H210" s="1"/>
  <c r="E275" i="3" l="1"/>
  <c r="D275"/>
  <c r="F313" i="61"/>
  <c r="H313" s="1"/>
  <c r="H324" i="2"/>
  <c r="J324" s="1"/>
  <c r="F275" i="3" l="1"/>
  <c r="D558"/>
  <c r="F558" s="1"/>
  <c r="D596"/>
  <c r="J137" i="2" l="1"/>
  <c r="J138"/>
  <c r="D585" i="3"/>
  <c r="H717" i="2"/>
  <c r="H622"/>
  <c r="H599"/>
  <c r="J599" s="1"/>
  <c r="F532" i="61"/>
  <c r="H532" s="1"/>
  <c r="F503"/>
  <c r="H503" s="1"/>
  <c r="H594" i="2" l="1"/>
  <c r="J594" s="1"/>
  <c r="H714"/>
  <c r="J714" s="1"/>
  <c r="J717"/>
  <c r="H619"/>
  <c r="J619" s="1"/>
  <c r="J622"/>
  <c r="F498" i="61"/>
  <c r="H498" s="1"/>
  <c r="F529"/>
  <c r="H529" s="1"/>
  <c r="H618" i="2"/>
  <c r="J618" s="1"/>
  <c r="H593"/>
  <c r="J593" s="1"/>
  <c r="H713"/>
  <c r="J713" s="1"/>
  <c r="H766" l="1"/>
  <c r="J766" s="1"/>
  <c r="F497" i="61"/>
  <c r="H497" s="1"/>
  <c r="F617"/>
  <c r="H617" s="1"/>
  <c r="F528"/>
  <c r="H528" s="1"/>
  <c r="H658" i="2"/>
  <c r="J658" s="1"/>
  <c r="H656"/>
  <c r="J656" s="1"/>
  <c r="H470" l="1"/>
  <c r="J470" s="1"/>
  <c r="F435" i="61"/>
  <c r="H435" s="1"/>
  <c r="H348" i="2"/>
  <c r="J348" l="1"/>
  <c r="H347"/>
  <c r="D312" i="3"/>
  <c r="F343" i="61"/>
  <c r="H343" s="1"/>
  <c r="E389" i="3"/>
  <c r="D389"/>
  <c r="F167" i="61"/>
  <c r="H167" s="1"/>
  <c r="H44" i="2"/>
  <c r="J44" s="1"/>
  <c r="F389" i="3" l="1"/>
  <c r="H170" i="2"/>
  <c r="J170" s="1"/>
  <c r="H362"/>
  <c r="J362" s="1"/>
  <c r="E312" i="3"/>
  <c r="F312" s="1"/>
  <c r="E350" l="1"/>
  <c r="D350"/>
  <c r="F223" i="61"/>
  <c r="H223" s="1"/>
  <c r="F350" i="3" l="1"/>
  <c r="E280"/>
  <c r="D280"/>
  <c r="D279" s="1"/>
  <c r="F280" l="1"/>
  <c r="E279"/>
  <c r="F279" s="1"/>
  <c r="D278"/>
  <c r="E278" l="1"/>
  <c r="F278"/>
  <c r="E612"/>
  <c r="D612"/>
  <c r="F53" i="61"/>
  <c r="F635"/>
  <c r="H635" s="1"/>
  <c r="F631"/>
  <c r="H631" s="1"/>
  <c r="F603"/>
  <c r="H603" s="1"/>
  <c r="F601"/>
  <c r="H601" s="1"/>
  <c r="F526"/>
  <c r="H526" s="1"/>
  <c r="F524"/>
  <c r="H524" s="1"/>
  <c r="F522"/>
  <c r="E545" i="3"/>
  <c r="E622"/>
  <c r="D622"/>
  <c r="F585"/>
  <c r="E123"/>
  <c r="D123"/>
  <c r="F180"/>
  <c r="D179"/>
  <c r="E177"/>
  <c r="D177"/>
  <c r="D176" s="1"/>
  <c r="D175" s="1"/>
  <c r="E173"/>
  <c r="D173"/>
  <c r="E171"/>
  <c r="F171" s="1"/>
  <c r="D171"/>
  <c r="E135"/>
  <c r="F135" s="1"/>
  <c r="D135"/>
  <c r="E129"/>
  <c r="F129" s="1"/>
  <c r="D129"/>
  <c r="E127"/>
  <c r="F127" s="1"/>
  <c r="D127"/>
  <c r="D119"/>
  <c r="F173" l="1"/>
  <c r="F177"/>
  <c r="F596" i="61"/>
  <c r="H596" s="1"/>
  <c r="F612" i="3"/>
  <c r="E615"/>
  <c r="F622"/>
  <c r="F119"/>
  <c r="F123"/>
  <c r="E176"/>
  <c r="F176" s="1"/>
  <c r="E179"/>
  <c r="F179" s="1"/>
  <c r="H522" i="61"/>
  <c r="F521"/>
  <c r="F630"/>
  <c r="H630" s="1"/>
  <c r="F52"/>
  <c r="H53"/>
  <c r="D170" i="3"/>
  <c r="D169" s="1"/>
  <c r="G684" i="61"/>
  <c r="D615" i="3"/>
  <c r="E170"/>
  <c r="F170" s="1"/>
  <c r="F685" i="61"/>
  <c r="F326"/>
  <c r="H326" s="1"/>
  <c r="F684" l="1"/>
  <c r="H685"/>
  <c r="H684"/>
  <c r="F629"/>
  <c r="H629" s="1"/>
  <c r="F615" i="3"/>
  <c r="E169"/>
  <c r="F169" s="1"/>
  <c r="E175"/>
  <c r="F175" s="1"/>
  <c r="F595" i="61"/>
  <c r="H595" s="1"/>
  <c r="F520"/>
  <c r="H520" s="1"/>
  <c r="H521"/>
  <c r="F51"/>
  <c r="H51" s="1"/>
  <c r="H52"/>
  <c r="F548"/>
  <c r="H548" s="1"/>
  <c r="F594" l="1"/>
  <c r="H594" s="1"/>
  <c r="F23"/>
  <c r="H23" s="1"/>
  <c r="H131" i="2" l="1"/>
  <c r="J131" s="1"/>
  <c r="F368" i="61" l="1"/>
  <c r="H368" s="1"/>
  <c r="F366"/>
  <c r="H366" s="1"/>
  <c r="F364"/>
  <c r="H364" s="1"/>
  <c r="F362"/>
  <c r="H361" i="2"/>
  <c r="J361" s="1"/>
  <c r="H391"/>
  <c r="J391" s="1"/>
  <c r="H389"/>
  <c r="J389" s="1"/>
  <c r="H386"/>
  <c r="J386" s="1"/>
  <c r="H384"/>
  <c r="J384" s="1"/>
  <c r="D324" i="3"/>
  <c r="F324" s="1"/>
  <c r="E326"/>
  <c r="D326"/>
  <c r="E321"/>
  <c r="D321"/>
  <c r="E319"/>
  <c r="D319"/>
  <c r="E298"/>
  <c r="E297" s="1"/>
  <c r="D298"/>
  <c r="D297" s="1"/>
  <c r="F319" l="1"/>
  <c r="F298"/>
  <c r="F321"/>
  <c r="F326"/>
  <c r="H362" i="61"/>
  <c r="F361"/>
  <c r="D296" i="3"/>
  <c r="H388" i="2"/>
  <c r="J388" s="1"/>
  <c r="D323" i="3"/>
  <c r="E323"/>
  <c r="D318"/>
  <c r="E318"/>
  <c r="E317" s="1"/>
  <c r="H383" i="2"/>
  <c r="D317" i="3" l="1"/>
  <c r="F297"/>
  <c r="F318"/>
  <c r="F323"/>
  <c r="F317"/>
  <c r="E296"/>
  <c r="F296" s="1"/>
  <c r="J383" i="2"/>
  <c r="H382"/>
  <c r="F357" i="61"/>
  <c r="H357" s="1"/>
  <c r="H361"/>
  <c r="D288" i="3"/>
  <c r="D287" s="1"/>
  <c r="H342" i="2"/>
  <c r="H339"/>
  <c r="J339" s="1"/>
  <c r="F328" i="61"/>
  <c r="D112" i="3"/>
  <c r="F112" s="1"/>
  <c r="H670" i="2"/>
  <c r="J670" s="1"/>
  <c r="H664"/>
  <c r="J664" s="1"/>
  <c r="H662"/>
  <c r="D100" i="3"/>
  <c r="F100" s="1"/>
  <c r="D98"/>
  <c r="F98" s="1"/>
  <c r="H614" i="2"/>
  <c r="J614" s="1"/>
  <c r="H612"/>
  <c r="J612" s="1"/>
  <c r="D96" i="3"/>
  <c r="F96" s="1"/>
  <c r="D94"/>
  <c r="F94" s="1"/>
  <c r="D90"/>
  <c r="F90" s="1"/>
  <c r="H654" i="2"/>
  <c r="J654" s="1"/>
  <c r="D88" i="3"/>
  <c r="D87" s="1"/>
  <c r="H610" i="2"/>
  <c r="H609" s="1"/>
  <c r="D81" i="3"/>
  <c r="F81" s="1"/>
  <c r="H589" i="2"/>
  <c r="J589" s="1"/>
  <c r="D76" i="3"/>
  <c r="F76" s="1"/>
  <c r="H605" i="2"/>
  <c r="J605" s="1"/>
  <c r="D73" i="3"/>
  <c r="F73" s="1"/>
  <c r="H650" i="2"/>
  <c r="J650" s="1"/>
  <c r="D71" i="3"/>
  <c r="F71" s="1"/>
  <c r="H587" i="2"/>
  <c r="J587" s="1"/>
  <c r="D69" i="3"/>
  <c r="F69" s="1"/>
  <c r="H635" i="2"/>
  <c r="J635" s="1"/>
  <c r="D46" i="3"/>
  <c r="F46" s="1"/>
  <c r="D48"/>
  <c r="F48" s="1"/>
  <c r="H578" i="2"/>
  <c r="J578" s="1"/>
  <c r="H647"/>
  <c r="J647" s="1"/>
  <c r="H543"/>
  <c r="J543" s="1"/>
  <c r="D44" i="3"/>
  <c r="F44" s="1"/>
  <c r="D42"/>
  <c r="F42" s="1"/>
  <c r="H679" i="2"/>
  <c r="J679" s="1"/>
  <c r="H685"/>
  <c r="J685" s="1"/>
  <c r="D40" i="3"/>
  <c r="F40" s="1"/>
  <c r="H576" i="2"/>
  <c r="J576" s="1"/>
  <c r="D38" i="3"/>
  <c r="F38" s="1"/>
  <c r="D35"/>
  <c r="F35" s="1"/>
  <c r="H541" i="2"/>
  <c r="J541" s="1"/>
  <c r="D33" i="3"/>
  <c r="F33" s="1"/>
  <c r="D31"/>
  <c r="F31" s="1"/>
  <c r="H539" i="2"/>
  <c r="D29" i="3"/>
  <c r="F29" s="1"/>
  <c r="H644" i="2"/>
  <c r="J644" s="1"/>
  <c r="D20" i="3"/>
  <c r="F288" l="1"/>
  <c r="F87"/>
  <c r="F88"/>
  <c r="D19"/>
  <c r="F19" s="1"/>
  <c r="F20"/>
  <c r="E287"/>
  <c r="F287" s="1"/>
  <c r="H586" i="2"/>
  <c r="J586" s="1"/>
  <c r="H604"/>
  <c r="J604" s="1"/>
  <c r="J609"/>
  <c r="J610"/>
  <c r="H661"/>
  <c r="J662"/>
  <c r="H341"/>
  <c r="J341" s="1"/>
  <c r="J342"/>
  <c r="H538"/>
  <c r="J539"/>
  <c r="H678"/>
  <c r="J678" s="1"/>
  <c r="H377"/>
  <c r="J377" s="1"/>
  <c r="J382"/>
  <c r="H346"/>
  <c r="J346" s="1"/>
  <c r="J347"/>
  <c r="H470" i="61"/>
  <c r="F325"/>
  <c r="H325" s="1"/>
  <c r="H328"/>
  <c r="D68" i="3"/>
  <c r="F68" s="1"/>
  <c r="J538" i="2" l="1"/>
  <c r="H537"/>
  <c r="J537" s="1"/>
  <c r="H677"/>
  <c r="J677" s="1"/>
  <c r="H660"/>
  <c r="J660" s="1"/>
  <c r="J661"/>
  <c r="F315" i="61"/>
  <c r="H315" s="1"/>
  <c r="E596" i="3"/>
  <c r="F596" s="1"/>
  <c r="E608"/>
  <c r="D608"/>
  <c r="H809" i="2"/>
  <c r="H808" s="1"/>
  <c r="E443" i="3"/>
  <c r="D443"/>
  <c r="D442" s="1"/>
  <c r="E440"/>
  <c r="D440"/>
  <c r="E439"/>
  <c r="D439"/>
  <c r="E437"/>
  <c r="D437"/>
  <c r="E435"/>
  <c r="D435"/>
  <c r="E431"/>
  <c r="D431"/>
  <c r="E429"/>
  <c r="F429" s="1"/>
  <c r="E427"/>
  <c r="F427" s="1"/>
  <c r="E423"/>
  <c r="D423"/>
  <c r="D422" s="1"/>
  <c r="D421" s="1"/>
  <c r="E417"/>
  <c r="E416" s="1"/>
  <c r="D417"/>
  <c r="D416" s="1"/>
  <c r="E414"/>
  <c r="D414"/>
  <c r="E412"/>
  <c r="D412"/>
  <c r="E410"/>
  <c r="E409" s="1"/>
  <c r="E408" s="1"/>
  <c r="D410"/>
  <c r="F399" i="61"/>
  <c r="H399" s="1"/>
  <c r="F397"/>
  <c r="H397" s="1"/>
  <c r="F395"/>
  <c r="H395" s="1"/>
  <c r="F393"/>
  <c r="H393" s="1"/>
  <c r="H423" i="2"/>
  <c r="J423" s="1"/>
  <c r="H421"/>
  <c r="J421" s="1"/>
  <c r="H417"/>
  <c r="H403"/>
  <c r="H400"/>
  <c r="J400" s="1"/>
  <c r="H398"/>
  <c r="J398" s="1"/>
  <c r="H396"/>
  <c r="J396" s="1"/>
  <c r="E489" i="3"/>
  <c r="D489"/>
  <c r="D488" s="1"/>
  <c r="G679" i="61"/>
  <c r="F679"/>
  <c r="G677"/>
  <c r="F677"/>
  <c r="E348" i="3"/>
  <c r="D348"/>
  <c r="E346"/>
  <c r="D346"/>
  <c r="E344"/>
  <c r="D344"/>
  <c r="F87" i="61"/>
  <c r="H87" s="1"/>
  <c r="F85"/>
  <c r="H85" s="1"/>
  <c r="F83"/>
  <c r="H83" s="1"/>
  <c r="H326" i="2"/>
  <c r="J326" s="1"/>
  <c r="F311" i="61"/>
  <c r="H311" s="1"/>
  <c r="E266" i="3"/>
  <c r="D266"/>
  <c r="H315" i="2"/>
  <c r="J315" s="1"/>
  <c r="E264" i="3"/>
  <c r="D264"/>
  <c r="F304" i="61"/>
  <c r="H304" s="1"/>
  <c r="F344" i="3" l="1"/>
  <c r="F346"/>
  <c r="H677" i="61"/>
  <c r="H679"/>
  <c r="F431" i="3"/>
  <c r="F435"/>
  <c r="F348"/>
  <c r="H807" i="2"/>
  <c r="J808"/>
  <c r="F608" i="3"/>
  <c r="F489"/>
  <c r="F437"/>
  <c r="F410"/>
  <c r="F439"/>
  <c r="D263"/>
  <c r="F266"/>
  <c r="E263"/>
  <c r="F264"/>
  <c r="F440"/>
  <c r="F443"/>
  <c r="F412"/>
  <c r="F414"/>
  <c r="F417"/>
  <c r="F423"/>
  <c r="E488"/>
  <c r="F488" s="1"/>
  <c r="E442"/>
  <c r="F442" s="1"/>
  <c r="E422"/>
  <c r="J809" i="2"/>
  <c r="H402"/>
  <c r="J402" s="1"/>
  <c r="J403"/>
  <c r="H412"/>
  <c r="J412" s="1"/>
  <c r="J417"/>
  <c r="G672" i="61"/>
  <c r="F672"/>
  <c r="D343" i="3"/>
  <c r="D342" s="1"/>
  <c r="E343"/>
  <c r="D409"/>
  <c r="H395" i="2"/>
  <c r="J395" s="1"/>
  <c r="D366" i="3"/>
  <c r="F366" s="1"/>
  <c r="H420" i="2"/>
  <c r="J420" s="1"/>
  <c r="F392" i="61"/>
  <c r="H392" s="1"/>
  <c r="E434" i="3"/>
  <c r="E426"/>
  <c r="D330"/>
  <c r="D328" s="1"/>
  <c r="D434"/>
  <c r="D433" s="1"/>
  <c r="D426"/>
  <c r="D425" s="1"/>
  <c r="H78" i="2"/>
  <c r="E330" i="3"/>
  <c r="F206" i="61"/>
  <c r="H206" s="1"/>
  <c r="F343" i="3" l="1"/>
  <c r="H806" i="2"/>
  <c r="J806" s="1"/>
  <c r="J807"/>
  <c r="H672" i="61"/>
  <c r="F422" i="3"/>
  <c r="E421"/>
  <c r="F409"/>
  <c r="F330"/>
  <c r="E328"/>
  <c r="F426"/>
  <c r="F434"/>
  <c r="F416"/>
  <c r="E329"/>
  <c r="E425"/>
  <c r="F425" s="1"/>
  <c r="E342"/>
  <c r="F342" s="1"/>
  <c r="E433"/>
  <c r="F433" s="1"/>
  <c r="H77" i="2"/>
  <c r="J77" s="1"/>
  <c r="J78"/>
  <c r="D329" i="3"/>
  <c r="D408"/>
  <c r="D407" s="1"/>
  <c r="F208" i="61"/>
  <c r="H208" s="1"/>
  <c r="F421" i="3" l="1"/>
  <c r="E407"/>
  <c r="F407" s="1"/>
  <c r="F408"/>
  <c r="F329"/>
  <c r="E341"/>
  <c r="E238"/>
  <c r="D238"/>
  <c r="E235"/>
  <c r="F235" s="1"/>
  <c r="D235"/>
  <c r="F238" l="1"/>
  <c r="H468" i="2"/>
  <c r="F433" i="61"/>
  <c r="H467" i="2" l="1"/>
  <c r="J467" s="1"/>
  <c r="J468"/>
  <c r="F432" i="61"/>
  <c r="H432" s="1"/>
  <c r="H433"/>
  <c r="H466" i="2"/>
  <c r="J466" s="1"/>
  <c r="F431" i="61" l="1"/>
  <c r="H431" s="1"/>
  <c r="H465" i="2"/>
  <c r="J465" s="1"/>
  <c r="E270" i="3"/>
  <c r="E379" l="1"/>
  <c r="H178" i="2"/>
  <c r="J178" s="1"/>
  <c r="F13" i="62"/>
  <c r="F18" s="1"/>
  <c r="E13"/>
  <c r="E18" s="1"/>
  <c r="D13"/>
  <c r="D18" s="1"/>
  <c r="H177" i="2" l="1"/>
  <c r="J177" s="1"/>
  <c r="E604" i="3"/>
  <c r="F604" s="1"/>
  <c r="E602"/>
  <c r="D602"/>
  <c r="E572"/>
  <c r="D566"/>
  <c r="E566"/>
  <c r="E556"/>
  <c r="D556"/>
  <c r="E553"/>
  <c r="F553" s="1"/>
  <c r="D553"/>
  <c r="E550"/>
  <c r="D550"/>
  <c r="D549" s="1"/>
  <c r="D545"/>
  <c r="F545" s="1"/>
  <c r="D499"/>
  <c r="D498" s="1"/>
  <c r="E499"/>
  <c r="D496"/>
  <c r="D495" s="1"/>
  <c r="E496"/>
  <c r="E493"/>
  <c r="D493"/>
  <c r="D492" s="1"/>
  <c r="E479"/>
  <c r="D479"/>
  <c r="D478" s="1"/>
  <c r="E388"/>
  <c r="D388"/>
  <c r="E285"/>
  <c r="D285"/>
  <c r="D284" s="1"/>
  <c r="D283" s="1"/>
  <c r="E273"/>
  <c r="D273"/>
  <c r="D272" s="1"/>
  <c r="D270"/>
  <c r="F270" s="1"/>
  <c r="E269"/>
  <c r="E259"/>
  <c r="E256" s="1"/>
  <c r="E255" s="1"/>
  <c r="D259"/>
  <c r="D257"/>
  <c r="E253"/>
  <c r="D253"/>
  <c r="D252" s="1"/>
  <c r="E252"/>
  <c r="E250"/>
  <c r="D250"/>
  <c r="D249" s="1"/>
  <c r="E249"/>
  <c r="F249" s="1"/>
  <c r="E237"/>
  <c r="D237"/>
  <c r="E234"/>
  <c r="D234"/>
  <c r="E167"/>
  <c r="D167"/>
  <c r="D165"/>
  <c r="E165"/>
  <c r="D162"/>
  <c r="E162"/>
  <c r="F162" s="1"/>
  <c r="E160"/>
  <c r="D160"/>
  <c r="D159" s="1"/>
  <c r="D153"/>
  <c r="D152" s="1"/>
  <c r="F153"/>
  <c r="D147"/>
  <c r="D146" s="1"/>
  <c r="D125"/>
  <c r="D118" s="1"/>
  <c r="E118"/>
  <c r="D111"/>
  <c r="F111" s="1"/>
  <c r="D64"/>
  <c r="F64" s="1"/>
  <c r="D25"/>
  <c r="H821" i="2"/>
  <c r="H820" s="1"/>
  <c r="H815"/>
  <c r="H814" s="1"/>
  <c r="H813" s="1"/>
  <c r="H785"/>
  <c r="I785"/>
  <c r="H781"/>
  <c r="H751"/>
  <c r="J751" s="1"/>
  <c r="H749"/>
  <c r="J749" s="1"/>
  <c r="H711"/>
  <c r="J711" s="1"/>
  <c r="H709"/>
  <c r="J709" s="1"/>
  <c r="H707"/>
  <c r="H694"/>
  <c r="H684"/>
  <c r="J684" s="1"/>
  <c r="H676"/>
  <c r="J676" s="1"/>
  <c r="H669"/>
  <c r="J669" s="1"/>
  <c r="H649"/>
  <c r="J649" s="1"/>
  <c r="H646"/>
  <c r="J646" s="1"/>
  <c r="H643"/>
  <c r="J643" s="1"/>
  <c r="H627"/>
  <c r="J627" s="1"/>
  <c r="H568"/>
  <c r="H495"/>
  <c r="J495" s="1"/>
  <c r="H491"/>
  <c r="J491" s="1"/>
  <c r="H488"/>
  <c r="H482"/>
  <c r="J482" s="1"/>
  <c r="H429"/>
  <c r="J429" s="1"/>
  <c r="H426"/>
  <c r="J426" s="1"/>
  <c r="H409"/>
  <c r="J409" s="1"/>
  <c r="H375"/>
  <c r="J375" s="1"/>
  <c r="H338"/>
  <c r="H333"/>
  <c r="J333" s="1"/>
  <c r="H322"/>
  <c r="J322" s="1"/>
  <c r="H319"/>
  <c r="H313"/>
  <c r="H308"/>
  <c r="J308" s="1"/>
  <c r="H306"/>
  <c r="J306" s="1"/>
  <c r="H302"/>
  <c r="H299"/>
  <c r="H292"/>
  <c r="H169"/>
  <c r="J169" s="1"/>
  <c r="H163"/>
  <c r="J163" s="1"/>
  <c r="H136"/>
  <c r="H120"/>
  <c r="J120" s="1"/>
  <c r="H103"/>
  <c r="H64"/>
  <c r="H58"/>
  <c r="H43"/>
  <c r="J43" s="1"/>
  <c r="H39"/>
  <c r="H31"/>
  <c r="F714" i="61"/>
  <c r="F713" s="1"/>
  <c r="F712" s="1"/>
  <c r="F711" s="1"/>
  <c r="F710" s="1"/>
  <c r="G714"/>
  <c r="G702"/>
  <c r="G700"/>
  <c r="F700"/>
  <c r="F698"/>
  <c r="G698"/>
  <c r="F696"/>
  <c r="H696" s="1"/>
  <c r="F668"/>
  <c r="F662"/>
  <c r="F661" s="1"/>
  <c r="F659"/>
  <c r="H659" s="1"/>
  <c r="F657"/>
  <c r="H657" s="1"/>
  <c r="F653"/>
  <c r="H653" s="1"/>
  <c r="F648"/>
  <c r="F536"/>
  <c r="H536" s="1"/>
  <c r="F421"/>
  <c r="F390"/>
  <c r="H390" s="1"/>
  <c r="F383"/>
  <c r="F378"/>
  <c r="H378" s="1"/>
  <c r="F376"/>
  <c r="H376" s="1"/>
  <c r="F374"/>
  <c r="H374" s="1"/>
  <c r="F372"/>
  <c r="F355"/>
  <c r="F333"/>
  <c r="F321"/>
  <c r="F309"/>
  <c r="H309" s="1"/>
  <c r="F306"/>
  <c r="H306" s="1"/>
  <c r="F300"/>
  <c r="H300" s="1"/>
  <c r="F298"/>
  <c r="F295"/>
  <c r="H295" s="1"/>
  <c r="F293"/>
  <c r="H293" s="1"/>
  <c r="F281"/>
  <c r="H281" s="1"/>
  <c r="F252"/>
  <c r="H252" s="1"/>
  <c r="F221"/>
  <c r="H221" s="1"/>
  <c r="F219"/>
  <c r="H219" s="1"/>
  <c r="F217"/>
  <c r="H217" s="1"/>
  <c r="F204"/>
  <c r="F197"/>
  <c r="H197" s="1"/>
  <c r="F195"/>
  <c r="H195" s="1"/>
  <c r="F193"/>
  <c r="H193" s="1"/>
  <c r="F188"/>
  <c r="H188" s="1"/>
  <c r="F176"/>
  <c r="F159"/>
  <c r="H159" s="1"/>
  <c r="F157"/>
  <c r="H157" s="1"/>
  <c r="F154"/>
  <c r="H154" s="1"/>
  <c r="F152"/>
  <c r="H152" s="1"/>
  <c r="F149"/>
  <c r="F137"/>
  <c r="F132"/>
  <c r="F108"/>
  <c r="H108" s="1"/>
  <c r="F104"/>
  <c r="F89"/>
  <c r="H89" s="1"/>
  <c r="F81"/>
  <c r="H81" s="1"/>
  <c r="F72"/>
  <c r="H72" s="1"/>
  <c r="F70"/>
  <c r="H70" s="1"/>
  <c r="F68"/>
  <c r="F63"/>
  <c r="F48"/>
  <c r="F34"/>
  <c r="F21"/>
  <c r="F556" i="3" l="1"/>
  <c r="H137" i="61"/>
  <c r="F136"/>
  <c r="F250" i="3"/>
  <c r="G695" i="61"/>
  <c r="G694" s="1"/>
  <c r="G693" s="1"/>
  <c r="G692" s="1"/>
  <c r="E565" i="3"/>
  <c r="F550"/>
  <c r="E549"/>
  <c r="H780" i="2"/>
  <c r="J780" s="1"/>
  <c r="J781"/>
  <c r="H819"/>
  <c r="J820"/>
  <c r="F667" i="61"/>
  <c r="H668"/>
  <c r="H372"/>
  <c r="F371"/>
  <c r="H371" s="1"/>
  <c r="H700"/>
  <c r="F566" i="3"/>
  <c r="F602"/>
  <c r="F257"/>
  <c r="F252"/>
  <c r="F253"/>
  <c r="F165"/>
  <c r="E164"/>
  <c r="D164"/>
  <c r="F167"/>
  <c r="F273"/>
  <c r="F285"/>
  <c r="E159"/>
  <c r="F496"/>
  <c r="F499"/>
  <c r="F160"/>
  <c r="F147"/>
  <c r="F234"/>
  <c r="F237"/>
  <c r="D248"/>
  <c r="F259"/>
  <c r="F388"/>
  <c r="F479"/>
  <c r="F493"/>
  <c r="F125"/>
  <c r="E152"/>
  <c r="F152" s="1"/>
  <c r="D269"/>
  <c r="F269" s="1"/>
  <c r="E272"/>
  <c r="F272" s="1"/>
  <c r="E284"/>
  <c r="F284" s="1"/>
  <c r="E495"/>
  <c r="F495" s="1"/>
  <c r="E498"/>
  <c r="F498" s="1"/>
  <c r="D24"/>
  <c r="F24" s="1"/>
  <c r="F25"/>
  <c r="E146"/>
  <c r="F146" s="1"/>
  <c r="E478"/>
  <c r="F478" s="1"/>
  <c r="E492"/>
  <c r="F492" s="1"/>
  <c r="J785" i="2"/>
  <c r="I778"/>
  <c r="J815"/>
  <c r="J821"/>
  <c r="J744"/>
  <c r="I744"/>
  <c r="I743" s="1"/>
  <c r="I742" s="1"/>
  <c r="J814"/>
  <c r="J707"/>
  <c r="J706" s="1"/>
  <c r="H706"/>
  <c r="J568"/>
  <c r="H567"/>
  <c r="J567" s="1"/>
  <c r="J313"/>
  <c r="H312"/>
  <c r="J292"/>
  <c r="H291"/>
  <c r="H287" s="1"/>
  <c r="H38"/>
  <c r="J38" s="1"/>
  <c r="J39"/>
  <c r="H57"/>
  <c r="J58"/>
  <c r="H102"/>
  <c r="J102" s="1"/>
  <c r="J103"/>
  <c r="H168"/>
  <c r="J168" s="1"/>
  <c r="H301"/>
  <c r="J301" s="1"/>
  <c r="J302"/>
  <c r="H318"/>
  <c r="J318" s="1"/>
  <c r="J319"/>
  <c r="H374"/>
  <c r="J374" s="1"/>
  <c r="H428"/>
  <c r="J428" s="1"/>
  <c r="H487"/>
  <c r="J487" s="1"/>
  <c r="J488"/>
  <c r="H494"/>
  <c r="J494" s="1"/>
  <c r="H683"/>
  <c r="J683" s="1"/>
  <c r="H30"/>
  <c r="J31"/>
  <c r="H63"/>
  <c r="J63" s="1"/>
  <c r="J64"/>
  <c r="H298"/>
  <c r="J298" s="1"/>
  <c r="J299"/>
  <c r="H321"/>
  <c r="J321" s="1"/>
  <c r="H337"/>
  <c r="J338"/>
  <c r="H408"/>
  <c r="J408" s="1"/>
  <c r="H490"/>
  <c r="J490" s="1"/>
  <c r="H675"/>
  <c r="J675" s="1"/>
  <c r="H693"/>
  <c r="J693" s="1"/>
  <c r="J694"/>
  <c r="H176"/>
  <c r="J176" s="1"/>
  <c r="H135"/>
  <c r="J135" s="1"/>
  <c r="J136"/>
  <c r="H702" i="61"/>
  <c r="G713"/>
  <c r="H714"/>
  <c r="H698"/>
  <c r="H383"/>
  <c r="F382"/>
  <c r="H333"/>
  <c r="F332"/>
  <c r="H298"/>
  <c r="F297"/>
  <c r="F175"/>
  <c r="H175" s="1"/>
  <c r="H176"/>
  <c r="H149"/>
  <c r="F148"/>
  <c r="H148" s="1"/>
  <c r="F33"/>
  <c r="H33" s="1"/>
  <c r="H34"/>
  <c r="F62"/>
  <c r="H63"/>
  <c r="F103"/>
  <c r="H103" s="1"/>
  <c r="H104"/>
  <c r="F131"/>
  <c r="H131" s="1"/>
  <c r="H132"/>
  <c r="F161"/>
  <c r="H161" s="1"/>
  <c r="H162"/>
  <c r="F308"/>
  <c r="H308" s="1"/>
  <c r="F354"/>
  <c r="H354" s="1"/>
  <c r="H355"/>
  <c r="F414"/>
  <c r="H414" s="1"/>
  <c r="H421"/>
  <c r="F647"/>
  <c r="H648"/>
  <c r="F20"/>
  <c r="H21"/>
  <c r="F47"/>
  <c r="H48"/>
  <c r="F67"/>
  <c r="H67" s="1"/>
  <c r="H68"/>
  <c r="F107"/>
  <c r="H107" s="1"/>
  <c r="F187"/>
  <c r="H187" s="1"/>
  <c r="F203"/>
  <c r="H203" s="1"/>
  <c r="H204"/>
  <c r="F251"/>
  <c r="H251" s="1"/>
  <c r="F320"/>
  <c r="H321"/>
  <c r="F535"/>
  <c r="H535" s="1"/>
  <c r="F652"/>
  <c r="F549" i="3"/>
  <c r="F695" i="61"/>
  <c r="F694" s="1"/>
  <c r="H42" i="2"/>
  <c r="H744"/>
  <c r="F192" i="61"/>
  <c r="H192" s="1"/>
  <c r="F216"/>
  <c r="D256" i="3"/>
  <c r="F66" i="61"/>
  <c r="H66" s="1"/>
  <c r="H297"/>
  <c r="F469"/>
  <c r="H305" i="2"/>
  <c r="J305" s="1"/>
  <c r="F506" i="61"/>
  <c r="H255" i="2"/>
  <c r="J255" s="1"/>
  <c r="F250" i="61"/>
  <c r="H250" s="1"/>
  <c r="E199" i="3"/>
  <c r="E184" s="1"/>
  <c r="H692" i="2"/>
  <c r="J692" s="1"/>
  <c r="D199" i="3"/>
  <c r="F166" i="61"/>
  <c r="H166" s="1"/>
  <c r="D117" i="3"/>
  <c r="E248"/>
  <c r="F248" s="1"/>
  <c r="H62" i="2"/>
  <c r="E601" i="3"/>
  <c r="D185"/>
  <c r="D601"/>
  <c r="H626" i="2"/>
  <c r="F80" i="61"/>
  <c r="H80" s="1"/>
  <c r="H425" i="2"/>
  <c r="H653"/>
  <c r="D483" i="3"/>
  <c r="D477" s="1"/>
  <c r="H278" i="2"/>
  <c r="J278" s="1"/>
  <c r="G671" i="61"/>
  <c r="F413"/>
  <c r="H413" s="1"/>
  <c r="D233" i="3"/>
  <c r="H797" i="2"/>
  <c r="H805"/>
  <c r="F656" i="61"/>
  <c r="F655" s="1"/>
  <c r="D522" i="3"/>
  <c r="F522" s="1"/>
  <c r="F671" i="61"/>
  <c r="D207" i="3"/>
  <c r="H332" i="2"/>
  <c r="H517"/>
  <c r="D277" i="3"/>
  <c r="J291" i="2"/>
  <c r="F278" i="61"/>
  <c r="F202"/>
  <c r="F380" i="3"/>
  <c r="E402"/>
  <c r="F328"/>
  <c r="H191" i="2"/>
  <c r="J191" s="1"/>
  <c r="F50" i="61"/>
  <c r="H50" s="1"/>
  <c r="H382"/>
  <c r="F263" i="3"/>
  <c r="E268"/>
  <c r="E483"/>
  <c r="D268"/>
  <c r="E311"/>
  <c r="E521"/>
  <c r="D572"/>
  <c r="D565" s="1"/>
  <c r="D311"/>
  <c r="D282" s="1"/>
  <c r="D491"/>
  <c r="E588"/>
  <c r="D151"/>
  <c r="F207"/>
  <c r="E233"/>
  <c r="E277"/>
  <c r="F277" s="1"/>
  <c r="D396"/>
  <c r="D395" s="1"/>
  <c r="E396"/>
  <c r="E491"/>
  <c r="F491" s="1"/>
  <c r="H203" i="2"/>
  <c r="H481"/>
  <c r="J481" s="1"/>
  <c r="H480"/>
  <c r="J480" s="1"/>
  <c r="H76"/>
  <c r="J76" s="1"/>
  <c r="H130"/>
  <c r="H779"/>
  <c r="J779" s="1"/>
  <c r="F191" i="61"/>
  <c r="H191" s="1"/>
  <c r="H37" i="2"/>
  <c r="H217"/>
  <c r="H411"/>
  <c r="J411" s="1"/>
  <c r="H486"/>
  <c r="J486" s="1"/>
  <c r="H506"/>
  <c r="H634"/>
  <c r="H731"/>
  <c r="J731" s="1"/>
  <c r="F41" i="61"/>
  <c r="H41" s="1"/>
  <c r="F126"/>
  <c r="H126" s="1"/>
  <c r="H136"/>
  <c r="F151"/>
  <c r="H151" s="1"/>
  <c r="F156"/>
  <c r="H156" s="1"/>
  <c r="F292"/>
  <c r="H292" s="1"/>
  <c r="F385"/>
  <c r="H385" s="1"/>
  <c r="F444"/>
  <c r="F542"/>
  <c r="D588" i="3"/>
  <c r="F122" i="61"/>
  <c r="H122" s="1"/>
  <c r="J312" i="2"/>
  <c r="J722"/>
  <c r="D217" i="3"/>
  <c r="F217" s="1"/>
  <c r="E378"/>
  <c r="D402"/>
  <c r="D401" s="1"/>
  <c r="F353" i="61" l="1"/>
  <c r="H353" s="1"/>
  <c r="F233" i="3"/>
  <c r="E206"/>
  <c r="F651" i="61"/>
  <c r="H651" s="1"/>
  <c r="H650" s="1"/>
  <c r="H652"/>
  <c r="J805" i="2"/>
  <c r="H796"/>
  <c r="J797"/>
  <c r="H818"/>
  <c r="J819"/>
  <c r="F666" i="61"/>
  <c r="H666" s="1"/>
  <c r="H667"/>
  <c r="F588" i="3"/>
  <c r="F601"/>
  <c r="F572"/>
  <c r="F565"/>
  <c r="F164"/>
  <c r="F311"/>
  <c r="F483"/>
  <c r="E151"/>
  <c r="F151" s="1"/>
  <c r="F185"/>
  <c r="F199"/>
  <c r="F159"/>
  <c r="F396"/>
  <c r="F268"/>
  <c r="F402"/>
  <c r="F256"/>
  <c r="F118"/>
  <c r="E117"/>
  <c r="E395"/>
  <c r="E477"/>
  <c r="F477" s="1"/>
  <c r="E401"/>
  <c r="F401" s="1"/>
  <c r="E283"/>
  <c r="F283" s="1"/>
  <c r="D521"/>
  <c r="F521" s="1"/>
  <c r="E158"/>
  <c r="I777" i="2"/>
  <c r="J813"/>
  <c r="I741"/>
  <c r="H317"/>
  <c r="J317" s="1"/>
  <c r="H563"/>
  <c r="J563" s="1"/>
  <c r="H373"/>
  <c r="J373" s="1"/>
  <c r="H297"/>
  <c r="J297" s="1"/>
  <c r="H407"/>
  <c r="J407" s="1"/>
  <c r="H633"/>
  <c r="J634"/>
  <c r="H485"/>
  <c r="J485" s="1"/>
  <c r="H216"/>
  <c r="J217"/>
  <c r="H98"/>
  <c r="J98" s="1"/>
  <c r="J130"/>
  <c r="H479"/>
  <c r="J479" s="1"/>
  <c r="H202"/>
  <c r="J203"/>
  <c r="H190"/>
  <c r="J190" s="1"/>
  <c r="H331"/>
  <c r="J332"/>
  <c r="H419"/>
  <c r="J419" s="1"/>
  <c r="J425"/>
  <c r="H625"/>
  <c r="J626"/>
  <c r="H254"/>
  <c r="J254" s="1"/>
  <c r="H705"/>
  <c r="J705" s="1"/>
  <c r="H730"/>
  <c r="J730" s="1"/>
  <c r="H500"/>
  <c r="J500" s="1"/>
  <c r="J506"/>
  <c r="H36"/>
  <c r="J36" s="1"/>
  <c r="J37"/>
  <c r="J287"/>
  <c r="H516"/>
  <c r="J516" s="1"/>
  <c r="J517"/>
  <c r="H642"/>
  <c r="J642" s="1"/>
  <c r="J653"/>
  <c r="H61"/>
  <c r="J61" s="1"/>
  <c r="J62"/>
  <c r="H336"/>
  <c r="J336" s="1"/>
  <c r="J337"/>
  <c r="H29"/>
  <c r="J30"/>
  <c r="H682"/>
  <c r="J682" s="1"/>
  <c r="H493"/>
  <c r="J493" s="1"/>
  <c r="H167"/>
  <c r="J167" s="1"/>
  <c r="H56"/>
  <c r="J57"/>
  <c r="H41"/>
  <c r="J41" s="1"/>
  <c r="J42"/>
  <c r="G712" i="61"/>
  <c r="H713"/>
  <c r="H695"/>
  <c r="H671"/>
  <c r="G665"/>
  <c r="H320"/>
  <c r="F541"/>
  <c r="H541" s="1"/>
  <c r="H542"/>
  <c r="F443"/>
  <c r="H443" s="1"/>
  <c r="H444"/>
  <c r="F190"/>
  <c r="H190" s="1"/>
  <c r="F277"/>
  <c r="H277" s="1"/>
  <c r="H278"/>
  <c r="F468"/>
  <c r="H468" s="1"/>
  <c r="H469"/>
  <c r="F201"/>
  <c r="H201" s="1"/>
  <c r="H202"/>
  <c r="F79"/>
  <c r="H79" s="1"/>
  <c r="F165"/>
  <c r="H165" s="1"/>
  <c r="F174"/>
  <c r="H174" s="1"/>
  <c r="F505"/>
  <c r="H505" s="1"/>
  <c r="H506"/>
  <c r="F215"/>
  <c r="H216"/>
  <c r="F324"/>
  <c r="H324" s="1"/>
  <c r="H332"/>
  <c r="F534"/>
  <c r="H534" s="1"/>
  <c r="F186"/>
  <c r="H186" s="1"/>
  <c r="F46"/>
  <c r="H47"/>
  <c r="F19"/>
  <c r="H20"/>
  <c r="F646"/>
  <c r="H647"/>
  <c r="F61"/>
  <c r="H61" s="1"/>
  <c r="H62"/>
  <c r="D184" i="3"/>
  <c r="F370" i="61"/>
  <c r="F40"/>
  <c r="E544" i="3"/>
  <c r="D544"/>
  <c r="F178" i="61"/>
  <c r="H178" s="1"/>
  <c r="D206" i="3"/>
  <c r="F272" i="61"/>
  <c r="H272" s="1"/>
  <c r="H778" i="2"/>
  <c r="H777" s="1"/>
  <c r="H691"/>
  <c r="J691" s="1"/>
  <c r="F683" i="61"/>
  <c r="F693"/>
  <c r="F692" s="1"/>
  <c r="G683"/>
  <c r="H683" s="1"/>
  <c r="H286" i="2"/>
  <c r="E247" i="3"/>
  <c r="H304" i="2"/>
  <c r="H18"/>
  <c r="F561" i="61"/>
  <c r="H603" i="2"/>
  <c r="J603" s="1"/>
  <c r="H515"/>
  <c r="H743"/>
  <c r="J743" s="1"/>
  <c r="F121" i="61"/>
  <c r="H121" s="1"/>
  <c r="D341" i="3"/>
  <c r="F341" s="1"/>
  <c r="D379"/>
  <c r="F379" s="1"/>
  <c r="D476"/>
  <c r="D383"/>
  <c r="D255"/>
  <c r="D247" s="1"/>
  <c r="H721" i="2"/>
  <c r="H446"/>
  <c r="H146"/>
  <c r="D502" i="3"/>
  <c r="D501" s="1"/>
  <c r="D158"/>
  <c r="D116" s="1"/>
  <c r="H394" i="2"/>
  <c r="D18" i="3"/>
  <c r="F147" i="61"/>
  <c r="H147" s="1"/>
  <c r="F291"/>
  <c r="H562" i="2" l="1"/>
  <c r="J562" s="1"/>
  <c r="E476" i="3"/>
  <c r="F476" s="1"/>
  <c r="H499" i="2"/>
  <c r="J499" s="1"/>
  <c r="F650" i="61"/>
  <c r="H561" i="2"/>
  <c r="J561" s="1"/>
  <c r="H372"/>
  <c r="J372" s="1"/>
  <c r="J777"/>
  <c r="J778"/>
  <c r="H817"/>
  <c r="J818"/>
  <c r="H795"/>
  <c r="J796"/>
  <c r="F665" i="61"/>
  <c r="F544" i="3"/>
  <c r="F395"/>
  <c r="E383"/>
  <c r="F383" s="1"/>
  <c r="F184"/>
  <c r="F247"/>
  <c r="F206"/>
  <c r="F158"/>
  <c r="F255"/>
  <c r="F501"/>
  <c r="F502"/>
  <c r="E116"/>
  <c r="F116" s="1"/>
  <c r="F117"/>
  <c r="D17"/>
  <c r="F17" s="1"/>
  <c r="F18"/>
  <c r="E282"/>
  <c r="F282" s="1"/>
  <c r="D378"/>
  <c r="F378" s="1"/>
  <c r="I740" i="2"/>
  <c r="H641"/>
  <c r="J641" s="1"/>
  <c r="J331"/>
  <c r="H330"/>
  <c r="H215"/>
  <c r="J215" s="1"/>
  <c r="H393"/>
  <c r="J393" s="1"/>
  <c r="J394"/>
  <c r="H445"/>
  <c r="J445" s="1"/>
  <c r="J446"/>
  <c r="H514"/>
  <c r="J514" s="1"/>
  <c r="J515"/>
  <c r="H602"/>
  <c r="J602" s="1"/>
  <c r="H17"/>
  <c r="J18"/>
  <c r="H145"/>
  <c r="J146"/>
  <c r="H720"/>
  <c r="J721"/>
  <c r="H742"/>
  <c r="J742" s="1"/>
  <c r="H640"/>
  <c r="J640" s="1"/>
  <c r="H536"/>
  <c r="J536" s="1"/>
  <c r="H296"/>
  <c r="J304"/>
  <c r="H277"/>
  <c r="J277" s="1"/>
  <c r="J286"/>
  <c r="H690"/>
  <c r="J690" s="1"/>
  <c r="H498"/>
  <c r="J498" s="1"/>
  <c r="H55"/>
  <c r="J55" s="1"/>
  <c r="J56"/>
  <c r="H681"/>
  <c r="J681" s="1"/>
  <c r="H28"/>
  <c r="J29"/>
  <c r="H704"/>
  <c r="J704" s="1"/>
  <c r="H624"/>
  <c r="J624" s="1"/>
  <c r="J625"/>
  <c r="H189"/>
  <c r="J189" s="1"/>
  <c r="H201"/>
  <c r="J201" s="1"/>
  <c r="J202"/>
  <c r="H478"/>
  <c r="J478" s="1"/>
  <c r="J216"/>
  <c r="H484"/>
  <c r="J484" s="1"/>
  <c r="H632"/>
  <c r="J633"/>
  <c r="G711" i="61"/>
  <c r="H712"/>
  <c r="H694"/>
  <c r="H665"/>
  <c r="G644"/>
  <c r="F319"/>
  <c r="H319" s="1"/>
  <c r="H215"/>
  <c r="F214"/>
  <c r="H214" s="1"/>
  <c r="F540"/>
  <c r="H540" s="1"/>
  <c r="H561"/>
  <c r="F173"/>
  <c r="H173" s="1"/>
  <c r="F352"/>
  <c r="H352" s="1"/>
  <c r="H370"/>
  <c r="F290"/>
  <c r="H290" s="1"/>
  <c r="H291"/>
  <c r="F146"/>
  <c r="H146" s="1"/>
  <c r="F32"/>
  <c r="H40"/>
  <c r="F645"/>
  <c r="H646"/>
  <c r="F18"/>
  <c r="H18" s="1"/>
  <c r="H19"/>
  <c r="F45"/>
  <c r="H45" s="1"/>
  <c r="H46"/>
  <c r="F185"/>
  <c r="H185" s="1"/>
  <c r="F99"/>
  <c r="H99" s="1"/>
  <c r="H60" i="2"/>
  <c r="D16" i="3"/>
  <c r="D15" s="1"/>
  <c r="H371" i="2"/>
  <c r="G17" i="1"/>
  <c r="H741" i="2" l="1"/>
  <c r="J741" s="1"/>
  <c r="J795"/>
  <c r="H794"/>
  <c r="J794" s="1"/>
  <c r="J817"/>
  <c r="H804"/>
  <c r="J804" s="1"/>
  <c r="E16" i="3"/>
  <c r="E15" s="1"/>
  <c r="F15" s="1"/>
  <c r="I688" i="2"/>
  <c r="I15" s="1"/>
  <c r="H188"/>
  <c r="J188" s="1"/>
  <c r="H477"/>
  <c r="J477" s="1"/>
  <c r="H740"/>
  <c r="J740" s="1"/>
  <c r="J371"/>
  <c r="H35"/>
  <c r="J35" s="1"/>
  <c r="J60"/>
  <c r="H631"/>
  <c r="J631" s="1"/>
  <c r="J632"/>
  <c r="H703"/>
  <c r="J703" s="1"/>
  <c r="J330"/>
  <c r="H27"/>
  <c r="J27" s="1"/>
  <c r="J28"/>
  <c r="H674"/>
  <c r="J674" s="1"/>
  <c r="H689"/>
  <c r="J689" s="1"/>
  <c r="H295"/>
  <c r="J295" s="1"/>
  <c r="J296"/>
  <c r="H535"/>
  <c r="J535" s="1"/>
  <c r="H719"/>
  <c r="J719" s="1"/>
  <c r="J720"/>
  <c r="J715" s="1"/>
  <c r="H134"/>
  <c r="J134" s="1"/>
  <c r="J145"/>
  <c r="H16"/>
  <c r="J16" s="1"/>
  <c r="J17"/>
  <c r="H601"/>
  <c r="J601" s="1"/>
  <c r="G710" i="61"/>
  <c r="H711"/>
  <c r="H692"/>
  <c r="H693"/>
  <c r="F289"/>
  <c r="H289" s="1"/>
  <c r="F442"/>
  <c r="H442" s="1"/>
  <c r="F184"/>
  <c r="H184" s="1"/>
  <c r="F135"/>
  <c r="H135" s="1"/>
  <c r="F65"/>
  <c r="F640"/>
  <c r="H645"/>
  <c r="F644"/>
  <c r="H644" s="1"/>
  <c r="H32"/>
  <c r="F31"/>
  <c r="H31" s="1"/>
  <c r="H710" l="1"/>
  <c r="G16"/>
  <c r="F16" i="3"/>
  <c r="H534" i="2"/>
  <c r="J534" s="1"/>
  <c r="H702"/>
  <c r="J702" s="1"/>
  <c r="H294"/>
  <c r="F628" i="61"/>
  <c r="H640"/>
  <c r="F17"/>
  <c r="H65"/>
  <c r="G16" i="1"/>
  <c r="F593" i="61" l="1"/>
  <c r="H593" s="1"/>
  <c r="H628"/>
  <c r="H688" i="2"/>
  <c r="J688" s="1"/>
  <c r="H533"/>
  <c r="J533" s="1"/>
  <c r="J294"/>
  <c r="H34"/>
  <c r="H17" i="61"/>
  <c r="C13" i="62"/>
  <c r="C18" s="1"/>
  <c r="F16" i="61" l="1"/>
  <c r="H16" s="1"/>
  <c r="J34" i="2"/>
  <c r="H15"/>
  <c r="J15" s="1"/>
</calcChain>
</file>

<file path=xl/sharedStrings.xml><?xml version="1.0" encoding="utf-8"?>
<sst xmlns="http://schemas.openxmlformats.org/spreadsheetml/2006/main" count="7991" uniqueCount="898">
  <si>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</si>
  <si>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</si>
  <si>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</si>
  <si>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</si>
  <si>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</si>
  <si>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</si>
  <si>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</si>
  <si>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</si>
  <si>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</si>
  <si>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</si>
  <si>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</si>
  <si>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</si>
  <si>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</si>
  <si>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</si>
  <si>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</si>
  <si>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</si>
  <si>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</si>
  <si>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</si>
  <si>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</si>
  <si>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</si>
  <si>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</si>
  <si>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</si>
  <si>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</si>
  <si>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</si>
  <si>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</si>
  <si>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</si>
  <si>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</si>
  <si>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</si>
  <si>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</si>
  <si>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</si>
  <si>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</si>
  <si>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</si>
  <si>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</si>
  <si>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</si>
  <si>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</si>
  <si>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</si>
  <si>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</si>
  <si>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</si>
  <si>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</si>
  <si>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</si>
  <si>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</si>
  <si>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0290000000</t>
  </si>
  <si>
    <t>0700000000</t>
  </si>
  <si>
    <t>0710000000</t>
  </si>
  <si>
    <t>0730000000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</si>
  <si>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</si>
  <si>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</si>
  <si>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</si>
  <si>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</si>
  <si>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</si>
  <si>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</si>
  <si>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</si>
  <si>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</si>
  <si>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</si>
  <si>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</si>
  <si>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</si>
  <si>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</si>
  <si>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</si>
  <si>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</si>
  <si>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</si>
  <si>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</si>
  <si>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</si>
  <si>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</si>
  <si>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</si>
  <si>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</si>
  <si>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</si>
  <si>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</si>
  <si>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Предоставление субсидий на организацию горячего питания учащихся начальных классов муниципальных бюджетных общеобразовательных учреждений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</si>
  <si>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</si>
  <si>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</si>
  <si>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Финансирование расходов на проведение профилактических, противоэпизоотических, противоинфекционных мероприятий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</si>
  <si>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</si>
  <si>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</si>
  <si>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</si>
  <si>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</si>
  <si>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</si>
  <si>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</si>
  <si>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</si>
  <si>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</si>
  <si>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</si>
  <si>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</si>
  <si>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</si>
  <si>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</si>
  <si>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</si>
  <si>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</si>
  <si>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</si>
  <si>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</si>
  <si>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</si>
  <si>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</si>
  <si>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</si>
  <si>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</si>
  <si>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</si>
  <si>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</si>
  <si>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</si>
  <si>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</si>
  <si>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</si>
  <si>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</si>
  <si>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</si>
  <si>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</si>
  <si>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</si>
  <si>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</si>
  <si>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</si>
  <si>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</si>
  <si>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</si>
  <si>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</si>
  <si>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</si>
  <si>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</si>
  <si>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</si>
  <si>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</si>
  <si>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</si>
  <si>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</si>
  <si>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</si>
  <si>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</si>
  <si>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</si>
  <si>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</si>
  <si>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</si>
  <si>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</si>
  <si>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</si>
  <si>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</si>
  <si>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</si>
  <si>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</si>
  <si>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</si>
  <si>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</si>
  <si>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</si>
  <si>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</si>
  <si>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</si>
  <si>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</si>
  <si>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</si>
  <si>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</si>
  <si>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</si>
  <si>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</si>
  <si>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</si>
  <si>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</si>
  <si>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</si>
  <si>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</si>
  <si>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</si>
  <si>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</si>
  <si>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</si>
  <si>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</si>
  <si>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</si>
  <si>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</si>
  <si>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</si>
  <si>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</si>
  <si>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</si>
  <si>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</si>
  <si>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</si>
  <si>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</si>
  <si>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</si>
  <si>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</si>
  <si>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</si>
  <si>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</si>
  <si>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</si>
  <si>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</si>
  <si>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</si>
  <si>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</si>
  <si>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</si>
  <si>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</si>
  <si>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</si>
  <si>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</si>
  <si>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</si>
  <si>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</si>
  <si>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</si>
  <si>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</si>
  <si>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</si>
  <si>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</si>
  <si>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</si>
  <si>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</si>
  <si>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</si>
  <si>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</si>
  <si>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</si>
  <si>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</si>
  <si>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</si>
  <si>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</si>
  <si>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</si>
  <si>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</si>
  <si>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</si>
  <si>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</si>
  <si>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</si>
  <si>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</si>
  <si>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</si>
  <si>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</si>
  <si>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</si>
  <si>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</si>
  <si>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</si>
  <si>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</si>
  <si>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</si>
  <si>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</si>
  <si>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</si>
  <si>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</si>
  <si>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</si>
  <si>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</si>
  <si>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</si>
  <si>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</si>
  <si>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</si>
  <si>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</si>
  <si>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</si>
  <si>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</si>
  <si>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</si>
  <si>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</si>
  <si>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</si>
  <si>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</si>
  <si>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</si>
  <si>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</si>
  <si>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</si>
  <si>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</si>
  <si>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</si>
  <si>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</si>
  <si>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</si>
  <si>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</si>
  <si>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</si>
  <si>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</si>
  <si>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</si>
  <si>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</si>
  <si>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</si>
  <si>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</si>
  <si>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</si>
  <si>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</si>
  <si>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</si>
  <si>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</si>
  <si>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</si>
  <si>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</si>
  <si>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</si>
  <si>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</si>
  <si>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</si>
  <si>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</si>
  <si>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</si>
  <si>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</si>
  <si>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</si>
  <si>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</si>
  <si>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</si>
  <si>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</si>
  <si>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041012001Ж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</si>
  <si>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</si>
  <si>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</si>
  <si>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</si>
  <si>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</si>
  <si>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</si>
  <si>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</si>
  <si>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</si>
  <si>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</si>
  <si>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</si>
  <si>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</si>
  <si>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</si>
  <si>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</si>
  <si>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</si>
  <si>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</si>
  <si>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</si>
  <si>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</si>
  <si>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</si>
  <si>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</si>
  <si>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</si>
  <si>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</si>
  <si>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</si>
  <si>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</si>
  <si>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</si>
  <si>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</si>
  <si>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</si>
  <si>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</si>
  <si>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</si>
  <si>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</si>
  <si>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</si>
  <si>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</si>
  <si>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</si>
  <si>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</si>
  <si>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</si>
  <si>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</si>
  <si>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</si>
  <si>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</si>
  <si>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</si>
  <si>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</si>
  <si>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</si>
  <si>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</si>
  <si>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074012001Б</t>
  </si>
  <si>
    <t>Содержание объектов коммунального хозяйства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</si>
  <si>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</si>
  <si>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</si>
  <si>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</si>
  <si>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</si>
  <si>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</si>
  <si>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</si>
  <si>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</si>
  <si>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</si>
  <si>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</si>
  <si>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</si>
  <si>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</si>
  <si>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</si>
  <si>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</si>
  <si>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</si>
  <si>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Обеспечение пожарной безопасности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</si>
  <si>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</si>
  <si>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</si>
  <si>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</si>
  <si>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</si>
  <si>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 xml:space="preserve"> Обеспечение пожарной безопасности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</si>
  <si>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</si>
  <si>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</si>
  <si>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</si>
  <si>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</si>
  <si>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</si>
  <si>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</si>
  <si>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</si>
  <si>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</si>
  <si>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</si>
  <si>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</si>
  <si>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</si>
  <si>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</si>
  <si>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</si>
  <si>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041012003Ж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</si>
  <si>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</si>
  <si>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</si>
  <si>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</si>
  <si>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</si>
  <si>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</si>
  <si>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081012001Б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</si>
  <si>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</si>
  <si>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</si>
  <si>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</si>
  <si>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</si>
  <si>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Предоставление субсидий сельскохозяйственным товаропроизводителям на оказание поддержки по сохранению поголовья сельскохозяйственных животных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</si>
  <si>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</si>
  <si>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</si>
  <si>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</si>
  <si>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Выполнение работ по разработке проектно-сметной документации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</si>
  <si>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</si>
  <si>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</si>
  <si>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</si>
  <si>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</si>
  <si>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</si>
  <si>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</si>
  <si>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</si>
  <si>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</si>
  <si>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</si>
  <si>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</si>
  <si>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</si>
  <si>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</si>
  <si>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</si>
  <si>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</si>
  <si>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</si>
  <si>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</si>
  <si>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</si>
  <si>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</si>
  <si>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</si>
  <si>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</si>
  <si>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</si>
  <si>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</si>
  <si>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</si>
  <si>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</si>
  <si>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</si>
  <si>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</si>
  <si>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</si>
  <si>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</si>
  <si>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</si>
  <si>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</si>
  <si>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</si>
  <si>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</si>
  <si>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</si>
  <si>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</si>
  <si>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</si>
  <si>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</si>
  <si>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</si>
  <si>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</si>
  <si>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</si>
  <si>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</si>
  <si>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</si>
  <si>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</si>
  <si>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</si>
  <si>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</si>
  <si>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</si>
  <si>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</si>
  <si>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</si>
  <si>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</si>
  <si>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</si>
  <si>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</si>
  <si>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</si>
  <si>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</si>
  <si>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</si>
  <si>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</si>
  <si>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</si>
  <si>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</si>
  <si>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</si>
  <si>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</si>
  <si>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</si>
  <si>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</si>
  <si>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</si>
  <si>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Задача "Организация и проведение патриотических и творческих мероприятий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</si>
  <si>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</si>
  <si>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</si>
  <si>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</si>
  <si>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</si>
  <si>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</si>
  <si>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</si>
  <si>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</si>
  <si>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</si>
  <si>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</si>
  <si>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</si>
  <si>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</si>
  <si>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</si>
  <si>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</si>
  <si>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</si>
  <si>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>Предоставление собственникам жилых помещений в аварийном жилищном фонде возмещения за жилое помещение</t>
  </si>
  <si>
    <t xml:space="preserve"> Наименование</t>
  </si>
  <si>
    <t xml:space="preserve"> Бюджетные инвестиции</t>
  </si>
  <si>
    <t>0530100000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</si>
  <si>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</t>
  </si>
  <si>
    <t>0530200000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</si>
  <si>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</si>
  <si>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</si>
  <si>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</si>
  <si>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</si>
  <si>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</si>
  <si>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</si>
  <si>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</si>
  <si>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</si>
  <si>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</si>
  <si>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</si>
  <si>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</si>
  <si>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</si>
  <si>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</si>
  <si>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</si>
  <si>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</si>
  <si>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</si>
  <si>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</si>
  <si>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</si>
  <si>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</si>
  <si>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</si>
  <si>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</si>
  <si>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</si>
  <si>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</si>
  <si>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</si>
  <si>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</si>
  <si>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</si>
  <si>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</si>
  <si>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</si>
  <si>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</si>
  <si>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</si>
  <si>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</si>
  <si>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</si>
  <si>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</si>
  <si>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</si>
  <si>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</si>
  <si>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</si>
  <si>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073012002Б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</si>
  <si>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</si>
  <si>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</si>
  <si>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</si>
  <si>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</si>
  <si>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</si>
  <si>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</si>
  <si>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</si>
  <si>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</si>
  <si>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</si>
  <si>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</si>
  <si>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</si>
  <si>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</si>
  <si>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</si>
  <si>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</si>
  <si>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</si>
  <si>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</si>
  <si>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</si>
  <si>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</si>
  <si>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</si>
  <si>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</si>
  <si>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</si>
  <si>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</si>
  <si>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</si>
  <si>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</si>
  <si>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</si>
  <si>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</si>
  <si>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Погашение кредиторской задолженности прошлых лет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</si>
  <si>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</si>
  <si>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</si>
  <si>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</si>
  <si>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</si>
  <si>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</si>
  <si>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</si>
  <si>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 xml:space="preserve">Финансовое обеспечение мероприятий по организации питания обучающихся начальных классов из средств областного бюджета 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</si>
  <si>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</si>
  <si>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</si>
  <si>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</si>
  <si>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</si>
  <si>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</si>
  <si>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</si>
  <si>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</si>
  <si>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</si>
  <si>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</si>
  <si>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</si>
  <si>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</si>
  <si>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Задача "Проведение работы по профилактике распространения наркомании, алкоголизма и связанных с ними правонарушений</t>
  </si>
  <si>
    <t>994002400Б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</si>
  <si>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</si>
  <si>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</si>
  <si>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</si>
  <si>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</si>
  <si>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</si>
  <si>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</si>
  <si>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</si>
  <si>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</si>
  <si>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</si>
  <si>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</si>
  <si>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>Реализация мероприятий по благоустройству общественных территорий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</si>
  <si>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</si>
  <si>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</si>
  <si>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</si>
  <si>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Финансовое обеспечение мероприятий государственной программы "Доступная среда" в дошкольных образовательных и общеобразовательных учреждениях</t>
  </si>
  <si>
    <t>код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</si>
  <si>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</si>
  <si>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</si>
  <si>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</si>
  <si>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</si>
  <si>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</si>
  <si>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</si>
  <si>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</si>
  <si>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</si>
  <si>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</si>
  <si>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</si>
  <si>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</si>
  <si>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</si>
  <si>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</si>
  <si>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</si>
  <si>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</si>
  <si>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</si>
  <si>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</si>
  <si>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</si>
  <si>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092012002Б</t>
  </si>
  <si>
    <t>Приобретение свидетельств, карт маршрутов на транспортные средства по регулярным и нерегулируемым  маршрутам перевозок на территории Удомельского городского округа</t>
  </si>
  <si>
    <t>Муниципальная программа "Управление жилищным фондом Удомельского городского округа на 2019-2023 годы"</t>
  </si>
  <si>
    <t>052022001Б</t>
  </si>
  <si>
    <t>Разработка материалов по описанию границ г.Удомля на основании Генерального плана Удомельского городского округа</t>
  </si>
  <si>
    <t>081012002Б</t>
  </si>
  <si>
    <t>Разработка материалов по описанию границ функциональных зон г.Удомля на основании ПЗЗ Удомельского городского округа</t>
  </si>
  <si>
    <t>081012003Б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</si>
  <si>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</si>
  <si>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</si>
  <si>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</si>
  <si>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</si>
  <si>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</si>
  <si>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</si>
  <si>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</si>
  <si>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</si>
  <si>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</si>
  <si>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</si>
  <si>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</si>
  <si>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</si>
  <si>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</si>
  <si>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</si>
  <si>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</si>
  <si>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</si>
  <si>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</si>
  <si>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</si>
  <si>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</si>
  <si>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</si>
  <si>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</si>
  <si>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</si>
  <si>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</si>
  <si>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</si>
  <si>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</si>
  <si>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</si>
  <si>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</si>
  <si>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</si>
  <si>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01102L0270</t>
  </si>
  <si>
    <t>011022011Б</t>
  </si>
  <si>
    <t>0110210250</t>
  </si>
  <si>
    <t>011032001Б</t>
  </si>
  <si>
    <t>01104S0240</t>
  </si>
  <si>
    <t>0110410240</t>
  </si>
  <si>
    <t>01104S0230</t>
  </si>
  <si>
    <t>011042003Б</t>
  </si>
  <si>
    <t>011042004В</t>
  </si>
  <si>
    <t>0110410230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</si>
  <si>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</si>
  <si>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</si>
  <si>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</si>
  <si>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</si>
  <si>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</si>
  <si>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</si>
  <si>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</si>
  <si>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</si>
  <si>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</si>
  <si>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</si>
  <si>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075012002Б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</si>
  <si>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</si>
  <si>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</si>
  <si>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</si>
  <si>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075022002Б</t>
  </si>
  <si>
    <t>Содержание сетей уличного освещения города Удомля</t>
  </si>
  <si>
    <t>Содержание сетей уличного освещения населенных пунктов, расположенных на сельских территориях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</si>
  <si>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</si>
  <si>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</si>
  <si>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</si>
  <si>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</si>
  <si>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</si>
  <si>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091012004Б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</si>
  <si>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</si>
  <si>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</si>
  <si>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</si>
  <si>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</si>
  <si>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</si>
  <si>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</si>
  <si>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</si>
  <si>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</si>
  <si>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</si>
  <si>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</si>
  <si>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</si>
  <si>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</si>
  <si>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</si>
  <si>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074012002Б</t>
  </si>
  <si>
    <t>Содержание объектов теплоэнергетического комплекса в сельских населенных пунктах Удомельского городского округа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</si>
  <si>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</si>
  <si>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</si>
  <si>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</si>
  <si>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</si>
  <si>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</si>
  <si>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</si>
  <si>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</si>
  <si>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</si>
  <si>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</si>
  <si>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</si>
  <si>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</si>
  <si>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053022003Б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</si>
  <si>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</si>
  <si>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</si>
  <si>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</si>
  <si>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</si>
  <si>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</si>
  <si>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</si>
  <si>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</si>
  <si>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</si>
  <si>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</si>
  <si>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</si>
  <si>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>Разработка проектно-сметной документации</t>
  </si>
  <si>
    <t xml:space="preserve">Обеспечение безопасности дорожного движения на автомобильных дорогах общего пользования местного значения </t>
  </si>
  <si>
    <t>Противоаварийный ремонт несущих строительных конструкций чердачного пространства и покрытия многоквартирного жилого дома по ул.Энтузиастов д.12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</si>
  <si>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</si>
  <si>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</si>
  <si>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</si>
  <si>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141F254240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</si>
  <si>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</t>
  </si>
  <si>
    <t>161R3S1090</t>
  </si>
  <si>
    <t>161R311090</t>
  </si>
  <si>
    <t>121022003Б</t>
  </si>
  <si>
    <t>Реализация проекта "Праздник нашего двора"</t>
  </si>
  <si>
    <t>052012003Б</t>
  </si>
  <si>
    <t>011022017В</t>
  </si>
  <si>
    <t>350</t>
  </si>
  <si>
    <t>Премии и гранты</t>
  </si>
  <si>
    <t>044022001Б</t>
  </si>
  <si>
    <t>081012006Б</t>
  </si>
  <si>
    <t>Разработка программы комплексного развития социальной инфраструктуры Удомельского городского округа</t>
  </si>
  <si>
    <t>071022003Б</t>
  </si>
  <si>
    <t>Экспертиза промышленной безопасности технического устройства газового оборудования</t>
  </si>
  <si>
    <t>Разработка проекта организации дорожного движения и комплексные схемы организации дорожного движения</t>
  </si>
  <si>
    <t>161012006Б</t>
  </si>
  <si>
    <t>Обследование и паспортизация мостовых сооружений</t>
  </si>
  <si>
    <t>161012007Б</t>
  </si>
  <si>
    <t>161012008Б</t>
  </si>
  <si>
    <t xml:space="preserve">Приобретение информационно-пропагандической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</si>
  <si>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</si>
  <si>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</si>
  <si>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Предоставление субсидии  из областного бюджета на поддержку  некоммерческих организациий</t>
  </si>
  <si>
    <t>011042007В</t>
  </si>
  <si>
    <t>Финансовое обеспечение участия в спортивных мероприятиях регионального,всероссийского, международного уровней</t>
  </si>
  <si>
    <t>091012011Б</t>
  </si>
  <si>
    <t>Выполнение работ по ремонту мостовых сооружений на территории Удомельского городского округа</t>
  </si>
  <si>
    <t>Муниципальные программы</t>
  </si>
  <si>
    <t>Приобретение и установка детских игровых комплексов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</si>
  <si>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</si>
  <si>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</si>
  <si>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07303S0430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</si>
  <si>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</si>
  <si>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0730300000</t>
  </si>
  <si>
    <t>Задача "Проведение капитального ремонта объектов водоснабжения и водоотведения"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</si>
  <si>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</si>
  <si>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</si>
  <si>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12503S0430</t>
  </si>
  <si>
    <t>1250300000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</si>
  <si>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</si>
  <si>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</si>
  <si>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</si>
  <si>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12501S0430</t>
  </si>
  <si>
    <t>1250200000</t>
  </si>
  <si>
    <t>12502S0430</t>
  </si>
  <si>
    <t>Задача "Капитальный ремонт автомобильных дорог  на территории Удомельского городского округа в рамках реализации программы поддержки местных инициатив"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</si>
  <si>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</si>
  <si>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</si>
  <si>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</si>
  <si>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161012002Б</t>
  </si>
  <si>
    <t>"О внесении изменений в решение  Удомельской</t>
  </si>
  <si>
    <t>городской Думы от 23.12.2019   № 436</t>
  </si>
  <si>
    <t xml:space="preserve"> Приложение 3</t>
  </si>
  <si>
    <t xml:space="preserve"> Приложение 4</t>
  </si>
  <si>
    <t xml:space="preserve"> Приложение 5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</si>
  <si>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</si>
  <si>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</si>
  <si>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</si>
  <si>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Приобретение специального разрешения на движение по автомобильным дорогам тяжеловесного и (или)крупногабаритного транспортного средства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</si>
  <si>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</si>
  <si>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</si>
  <si>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Оснащение автобусов, осуществляющих подвоз обучающихся, проживающих в сельской местности, к месту обучения и обратно, необходимыми техническими средствами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</si>
  <si>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</si>
  <si>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</si>
  <si>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Противоаварийный ремонт несущих строительных конструкций чердачного пространства и покрытия многоквартирного жилого дома по ул. Энтузиастов д.12</t>
  </si>
  <si>
    <t>Благоустройство парковой зоны ул. Венецианова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</si>
  <si>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</si>
  <si>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</si>
  <si>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</si>
  <si>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</si>
  <si>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Ремонт (капитальный ремонт) тротуаров на территории г.Удомля</t>
  </si>
  <si>
    <t>091012005Б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</si>
  <si>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</si>
  <si>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</si>
  <si>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</si>
  <si>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</si>
  <si>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</si>
  <si>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</si>
  <si>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</si>
  <si>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</si>
  <si>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</si>
  <si>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091012010Б</t>
  </si>
  <si>
    <t>Ремонт автомобильных дорог на территории г.Удомля</t>
  </si>
  <si>
    <t>092012005Б</t>
  </si>
  <si>
    <t>Разработка программы комплексного развития транспортной инфраструктуры Удомельского городского округа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</si>
  <si>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</si>
  <si>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</si>
  <si>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</si>
  <si>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</si>
  <si>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</si>
  <si>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</si>
  <si>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</si>
  <si>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</si>
  <si>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994002400В</t>
  </si>
  <si>
    <t>к решению Удомельской городской Думы</t>
  </si>
  <si>
    <t>902 01 05 02 01 04 0000 510</t>
  </si>
  <si>
    <t>902 01 05 02 01 04 0000 610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</si>
  <si>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</si>
  <si>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</si>
  <si>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</si>
  <si>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 xml:space="preserve">Финансовое обеспечение мероприятий празднования 75-й годовщины Победы в Великой Отечественной войне </t>
  </si>
  <si>
    <t>021012010В</t>
  </si>
  <si>
    <t>021022005В</t>
  </si>
  <si>
    <t xml:space="preserve">Финансовое обеспечение мероприятий по ремонту зданий </t>
  </si>
  <si>
    <t>0730210700</t>
  </si>
  <si>
    <t>Проведение капитального ремонта объектов теплоэнергетических комплексов за счет средств областного бюджета</t>
  </si>
  <si>
    <t>04201S0490</t>
  </si>
  <si>
    <t>Предоставление субсидий на развитие материально-технической базы редакций районных и городских газет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</si>
  <si>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</si>
  <si>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</si>
  <si>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1250110930</t>
  </si>
  <si>
    <t>Расходы на реализацию программ по поддержке местных инициатив за счет мероприятий по обращениям, поступающим к депутатам Законодательного Собрания Тверской области</t>
  </si>
  <si>
    <t>1250310930</t>
  </si>
  <si>
    <t>0110210920</t>
  </si>
  <si>
    <t>Средства депутатов Законодательного Собрания Тверской области дошкольным и общеобразовательным учреждениям</t>
  </si>
  <si>
    <t>0120210920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</si>
  <si>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</t>
  </si>
  <si>
    <t>Средства депутатов Законодательного Собрания Тверской области учреждениям культуры</t>
  </si>
  <si>
    <t>0210310920</t>
  </si>
  <si>
    <t>Средства депутатов Законодательного Собрания Тверской области на выпуск книг</t>
  </si>
  <si>
    <t>011022022В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</si>
  <si>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</si>
  <si>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Расходы на реализацию программ по поддержке местных инициатив за счет  субсидий из областного бюджета</t>
  </si>
  <si>
    <t>1250110430</t>
  </si>
  <si>
    <t>1310110290</t>
  </si>
  <si>
    <t>Приобретение жилых помещений для малоимущих многодетных семей за счет средств областного бюджета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</si>
  <si>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</si>
  <si>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</si>
  <si>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</si>
  <si>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</si>
  <si>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1250210430</t>
  </si>
  <si>
    <t>1250310430</t>
  </si>
  <si>
    <t>1260000000</t>
  </si>
  <si>
    <t>126012001Б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</si>
  <si>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</si>
  <si>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Реализация мероприятий поддержки общественных и гражданских инициатив "Капитальный ремонт дорог на дворовых территориях МКД за счет средств внебюджетных источников"</t>
  </si>
  <si>
    <t>126012002Б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</si>
  <si>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</si>
  <si>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1260100000</t>
  </si>
  <si>
    <t>126022001Б</t>
  </si>
  <si>
    <t>126022002Б</t>
  </si>
  <si>
    <t>Задача "Капитальный ремонт дорог на дворовых территориях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</si>
  <si>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1260200000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</si>
  <si>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</si>
  <si>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 xml:space="preserve">Взнос в уставный капитал </t>
  </si>
  <si>
    <t>Реализация мероприятий поддержки общественных и гражданских инициатив "Ремонт дворовых территорий МКД за счет средств внебюджетных источников"</t>
  </si>
  <si>
    <t>Реализация мероприятий поддержки общественных и гражданских инициатив "Ремонт дворовых территорий МКД"</t>
  </si>
  <si>
    <t>994002600Б</t>
  </si>
  <si>
    <t>041012004Ж</t>
  </si>
  <si>
    <t>Предоставление субсидии сельскохозяйственным товаропроизводителям Удомельского городского округа на поддержку животноводства молочного направления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</si>
  <si>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</si>
  <si>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</si>
  <si>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Предоставление субсидий на развитие материально-технической базы редакций районных и городских газет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</si>
  <si>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</si>
  <si>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</si>
  <si>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</si>
  <si>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</si>
  <si>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</si>
  <si>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</si>
  <si>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021022006В</t>
  </si>
  <si>
    <t>Обеспечение комплексной безопасности зданий и помещений учреждений культуры, находящихся в муниципальной собственности</t>
  </si>
  <si>
    <t>994002200В</t>
  </si>
  <si>
    <t>Исполнительные листы бюджетных учреждений</t>
  </si>
  <si>
    <t>0120200000</t>
  </si>
  <si>
    <t>Задача "Система информированияграждан о деятельностив сфере муниципального образования"</t>
  </si>
  <si>
    <t>Исполнительные листы казенных учреждений</t>
  </si>
  <si>
    <t>994002200Б</t>
  </si>
  <si>
    <t>161012010Б</t>
  </si>
  <si>
    <t>Выполнение работ по обустройству пешеходных переходов</t>
  </si>
  <si>
    <t>031022013Б</t>
  </si>
  <si>
    <t>Увеличение уставного фонда МУП в целях финансовой устойчивости и недопущения неплатежеспособности</t>
  </si>
  <si>
    <t>993005930F</t>
  </si>
  <si>
    <t>Субвенция бюджетам муниципальных образований на осуществление переданных полномочий РФ по государственной регистрации актов гражданского состояния за счет средств резервного фонда Правительства РФ</t>
  </si>
  <si>
    <t>011052012В</t>
  </si>
  <si>
    <t>Укрепление материально-технической базы учреждений дополнительного образования</t>
  </si>
  <si>
    <t xml:space="preserve">Думы от   № </t>
  </si>
  <si>
    <t>Наименование публичного нормативного обязательства</t>
  </si>
  <si>
    <t>Код строки</t>
  </si>
  <si>
    <t>Реквизиты нормативного правового акта</t>
  </si>
  <si>
    <t>Наименование</t>
  </si>
  <si>
    <t>Код расходов                       по БК</t>
  </si>
  <si>
    <t>Вид</t>
  </si>
  <si>
    <t>Дата</t>
  </si>
  <si>
    <t>Номер</t>
  </si>
  <si>
    <t>РП</t>
  </si>
  <si>
    <t>ЦСР</t>
  </si>
  <si>
    <t>1.Публичные нормативные обязательства, исполняемые за счет средств областного бюджета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</si>
  <si>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 Удомельского района, проживающим и работающим в сельских населенных пунктах</t>
  </si>
  <si>
    <t>Закон Тверской области</t>
  </si>
  <si>
    <t>82-ЗО</t>
  </si>
  <si>
    <t>"О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типа)"</t>
  </si>
  <si>
    <t>10 03</t>
  </si>
  <si>
    <t>2.Публичные нормативные обязательства, исполняемые за счет средств  бюджета Удомельского городского округа</t>
  </si>
  <si>
    <t>Доплаты к пенсиям государственных и муниципальных служащих</t>
  </si>
  <si>
    <t>Решение  Удомельской городской Думы</t>
  </si>
  <si>
    <t>"Об утверждении Положения о муниципальной службе муниципального образования Удомельский городской округ"</t>
  </si>
  <si>
    <t>10 01</t>
  </si>
  <si>
    <t xml:space="preserve">Перечень
мероприятий по обращениям, поступающим к депутатам
Удомельской городской Думы, на 2020 год </t>
  </si>
  <si>
    <t>N п/п</t>
  </si>
  <si>
    <t xml:space="preserve"> Наименование мероприятий</t>
  </si>
  <si>
    <t>Главный распорядитель, распорядитель бюджетных средств</t>
  </si>
  <si>
    <t>1</t>
  </si>
  <si>
    <t>Приобретение генератора</t>
  </si>
  <si>
    <t>Управление образования  Администрации УГО, Брусовская СОШ</t>
  </si>
  <si>
    <t>2</t>
  </si>
  <si>
    <t>Установка звуковых оповещателей для системы оповещения</t>
  </si>
  <si>
    <t>Управление образования  Администрации УГО,УГ 3</t>
  </si>
  <si>
    <t>3</t>
  </si>
  <si>
    <t>Покупка швейной машинки и оверлока для занятий и пошива костюмов</t>
  </si>
  <si>
    <t>Управление образования  Администрации УГО, МБУ ДО ДДТ</t>
  </si>
  <si>
    <t>4</t>
  </si>
  <si>
    <t>Организация видеонаблюдения при проведении ГИА</t>
  </si>
  <si>
    <t>Управление образования  Администрации УГО, УСОШ №4</t>
  </si>
  <si>
    <t>5</t>
  </si>
  <si>
    <t>Ремонт крыльца аварийного выхода</t>
  </si>
  <si>
    <t>Управление образования  Администрации УГО, МБОУ  Рядская СОШ</t>
  </si>
  <si>
    <t>6</t>
  </si>
  <si>
    <t>Укрепление материальной базы для осуществления образовательной программы профессиональной подготовки по профессии тракторист</t>
  </si>
  <si>
    <t>Управление образования  Администрации УГО,Сиговская СОШ</t>
  </si>
  <si>
    <t xml:space="preserve"> Администрация УГО</t>
  </si>
  <si>
    <t>7</t>
  </si>
  <si>
    <t>Покупка музыкальной аппаратуры</t>
  </si>
  <si>
    <t xml:space="preserve"> Управление культуры, спорта и молодежной политики Администрации УГО, МЦ "Звездный"</t>
  </si>
  <si>
    <t>Покупка экрана</t>
  </si>
  <si>
    <t>Управление культуры, спорта и молодежной политики Администрации УГО, МКУК "Удомельская ЦБС"</t>
  </si>
  <si>
    <t>8</t>
  </si>
  <si>
    <t>Приобретение спортинвентаря</t>
  </si>
  <si>
    <t>Организация выездных соревнований футбольной секции</t>
  </si>
  <si>
    <t>Замена окон</t>
  </si>
  <si>
    <t xml:space="preserve"> Управление культуры, спорта и молодежной политики Администрации УГО, МКУК "Удомельская ЦБС", Брусовский сельский филиал</t>
  </si>
  <si>
    <t>9</t>
  </si>
  <si>
    <t>Издание книги</t>
  </si>
  <si>
    <t xml:space="preserve"> Управление культуры, спорта и молодежной политики Администрации УГО, МКУК "Удомельская ЦБС"</t>
  </si>
  <si>
    <t>Пошив костюмов, приобретение декораций для военного спектакля к Дню Победы для образцовой театральной студии "Сюжет"</t>
  </si>
  <si>
    <t xml:space="preserve"> Управление культуры, спорта и молодежной политики Администрации УГО, МБУК "Удомельская клубная система"</t>
  </si>
  <si>
    <t>Приобретение костюмов к 100летию Дома культуры для хореографического коллектива "Акварель"</t>
  </si>
  <si>
    <t>Финансирование выездов спортивных команд на соревнования</t>
  </si>
  <si>
    <t>Разработка ПСД кровли МКД д.Ряд д.7</t>
  </si>
  <si>
    <t>Приобретение электрического оборудования для обогрева помещения ФАПа д.Касково</t>
  </si>
  <si>
    <t>Проведение ремонтных работ</t>
  </si>
  <si>
    <t xml:space="preserve"> Управление культуры, спорта и молодежной политики Администрации УГО,МБОУ ДО Детская школа исскуств</t>
  </si>
  <si>
    <t>Ремонт памятнику В.И.Ленину на площади Ленина</t>
  </si>
  <si>
    <t>Итого:</t>
  </si>
  <si>
    <t xml:space="preserve"> исполнено, %</t>
  </si>
  <si>
    <t>Утверждено решением о бюджете</t>
  </si>
  <si>
    <t xml:space="preserve">Распределение бюджетных ассигнований  бюджета  Удомельского городского округа по разделам и подразделам классификации расходов бюджета за 2020 год </t>
  </si>
  <si>
    <t>"Об исполнении бюджета Удомельского</t>
  </si>
  <si>
    <t>городского округа за 2020 год"</t>
  </si>
  <si>
    <t xml:space="preserve">Источники финансирования дефицита бюджета Удомельского городского округа  за 2020 год  </t>
  </si>
  <si>
    <t>Кассовое исполение за 2020 год</t>
  </si>
  <si>
    <t>Кассовое исполнение за 2020 год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</si>
  <si>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 расходов бюджета за 2020 год 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</si>
  <si>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         за  2020 год </t>
  </si>
  <si>
    <t xml:space="preserve"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за 2020 год </t>
  </si>
  <si>
    <t xml:space="preserve">     Общий объем бюджетных ассигнований, направляемых на исполнение публичных нормативных обязательств  Удомельского городского округа за 2020 год </t>
  </si>
  <si>
    <t xml:space="preserve"> Приложение 7</t>
  </si>
  <si>
    <t>Осуществление выплат стимулирующего характера за особые условия труда и дополнительную нагрузку работникам органов ЗАГС счет средств резервного фонда Правительства Российской Федерации</t>
  </si>
  <si>
    <t>от  10.06.2021   № 548</t>
  </si>
  <si>
    <t>от 10.06.2021     № 548</t>
  </si>
  <si>
    <t>от 10.06.2021    № 548</t>
  </si>
  <si>
    <t>от  10.06.2021    № 548</t>
  </si>
  <si>
    <t xml:space="preserve">от 10.06.2021   №548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</si>
</sst>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4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7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18" fillId="0" borderId="1" xfId="0" applyNumberFormat="1" applyFont="1" applyBorder="1"/>
    <xf numFmtId="165" fontId="1" fillId="0" borderId="1" xfId="0" applyNumberFormat="1" applyFont="1" applyBorder="1"/>
    <xf numFmtId="165" fontId="16" fillId="0" borderId="1" xfId="0" applyNumberFormat="1" applyFont="1" applyBorder="1"/>
    <xf numFmtId="165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5" fontId="22" fillId="0" borderId="1" xfId="0" applyNumberFormat="1" applyFont="1" applyBorder="1"/>
    <xf numFmtId="165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Border="1"/>
    <xf numFmtId="165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5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166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6" fontId="11" fillId="0" borderId="1" xfId="1" applyNumberFormat="1" applyFont="1" applyFill="1" applyBorder="1" applyAlignment="1">
      <alignment horizontal="center"/>
    </xf>
    <xf numFmtId="166" fontId="25" fillId="0" borderId="1" xfId="3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6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8" fillId="0" borderId="1" xfId="0" applyNumberFormat="1" applyFont="1" applyBorder="1"/>
    <xf numFmtId="166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5" fontId="4" fillId="0" borderId="1" xfId="0" applyNumberFormat="1" applyFont="1" applyBorder="1"/>
    <xf numFmtId="165" fontId="14" fillId="0" borderId="1" xfId="0" applyNumberFormat="1" applyFont="1" applyBorder="1"/>
    <xf numFmtId="165" fontId="11" fillId="0" borderId="1" xfId="0" applyNumberFormat="1" applyFont="1" applyBorder="1"/>
    <xf numFmtId="165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5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6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6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5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167" fontId="1" fillId="0" borderId="1" xfId="0" applyNumberFormat="1" applyFont="1" applyBorder="1"/>
    <xf numFmtId="0" fontId="1" fillId="0" borderId="0" xfId="0" applyFont="1"/>
    <xf numFmtId="0" fontId="15" fillId="0" borderId="1" xfId="0" applyFont="1" applyBorder="1" applyAlignment="1">
      <alignment wrapText="1"/>
    </xf>
    <xf numFmtId="0" fontId="40" fillId="0" borderId="0" xfId="0" applyFont="1" applyAlignment="1">
      <alignment wrapText="1"/>
    </xf>
    <xf numFmtId="167" fontId="3" fillId="0" borderId="1" xfId="0" applyNumberFormat="1" applyFont="1" applyBorder="1"/>
    <xf numFmtId="0" fontId="12" fillId="0" borderId="1" xfId="0" applyFont="1" applyBorder="1" applyAlignment="1">
      <alignment wrapText="1"/>
    </xf>
    <xf numFmtId="167" fontId="14" fillId="0" borderId="1" xfId="0" applyNumberFormat="1" applyFont="1" applyBorder="1"/>
    <xf numFmtId="0" fontId="13" fillId="0" borderId="2" xfId="0" applyFont="1" applyBorder="1"/>
    <xf numFmtId="0" fontId="4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1" fillId="0" borderId="0" xfId="0" applyFont="1" applyAlignment="1">
      <alignment vertical="justify" wrapText="1"/>
    </xf>
    <xf numFmtId="0" fontId="0" fillId="0" borderId="1" xfId="0" applyBorder="1"/>
    <xf numFmtId="165" fontId="42" fillId="0" borderId="1" xfId="0" applyNumberFormat="1" applyFont="1" applyBorder="1"/>
    <xf numFmtId="0" fontId="0" fillId="0" borderId="0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41" fillId="0" borderId="0" xfId="0" applyFont="1" applyAlignment="1">
      <alignment wrapText="1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165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165" fontId="0" fillId="0" borderId="5" xfId="0" applyNumberFormat="1" applyFill="1" applyBorder="1"/>
    <xf numFmtId="165" fontId="0" fillId="0" borderId="0" xfId="0" applyNumberFormat="1" applyFill="1" applyBorder="1"/>
    <xf numFmtId="0" fontId="0" fillId="0" borderId="0" xfId="0" applyFill="1"/>
    <xf numFmtId="165" fontId="0" fillId="0" borderId="0" xfId="0" applyNumberFormat="1" applyFont="1" applyFill="1" applyBorder="1"/>
    <xf numFmtId="0" fontId="16" fillId="0" borderId="0" xfId="0" applyFont="1" applyFill="1"/>
    <xf numFmtId="167" fontId="1" fillId="2" borderId="1" xfId="0" applyNumberFormat="1" applyFont="1" applyFill="1" applyBorder="1"/>
    <xf numFmtId="167" fontId="4" fillId="0" borderId="1" xfId="0" applyNumberFormat="1" applyFont="1" applyBorder="1"/>
    <xf numFmtId="167" fontId="0" fillId="0" borderId="1" xfId="0" applyNumberFormat="1" applyFont="1" applyBorder="1"/>
    <xf numFmtId="167" fontId="0" fillId="0" borderId="1" xfId="0" applyNumberFormat="1" applyBorder="1"/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0" fillId="0" borderId="6" xfId="0" applyBorder="1" applyAlignment="1">
      <alignment horizontal="center" wrapText="1"/>
    </xf>
    <xf numFmtId="14" fontId="0" fillId="0" borderId="1" xfId="0" applyNumberFormat="1" applyFont="1" applyBorder="1" applyAlignment="1">
      <alignment horizontal="right" wrapText="1"/>
    </xf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wrapText="1"/>
    </xf>
    <xf numFmtId="165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 indent="26"/>
    </xf>
    <xf numFmtId="0" fontId="0" fillId="0" borderId="0" xfId="0" applyAlignment="1">
      <alignment horizontal="left" indent="30"/>
    </xf>
    <xf numFmtId="0" fontId="0" fillId="0" borderId="0" xfId="0" applyAlignment="1">
      <alignment horizontal="left" indent="26"/>
    </xf>
    <xf numFmtId="165" fontId="11" fillId="0" borderId="1" xfId="0" applyNumberFormat="1" applyFont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/>
    <xf numFmtId="0" fontId="25" fillId="0" borderId="11" xfId="0" applyFont="1" applyFill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165" fontId="24" fillId="0" borderId="1" xfId="0" applyNumberFormat="1" applyFont="1" applyBorder="1"/>
    <xf numFmtId="165" fontId="43" fillId="0" borderId="1" xfId="0" applyNumberFormat="1" applyFont="1" applyBorder="1"/>
    <xf numFmtId="0" fontId="0" fillId="0" borderId="0" xfId="0" applyAlignment="1">
      <alignment horizontal="left" indent="22"/>
    </xf>
    <xf numFmtId="0" fontId="2" fillId="0" borderId="0" xfId="0" applyFont="1" applyAlignment="1">
      <alignment horizontal="left" indent="20"/>
    </xf>
    <xf numFmtId="0" fontId="2" fillId="0" borderId="0" xfId="0" applyFont="1" applyAlignment="1">
      <alignment horizontal="left" indent="28"/>
    </xf>
    <xf numFmtId="0" fontId="0" fillId="0" borderId="0" xfId="0" applyAlignment="1">
      <alignment horizontal="left" indent="28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wrapText="1"/>
    </xf>
    <xf numFmtId="165" fontId="44" fillId="0" borderId="1" xfId="0" applyNumberFormat="1" applyFont="1" applyBorder="1"/>
    <xf numFmtId="165" fontId="45" fillId="0" borderId="1" xfId="0" applyNumberFormat="1" applyFont="1" applyBorder="1"/>
    <xf numFmtId="0" fontId="25" fillId="0" borderId="1" xfId="0" applyFont="1" applyFill="1" applyBorder="1" applyAlignment="1">
      <alignment horizontal="left" wrapText="1"/>
    </xf>
    <xf numFmtId="0" fontId="4" fillId="0" borderId="1" xfId="0" applyNumberFormat="1" applyFont="1" applyBorder="1"/>
    <xf numFmtId="0" fontId="25" fillId="0" borderId="1" xfId="0" applyFont="1" applyFill="1" applyBorder="1" applyAlignment="1">
      <alignment horizontal="left"/>
    </xf>
    <xf numFmtId="0" fontId="0" fillId="0" borderId="0" xfId="0" applyBorder="1"/>
    <xf numFmtId="165" fontId="0" fillId="0" borderId="0" xfId="0" applyNumberFormat="1" applyBorder="1"/>
    <xf numFmtId="0" fontId="0" fillId="0" borderId="0" xfId="0" applyBorder="1" applyAlignment="1">
      <alignment wrapText="1"/>
    </xf>
    <xf numFmtId="0" fontId="2" fillId="0" borderId="0" xfId="0" applyFont="1" applyAlignment="1">
      <alignment horizontal="left" indent="14"/>
    </xf>
    <xf numFmtId="0" fontId="25" fillId="3" borderId="11" xfId="0" applyFont="1" applyFill="1" applyBorder="1" applyAlignment="1">
      <alignment horizontal="left" vertical="center" wrapText="1"/>
    </xf>
    <xf numFmtId="165" fontId="11" fillId="3" borderId="1" xfId="0" applyNumberFormat="1" applyFont="1" applyFill="1" applyBorder="1" applyAlignment="1">
      <alignment wrapText="1"/>
    </xf>
    <xf numFmtId="165" fontId="11" fillId="3" borderId="1" xfId="0" applyNumberFormat="1" applyFont="1" applyFill="1" applyBorder="1"/>
    <xf numFmtId="49" fontId="16" fillId="0" borderId="2" xfId="0" applyNumberFormat="1" applyFont="1" applyBorder="1" applyAlignment="1">
      <alignment horizontal="center"/>
    </xf>
    <xf numFmtId="165" fontId="11" fillId="0" borderId="2" xfId="0" applyNumberFormat="1" applyFont="1" applyBorder="1"/>
    <xf numFmtId="165" fontId="46" fillId="0" borderId="1" xfId="0" applyNumberFormat="1" applyFont="1" applyBorder="1"/>
    <xf numFmtId="165" fontId="0" fillId="2" borderId="1" xfId="0" applyNumberFormat="1" applyFill="1" applyBorder="1"/>
    <xf numFmtId="165" fontId="47" fillId="0" borderId="1" xfId="0" applyNumberFormat="1" applyFont="1" applyBorder="1"/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11" fillId="0" borderId="2" xfId="0" applyNumberFormat="1" applyFont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4" xfId="0" applyNumberFormat="1" applyFont="1" applyFill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wrapText="1"/>
    </xf>
    <xf numFmtId="165" fontId="11" fillId="0" borderId="2" xfId="0" applyNumberFormat="1" applyFont="1" applyBorder="1" applyAlignment="1">
      <alignment wrapText="1"/>
    </xf>
    <xf numFmtId="165" fontId="11" fillId="0" borderId="4" xfId="0" applyNumberFormat="1" applyFont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workbookViewId="0">
      <selection activeCell="B3" sqref="B3"/>
    </sheetView>
  </sheetViews>
  <sheetFormatPr defaultColWidth="9.140625" defaultRowHeight="12.75"/>
  <cols>
    <col min="1" max="1" width="24" style="95" customWidth="1"/>
    <col min="2" max="2" width="51.140625" style="95" customWidth="1"/>
    <col min="3" max="3" width="12.28515625" style="95" customWidth="1"/>
    <col min="4" max="4" width="10" style="95" hidden="1" customWidth="1"/>
    <col min="5" max="5" width="1.85546875" style="95" hidden="1" customWidth="1"/>
    <col min="6" max="6" width="11.7109375" style="95" customWidth="1"/>
    <col min="7" max="16384" width="9.140625" style="95"/>
  </cols>
  <sheetData>
    <row r="1" spans="1:6">
      <c r="B1" s="208" t="s">
        <v>187</v>
      </c>
    </row>
    <row r="2" spans="1:6">
      <c r="B2" s="208" t="s">
        <v>730</v>
      </c>
    </row>
    <row r="3" spans="1:6">
      <c r="B3" s="208" t="s">
        <v>894</v>
      </c>
    </row>
    <row r="4" spans="1:6">
      <c r="B4" s="208" t="s">
        <v>882</v>
      </c>
    </row>
    <row r="5" spans="1:6">
      <c r="B5" s="208" t="s">
        <v>883</v>
      </c>
    </row>
    <row r="6" spans="1:6">
      <c r="A6" s="7"/>
      <c r="B6" s="164"/>
      <c r="C6" s="92"/>
    </row>
    <row r="7" spans="1:6">
      <c r="A7" s="7"/>
      <c r="B7" s="150"/>
      <c r="C7" s="92"/>
    </row>
    <row r="8" spans="1:6" ht="22.5" customHeight="1">
      <c r="A8" s="233" t="s">
        <v>884</v>
      </c>
      <c r="B8" s="234"/>
      <c r="C8" s="234"/>
      <c r="D8" s="235"/>
      <c r="E8" s="235"/>
      <c r="F8" s="235"/>
    </row>
    <row r="10" spans="1:6">
      <c r="C10" s="138"/>
    </row>
    <row r="11" spans="1:6">
      <c r="A11" s="236" t="s">
        <v>504</v>
      </c>
      <c r="B11" s="232" t="s">
        <v>138</v>
      </c>
      <c r="C11" s="237" t="s">
        <v>34</v>
      </c>
      <c r="D11" s="232"/>
      <c r="E11" s="232"/>
      <c r="F11" s="232"/>
    </row>
    <row r="12" spans="1:6" ht="38.25">
      <c r="A12" s="232"/>
      <c r="B12" s="232"/>
      <c r="C12" s="211" t="s">
        <v>880</v>
      </c>
      <c r="D12" s="232" t="s">
        <v>193</v>
      </c>
      <c r="E12" s="232"/>
      <c r="F12" s="211" t="s">
        <v>885</v>
      </c>
    </row>
    <row r="13" spans="1:6" s="140" customFormat="1" ht="24">
      <c r="A13" s="96" t="s">
        <v>505</v>
      </c>
      <c r="B13" s="144" t="s">
        <v>506</v>
      </c>
      <c r="C13" s="143">
        <f t="shared" ref="C13:F13" si="0">C14+C16</f>
        <v>49071.800000000047</v>
      </c>
      <c r="D13" s="143">
        <f t="shared" si="0"/>
        <v>0</v>
      </c>
      <c r="E13" s="143">
        <f t="shared" si="0"/>
        <v>0</v>
      </c>
      <c r="F13" s="143">
        <f t="shared" si="0"/>
        <v>-44615.300000000047</v>
      </c>
    </row>
    <row r="14" spans="1:6" s="140" customFormat="1">
      <c r="A14" s="24" t="s">
        <v>507</v>
      </c>
      <c r="B14" s="141" t="s">
        <v>508</v>
      </c>
      <c r="C14" s="145">
        <f>C15</f>
        <v>-1109796.2</v>
      </c>
      <c r="D14" s="145">
        <f t="shared" ref="D14:E14" si="1">D15</f>
        <v>0</v>
      </c>
      <c r="E14" s="145">
        <f t="shared" si="1"/>
        <v>0</v>
      </c>
      <c r="F14" s="145">
        <v>-1135266.3</v>
      </c>
    </row>
    <row r="15" spans="1:6" s="140" customFormat="1" ht="24">
      <c r="A15" s="25" t="s">
        <v>731</v>
      </c>
      <c r="B15" s="142" t="s">
        <v>509</v>
      </c>
      <c r="C15" s="139">
        <v>-1109796.2</v>
      </c>
      <c r="D15" s="173"/>
      <c r="E15" s="173"/>
      <c r="F15" s="173">
        <v>-1135266.3</v>
      </c>
    </row>
    <row r="16" spans="1:6" s="140" customFormat="1">
      <c r="A16" s="24" t="s">
        <v>510</v>
      </c>
      <c r="B16" s="141" t="s">
        <v>511</v>
      </c>
      <c r="C16" s="145">
        <f>C17</f>
        <v>1158868</v>
      </c>
      <c r="D16" s="145">
        <f t="shared" ref="D16:F16" si="2">D17</f>
        <v>0</v>
      </c>
      <c r="E16" s="145">
        <f t="shared" si="2"/>
        <v>0</v>
      </c>
      <c r="F16" s="145">
        <f t="shared" si="2"/>
        <v>1090651</v>
      </c>
    </row>
    <row r="17" spans="1:6" s="140" customFormat="1" ht="24">
      <c r="A17" s="146" t="s">
        <v>732</v>
      </c>
      <c r="B17" s="147" t="s">
        <v>512</v>
      </c>
      <c r="C17" s="139">
        <v>1158868</v>
      </c>
      <c r="D17" s="173"/>
      <c r="E17" s="173"/>
      <c r="F17" s="173">
        <v>1090651</v>
      </c>
    </row>
    <row r="18" spans="1:6" s="140" customFormat="1">
      <c r="A18" s="231" t="s">
        <v>513</v>
      </c>
      <c r="B18" s="232"/>
      <c r="C18" s="143">
        <f>C13</f>
        <v>49071.800000000047</v>
      </c>
      <c r="D18" s="143">
        <f t="shared" ref="D18:F18" si="3">D13</f>
        <v>0</v>
      </c>
      <c r="E18" s="143">
        <f t="shared" si="3"/>
        <v>0</v>
      </c>
      <c r="F18" s="143">
        <f t="shared" si="3"/>
        <v>-44615.300000000047</v>
      </c>
    </row>
    <row r="19" spans="1:6" s="19" customFormat="1" ht="14.25"/>
  </sheetData>
  <mergeCells count="6">
    <mergeCell ref="A18:B18"/>
    <mergeCell ref="A8:F8"/>
    <mergeCell ref="A11:A12"/>
    <mergeCell ref="B11:B12"/>
    <mergeCell ref="D12:E12"/>
    <mergeCell ref="C11:F11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63"/>
  <sheetViews>
    <sheetView workbookViewId="0">
      <selection activeCell="D3" sqref="D3"/>
    </sheetView>
  </sheetViews>
  <sheetFormatPr defaultColWidth="9.140625" defaultRowHeight="14.25"/>
  <cols>
    <col min="1" max="1" width="3" style="19" customWidth="1"/>
    <col min="2" max="2" width="3.140625" style="95" customWidth="1"/>
    <col min="3" max="3" width="3.28515625" style="95" customWidth="1"/>
    <col min="4" max="4" width="47.7109375" style="95" customWidth="1"/>
    <col min="5" max="5" width="12.7109375" style="95" customWidth="1"/>
    <col min="6" max="6" width="12.42578125" style="95" customWidth="1"/>
    <col min="7" max="7" width="6.85546875" style="95" customWidth="1"/>
    <col min="8" max="16384" width="9.140625" style="95"/>
  </cols>
  <sheetData>
    <row r="1" spans="1:7">
      <c r="D1" s="209" t="s">
        <v>688</v>
      </c>
      <c r="E1" s="207"/>
    </row>
    <row r="2" spans="1:7">
      <c r="D2" s="209" t="s">
        <v>730</v>
      </c>
      <c r="E2" s="91"/>
    </row>
    <row r="3" spans="1:7">
      <c r="D3" s="209" t="s">
        <v>895</v>
      </c>
      <c r="E3" s="91"/>
    </row>
    <row r="4" spans="1:7">
      <c r="D4" s="209" t="s">
        <v>882</v>
      </c>
      <c r="E4" s="91"/>
    </row>
    <row r="5" spans="1:7">
      <c r="D5" s="209" t="s">
        <v>883</v>
      </c>
      <c r="E5" s="91"/>
    </row>
    <row r="6" spans="1:7">
      <c r="D6" s="210"/>
      <c r="E6" s="7"/>
    </row>
    <row r="7" spans="1:7">
      <c r="E7" s="7"/>
    </row>
    <row r="8" spans="1:7" ht="34.5" customHeight="1">
      <c r="A8" s="233" t="s">
        <v>881</v>
      </c>
      <c r="B8" s="233"/>
      <c r="C8" s="233"/>
      <c r="D8" s="233"/>
      <c r="E8" s="233"/>
      <c r="F8" s="235"/>
      <c r="G8" s="235"/>
    </row>
    <row r="10" spans="1:7">
      <c r="E10" s="6"/>
    </row>
    <row r="11" spans="1:7" ht="14.25" customHeight="1">
      <c r="A11" s="239" t="s">
        <v>135</v>
      </c>
      <c r="B11" s="238" t="s">
        <v>26</v>
      </c>
      <c r="C11" s="238" t="s">
        <v>33</v>
      </c>
      <c r="D11" s="232" t="s">
        <v>138</v>
      </c>
      <c r="E11" s="238" t="s">
        <v>34</v>
      </c>
      <c r="F11" s="232"/>
      <c r="G11" s="232"/>
    </row>
    <row r="12" spans="1:7" ht="12.75" customHeight="1">
      <c r="A12" s="232"/>
      <c r="B12" s="232"/>
      <c r="C12" s="232"/>
      <c r="D12" s="232"/>
      <c r="E12" s="238" t="s">
        <v>880</v>
      </c>
      <c r="F12" s="238" t="s">
        <v>886</v>
      </c>
      <c r="G12" s="238" t="s">
        <v>879</v>
      </c>
    </row>
    <row r="13" spans="1:7" ht="12.75" customHeight="1">
      <c r="A13" s="232"/>
      <c r="B13" s="232"/>
      <c r="C13" s="232"/>
      <c r="D13" s="232"/>
      <c r="E13" s="238"/>
      <c r="F13" s="238"/>
      <c r="G13" s="238"/>
    </row>
    <row r="14" spans="1:7" ht="12.75" customHeight="1">
      <c r="A14" s="232"/>
      <c r="B14" s="232"/>
      <c r="C14" s="232"/>
      <c r="D14" s="232"/>
      <c r="E14" s="238"/>
      <c r="F14" s="238"/>
      <c r="G14" s="238"/>
    </row>
    <row r="15" spans="1:7" ht="12.7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</row>
    <row r="16" spans="1:7" ht="18" customHeight="1">
      <c r="A16" s="67"/>
      <c r="B16" s="12"/>
      <c r="C16" s="12"/>
      <c r="D16" s="9" t="s">
        <v>140</v>
      </c>
      <c r="E16" s="205">
        <f>E17+E25+E30+E36+E40+E47+E50+E54+E56+E58</f>
        <v>1158868</v>
      </c>
      <c r="F16" s="205">
        <f>F17+F25+F30+F36+F40+F47+F50+F54+F56+F58</f>
        <v>1090651.0000000002</v>
      </c>
      <c r="G16" s="206">
        <f t="shared" ref="G16:G59" si="0">ROUND((F16/E16*100),1)</f>
        <v>94.1</v>
      </c>
    </row>
    <row r="17" spans="1:7" ht="15.75">
      <c r="A17" s="15">
        <v>1</v>
      </c>
      <c r="B17" s="4" t="s">
        <v>136</v>
      </c>
      <c r="C17" s="11"/>
      <c r="D17" s="3" t="s">
        <v>139</v>
      </c>
      <c r="E17" s="97">
        <f>SUM(E18:E24)</f>
        <v>125594</v>
      </c>
      <c r="F17" s="97">
        <f>SUM(F18:F24)</f>
        <v>122681</v>
      </c>
      <c r="G17" s="206">
        <f t="shared" si="0"/>
        <v>97.7</v>
      </c>
    </row>
    <row r="18" spans="1:7" ht="38.25">
      <c r="A18" s="67"/>
      <c r="B18" s="5" t="s">
        <v>136</v>
      </c>
      <c r="C18" s="5" t="s">
        <v>137</v>
      </c>
      <c r="D18" s="22" t="s">
        <v>22</v>
      </c>
      <c r="E18" s="175">
        <f>1932.9-401.3</f>
        <v>1531.6000000000001</v>
      </c>
      <c r="F18" s="103">
        <v>1881</v>
      </c>
      <c r="G18" s="99">
        <f t="shared" si="0"/>
        <v>122.8</v>
      </c>
    </row>
    <row r="19" spans="1:7" ht="51">
      <c r="A19" s="67"/>
      <c r="B19" s="5" t="s">
        <v>136</v>
      </c>
      <c r="C19" s="5" t="s">
        <v>141</v>
      </c>
      <c r="D19" s="22" t="s">
        <v>175</v>
      </c>
      <c r="E19" s="176">
        <v>3717.7</v>
      </c>
      <c r="F19" s="39">
        <v>3557.4</v>
      </c>
      <c r="G19" s="99">
        <f t="shared" si="0"/>
        <v>95.7</v>
      </c>
    </row>
    <row r="20" spans="1:7" ht="51">
      <c r="A20" s="67"/>
      <c r="B20" s="5" t="s">
        <v>136</v>
      </c>
      <c r="C20" s="5" t="s">
        <v>142</v>
      </c>
      <c r="D20" s="22" t="s">
        <v>168</v>
      </c>
      <c r="E20" s="176">
        <f>47525.1-923.5</f>
        <v>46601.599999999999</v>
      </c>
      <c r="F20" s="39">
        <v>46895</v>
      </c>
      <c r="G20" s="99">
        <f t="shared" si="0"/>
        <v>100.6</v>
      </c>
    </row>
    <row r="21" spans="1:7">
      <c r="A21" s="67"/>
      <c r="B21" s="5" t="s">
        <v>136</v>
      </c>
      <c r="C21" s="5" t="s">
        <v>143</v>
      </c>
      <c r="D21" s="22" t="s">
        <v>442</v>
      </c>
      <c r="E21" s="176">
        <v>13.9</v>
      </c>
      <c r="F21" s="39">
        <v>13.9</v>
      </c>
      <c r="G21" s="99">
        <f t="shared" si="0"/>
        <v>100</v>
      </c>
    </row>
    <row r="22" spans="1:7" ht="38.25">
      <c r="A22" s="67"/>
      <c r="B22" s="5" t="s">
        <v>136</v>
      </c>
      <c r="C22" s="5" t="s">
        <v>144</v>
      </c>
      <c r="D22" s="133" t="s">
        <v>10</v>
      </c>
      <c r="E22" s="176">
        <f>10477.5-50.2</f>
        <v>10427.299999999999</v>
      </c>
      <c r="F22" s="39">
        <v>10433.200000000001</v>
      </c>
      <c r="G22" s="99">
        <f t="shared" si="0"/>
        <v>100.1</v>
      </c>
    </row>
    <row r="23" spans="1:7">
      <c r="A23" s="67"/>
      <c r="B23" s="5" t="s">
        <v>136</v>
      </c>
      <c r="C23" s="5" t="s">
        <v>150</v>
      </c>
      <c r="D23" s="133" t="s">
        <v>5</v>
      </c>
      <c r="E23" s="176">
        <f>393.3-325.9-9.1</f>
        <v>58.300000000000033</v>
      </c>
      <c r="F23" s="39">
        <v>0</v>
      </c>
      <c r="G23" s="99">
        <f t="shared" si="0"/>
        <v>0</v>
      </c>
    </row>
    <row r="24" spans="1:7">
      <c r="A24" s="67"/>
      <c r="B24" s="5" t="s">
        <v>136</v>
      </c>
      <c r="C24" s="5" t="s">
        <v>9</v>
      </c>
      <c r="D24" s="1" t="s">
        <v>145</v>
      </c>
      <c r="E24" s="176">
        <f>63242+1.6</f>
        <v>63243.6</v>
      </c>
      <c r="F24" s="176">
        <v>59900.5</v>
      </c>
      <c r="G24" s="99">
        <f t="shared" si="0"/>
        <v>94.7</v>
      </c>
    </row>
    <row r="25" spans="1:7" ht="33.75" customHeight="1">
      <c r="A25" s="15">
        <v>2</v>
      </c>
      <c r="B25" s="4" t="s">
        <v>141</v>
      </c>
      <c r="C25" s="3"/>
      <c r="D25" s="10" t="s">
        <v>146</v>
      </c>
      <c r="E25" s="97">
        <f>SUM(E26:E29)</f>
        <v>8083.9999999999991</v>
      </c>
      <c r="F25" s="97">
        <f>SUM(F26:F29)</f>
        <v>8120.7000000000007</v>
      </c>
      <c r="G25" s="206">
        <f t="shared" si="0"/>
        <v>100.5</v>
      </c>
    </row>
    <row r="26" spans="1:7" ht="15">
      <c r="A26" s="15"/>
      <c r="B26" s="5" t="s">
        <v>141</v>
      </c>
      <c r="C26" s="5" t="s">
        <v>142</v>
      </c>
      <c r="D26" s="133" t="s">
        <v>23</v>
      </c>
      <c r="E26" s="176">
        <f>2181.6-177.7</f>
        <v>2003.8999999999999</v>
      </c>
      <c r="F26" s="176">
        <v>2181.6</v>
      </c>
      <c r="G26" s="99">
        <f t="shared" si="0"/>
        <v>108.9</v>
      </c>
    </row>
    <row r="27" spans="1:7" ht="38.25">
      <c r="A27" s="67"/>
      <c r="B27" s="5" t="s">
        <v>141</v>
      </c>
      <c r="C27" s="5" t="s">
        <v>147</v>
      </c>
      <c r="D27" s="133" t="s">
        <v>174</v>
      </c>
      <c r="E27" s="176">
        <f>4439.7+50.7</f>
        <v>4490.3999999999996</v>
      </c>
      <c r="F27" s="39">
        <v>4453.1000000000004</v>
      </c>
      <c r="G27" s="99">
        <f t="shared" si="0"/>
        <v>99.2</v>
      </c>
    </row>
    <row r="28" spans="1:7">
      <c r="A28" s="67"/>
      <c r="B28" s="5" t="s">
        <v>141</v>
      </c>
      <c r="C28" s="5" t="s">
        <v>158</v>
      </c>
      <c r="D28" s="133" t="s">
        <v>288</v>
      </c>
      <c r="E28" s="176">
        <f>1600-50.7</f>
        <v>1549.3</v>
      </c>
      <c r="F28" s="39">
        <v>1445.6</v>
      </c>
      <c r="G28" s="99">
        <f t="shared" si="0"/>
        <v>93.3</v>
      </c>
    </row>
    <row r="29" spans="1:7" ht="25.5">
      <c r="A29" s="67"/>
      <c r="B29" s="5" t="s">
        <v>141</v>
      </c>
      <c r="C29" s="5" t="s">
        <v>169</v>
      </c>
      <c r="D29" s="101" t="s">
        <v>27</v>
      </c>
      <c r="E29" s="176">
        <f>63.4-23</f>
        <v>40.4</v>
      </c>
      <c r="F29" s="39">
        <v>40.4</v>
      </c>
      <c r="G29" s="99">
        <f t="shared" si="0"/>
        <v>100</v>
      </c>
    </row>
    <row r="30" spans="1:7" ht="15.75">
      <c r="A30" s="15">
        <v>3</v>
      </c>
      <c r="B30" s="4" t="s">
        <v>142</v>
      </c>
      <c r="C30" s="3"/>
      <c r="D30" s="10" t="s">
        <v>148</v>
      </c>
      <c r="E30" s="216">
        <f>SUM(E31:E35)</f>
        <v>168429.1</v>
      </c>
      <c r="F30" s="97">
        <f t="shared" ref="F30" si="1">SUM(F31:F35)</f>
        <v>153876.4</v>
      </c>
      <c r="G30" s="206">
        <f t="shared" si="0"/>
        <v>91.4</v>
      </c>
    </row>
    <row r="31" spans="1:7" ht="15">
      <c r="A31" s="15"/>
      <c r="B31" s="5" t="s">
        <v>142</v>
      </c>
      <c r="C31" s="5" t="s">
        <v>136</v>
      </c>
      <c r="D31" s="51" t="s">
        <v>178</v>
      </c>
      <c r="E31" s="175">
        <v>300</v>
      </c>
      <c r="F31" s="175">
        <v>300</v>
      </c>
      <c r="G31" s="99">
        <f t="shared" si="0"/>
        <v>100</v>
      </c>
    </row>
    <row r="32" spans="1:7">
      <c r="A32" s="67"/>
      <c r="B32" s="5" t="s">
        <v>142</v>
      </c>
      <c r="C32" s="5" t="s">
        <v>143</v>
      </c>
      <c r="D32" s="1" t="s">
        <v>151</v>
      </c>
      <c r="E32" s="176">
        <v>1503.9</v>
      </c>
      <c r="F32" s="39">
        <v>1503.8</v>
      </c>
      <c r="G32" s="99">
        <f t="shared" si="0"/>
        <v>100</v>
      </c>
    </row>
    <row r="33" spans="1:7">
      <c r="A33" s="67"/>
      <c r="B33" s="5" t="s">
        <v>142</v>
      </c>
      <c r="C33" s="5" t="s">
        <v>149</v>
      </c>
      <c r="D33" s="1" t="s">
        <v>1</v>
      </c>
      <c r="E33" s="176">
        <v>24622.1</v>
      </c>
      <c r="F33" s="39">
        <v>19926.599999999999</v>
      </c>
      <c r="G33" s="99">
        <f t="shared" si="0"/>
        <v>80.900000000000006</v>
      </c>
    </row>
    <row r="34" spans="1:7">
      <c r="A34" s="67"/>
      <c r="B34" s="5" t="s">
        <v>142</v>
      </c>
      <c r="C34" s="5" t="s">
        <v>147</v>
      </c>
      <c r="D34" s="1" t="s">
        <v>292</v>
      </c>
      <c r="E34" s="176">
        <v>141582.20000000001</v>
      </c>
      <c r="F34" s="39">
        <v>131725.1</v>
      </c>
      <c r="G34" s="99">
        <f t="shared" si="0"/>
        <v>93</v>
      </c>
    </row>
    <row r="35" spans="1:7">
      <c r="A35" s="67"/>
      <c r="B35" s="5" t="s">
        <v>142</v>
      </c>
      <c r="C35" s="5" t="s">
        <v>170</v>
      </c>
      <c r="D35" s="133" t="s">
        <v>4</v>
      </c>
      <c r="E35" s="176">
        <v>420.9</v>
      </c>
      <c r="F35" s="176">
        <v>420.9</v>
      </c>
      <c r="G35" s="99">
        <f t="shared" si="0"/>
        <v>100</v>
      </c>
    </row>
    <row r="36" spans="1:7" ht="15.75">
      <c r="A36" s="15">
        <v>4</v>
      </c>
      <c r="B36" s="4" t="s">
        <v>143</v>
      </c>
      <c r="C36" s="5"/>
      <c r="D36" s="49" t="s">
        <v>71</v>
      </c>
      <c r="E36" s="216">
        <f>SUM(E37:E39)</f>
        <v>240510.40000000002</v>
      </c>
      <c r="F36" s="97">
        <f>SUM(F37:F39)</f>
        <v>205252</v>
      </c>
      <c r="G36" s="206">
        <f t="shared" si="0"/>
        <v>85.3</v>
      </c>
    </row>
    <row r="37" spans="1:7" ht="15">
      <c r="A37" s="15"/>
      <c r="B37" s="16" t="s">
        <v>143</v>
      </c>
      <c r="C37" s="16" t="s">
        <v>136</v>
      </c>
      <c r="D37" s="51" t="s">
        <v>57</v>
      </c>
      <c r="E37" s="139">
        <f>22384.8-513</f>
        <v>21871.8</v>
      </c>
      <c r="F37" s="39">
        <v>21310.9</v>
      </c>
      <c r="G37" s="99">
        <f t="shared" si="0"/>
        <v>97.4</v>
      </c>
    </row>
    <row r="38" spans="1:7" ht="15">
      <c r="A38" s="15"/>
      <c r="B38" s="16" t="s">
        <v>143</v>
      </c>
      <c r="C38" s="16" t="s">
        <v>137</v>
      </c>
      <c r="D38" s="51" t="s">
        <v>56</v>
      </c>
      <c r="E38" s="139">
        <f>46390-800</f>
        <v>45590</v>
      </c>
      <c r="F38" s="39">
        <v>37857.800000000003</v>
      </c>
      <c r="G38" s="99">
        <f t="shared" si="0"/>
        <v>83</v>
      </c>
    </row>
    <row r="39" spans="1:7">
      <c r="A39" s="67"/>
      <c r="B39" s="16" t="s">
        <v>143</v>
      </c>
      <c r="C39" s="16" t="s">
        <v>141</v>
      </c>
      <c r="D39" s="51" t="s">
        <v>72</v>
      </c>
      <c r="E39" s="139">
        <f>173041.6+7</f>
        <v>173048.6</v>
      </c>
      <c r="F39" s="153">
        <v>146083.29999999999</v>
      </c>
      <c r="G39" s="99">
        <f t="shared" si="0"/>
        <v>84.4</v>
      </c>
    </row>
    <row r="40" spans="1:7" ht="15.75">
      <c r="A40" s="15">
        <v>5</v>
      </c>
      <c r="B40" s="4" t="s">
        <v>152</v>
      </c>
      <c r="C40" s="3"/>
      <c r="D40" s="10" t="s">
        <v>153</v>
      </c>
      <c r="E40" s="216">
        <f>SUM(E41:E46)</f>
        <v>512271.5</v>
      </c>
      <c r="F40" s="97">
        <f t="shared" ref="F40" si="2">SUM(F41:F46)</f>
        <v>501535.4</v>
      </c>
      <c r="G40" s="206">
        <f t="shared" si="0"/>
        <v>97.9</v>
      </c>
    </row>
    <row r="41" spans="1:7">
      <c r="A41" s="67"/>
      <c r="B41" s="5" t="s">
        <v>152</v>
      </c>
      <c r="C41" s="5" t="s">
        <v>136</v>
      </c>
      <c r="D41" s="1" t="s">
        <v>155</v>
      </c>
      <c r="E41" s="176">
        <f>137958.9-209.6</f>
        <v>137749.29999999999</v>
      </c>
      <c r="F41" s="153">
        <v>134002.5</v>
      </c>
      <c r="G41" s="99">
        <f t="shared" si="0"/>
        <v>97.3</v>
      </c>
    </row>
    <row r="42" spans="1:7">
      <c r="A42" s="67"/>
      <c r="B42" s="5" t="s">
        <v>152</v>
      </c>
      <c r="C42" s="5" t="s">
        <v>137</v>
      </c>
      <c r="D42" s="1" t="s">
        <v>156</v>
      </c>
      <c r="E42" s="176">
        <f>312053-527.1</f>
        <v>311525.90000000002</v>
      </c>
      <c r="F42" s="39">
        <v>307308.09999999998</v>
      </c>
      <c r="G42" s="99">
        <f t="shared" si="0"/>
        <v>98.6</v>
      </c>
    </row>
    <row r="43" spans="1:7">
      <c r="A43" s="67"/>
      <c r="B43" s="5" t="s">
        <v>152</v>
      </c>
      <c r="C43" s="5" t="s">
        <v>141</v>
      </c>
      <c r="D43" s="1" t="s">
        <v>218</v>
      </c>
      <c r="E43" s="176">
        <f>45822.4-19.6</f>
        <v>45802.8</v>
      </c>
      <c r="F43" s="153">
        <v>45713.4</v>
      </c>
      <c r="G43" s="99">
        <f t="shared" si="0"/>
        <v>99.8</v>
      </c>
    </row>
    <row r="44" spans="1:7" ht="25.5">
      <c r="A44" s="67"/>
      <c r="B44" s="5" t="s">
        <v>152</v>
      </c>
      <c r="C44" s="5" t="s">
        <v>143</v>
      </c>
      <c r="D44" s="133" t="s">
        <v>2</v>
      </c>
      <c r="E44" s="176">
        <v>381.9</v>
      </c>
      <c r="F44" s="39">
        <v>381.9</v>
      </c>
      <c r="G44" s="99">
        <f t="shared" si="0"/>
        <v>100</v>
      </c>
    </row>
    <row r="45" spans="1:7">
      <c r="A45" s="67"/>
      <c r="B45" s="5" t="s">
        <v>152</v>
      </c>
      <c r="C45" s="5" t="s">
        <v>152</v>
      </c>
      <c r="D45" s="1" t="s">
        <v>217</v>
      </c>
      <c r="E45" s="176">
        <f>6071.1+2668.4</f>
        <v>8739.5</v>
      </c>
      <c r="F45" s="176">
        <v>6071.1</v>
      </c>
      <c r="G45" s="99">
        <f t="shared" si="0"/>
        <v>69.5</v>
      </c>
    </row>
    <row r="46" spans="1:7">
      <c r="A46" s="67"/>
      <c r="B46" s="5" t="s">
        <v>152</v>
      </c>
      <c r="C46" s="5" t="s">
        <v>147</v>
      </c>
      <c r="D46" s="1" t="s">
        <v>157</v>
      </c>
      <c r="E46" s="176">
        <f>8049+23.1</f>
        <v>8072.1</v>
      </c>
      <c r="F46" s="39">
        <v>8058.4</v>
      </c>
      <c r="G46" s="99">
        <f t="shared" si="0"/>
        <v>99.8</v>
      </c>
    </row>
    <row r="47" spans="1:7" ht="15.75">
      <c r="A47" s="15">
        <v>6</v>
      </c>
      <c r="B47" s="4" t="s">
        <v>149</v>
      </c>
      <c r="C47" s="3"/>
      <c r="D47" s="10" t="s">
        <v>25</v>
      </c>
      <c r="E47" s="216">
        <f>SUM(E48:E49)</f>
        <v>60053.799999999996</v>
      </c>
      <c r="F47" s="97">
        <f t="shared" ref="F47" si="3">SUM(F48:F49)</f>
        <v>59310</v>
      </c>
      <c r="G47" s="206">
        <f t="shared" si="0"/>
        <v>98.8</v>
      </c>
    </row>
    <row r="48" spans="1:7">
      <c r="A48" s="67"/>
      <c r="B48" s="5" t="s">
        <v>149</v>
      </c>
      <c r="C48" s="5" t="s">
        <v>136</v>
      </c>
      <c r="D48" s="1" t="s">
        <v>154</v>
      </c>
      <c r="E48" s="176">
        <v>57075.1</v>
      </c>
      <c r="F48" s="153">
        <v>56333.3</v>
      </c>
      <c r="G48" s="99">
        <f t="shared" si="0"/>
        <v>98.7</v>
      </c>
    </row>
    <row r="49" spans="1:7" ht="25.5">
      <c r="A49" s="67"/>
      <c r="B49" s="5" t="s">
        <v>149</v>
      </c>
      <c r="C49" s="5" t="s">
        <v>142</v>
      </c>
      <c r="D49" s="133" t="s">
        <v>7</v>
      </c>
      <c r="E49" s="176">
        <v>2978.7</v>
      </c>
      <c r="F49" s="39">
        <v>2976.7</v>
      </c>
      <c r="G49" s="99">
        <f t="shared" si="0"/>
        <v>99.9</v>
      </c>
    </row>
    <row r="50" spans="1:7" ht="15.75">
      <c r="A50" s="15">
        <v>7</v>
      </c>
      <c r="B50" s="4" t="s">
        <v>158</v>
      </c>
      <c r="C50" s="3"/>
      <c r="D50" s="10" t="s">
        <v>159</v>
      </c>
      <c r="E50" s="216">
        <f>SUM(E51:E53)</f>
        <v>40520.800000000003</v>
      </c>
      <c r="F50" s="97">
        <f t="shared" ref="F50" si="4">SUM(F51:F53)</f>
        <v>36493.1</v>
      </c>
      <c r="G50" s="206">
        <f t="shared" si="0"/>
        <v>90.1</v>
      </c>
    </row>
    <row r="51" spans="1:7">
      <c r="A51" s="67"/>
      <c r="B51" s="5" t="s">
        <v>158</v>
      </c>
      <c r="C51" s="5" t="s">
        <v>136</v>
      </c>
      <c r="D51" s="1" t="s">
        <v>160</v>
      </c>
      <c r="E51" s="176">
        <v>2773</v>
      </c>
      <c r="F51" s="39">
        <v>2773</v>
      </c>
      <c r="G51" s="99">
        <f t="shared" si="0"/>
        <v>100</v>
      </c>
    </row>
    <row r="52" spans="1:7">
      <c r="A52" s="67"/>
      <c r="B52" s="5" t="s">
        <v>158</v>
      </c>
      <c r="C52" s="5" t="s">
        <v>141</v>
      </c>
      <c r="D52" s="1" t="s">
        <v>164</v>
      </c>
      <c r="E52" s="176">
        <v>3260</v>
      </c>
      <c r="F52" s="153">
        <v>3084.8</v>
      </c>
      <c r="G52" s="99">
        <f t="shared" si="0"/>
        <v>94.6</v>
      </c>
    </row>
    <row r="53" spans="1:7">
      <c r="A53" s="67"/>
      <c r="B53" s="5" t="s">
        <v>158</v>
      </c>
      <c r="C53" s="5" t="s">
        <v>142</v>
      </c>
      <c r="D53" s="1" t="s">
        <v>16</v>
      </c>
      <c r="E53" s="176">
        <v>34487.800000000003</v>
      </c>
      <c r="F53" s="39">
        <v>30635.3</v>
      </c>
      <c r="G53" s="99">
        <f t="shared" si="0"/>
        <v>88.8</v>
      </c>
    </row>
    <row r="54" spans="1:7" ht="15.75">
      <c r="A54" s="15">
        <v>8</v>
      </c>
      <c r="B54" s="4" t="s">
        <v>150</v>
      </c>
      <c r="C54" s="5"/>
      <c r="D54" s="10" t="s">
        <v>171</v>
      </c>
      <c r="E54" s="174">
        <f>SUM(E55:E55)</f>
        <v>314.89999999999998</v>
      </c>
      <c r="F54" s="97">
        <f t="shared" ref="F54" si="5">SUM(F55:F55)</f>
        <v>304.10000000000002</v>
      </c>
      <c r="G54" s="206">
        <f t="shared" si="0"/>
        <v>96.6</v>
      </c>
    </row>
    <row r="55" spans="1:7">
      <c r="A55" s="67"/>
      <c r="B55" s="5" t="s">
        <v>150</v>
      </c>
      <c r="C55" s="5" t="s">
        <v>137</v>
      </c>
      <c r="D55" s="133" t="s">
        <v>6</v>
      </c>
      <c r="E55" s="176">
        <v>314.89999999999998</v>
      </c>
      <c r="F55" s="39">
        <v>304.10000000000002</v>
      </c>
      <c r="G55" s="99">
        <f t="shared" si="0"/>
        <v>96.6</v>
      </c>
    </row>
    <row r="56" spans="1:7" ht="15.75">
      <c r="A56" s="15">
        <v>9</v>
      </c>
      <c r="B56" s="4" t="s">
        <v>170</v>
      </c>
      <c r="C56" s="5"/>
      <c r="D56" s="10" t="s">
        <v>8</v>
      </c>
      <c r="E56" s="216">
        <f>SUM(E57:E57)</f>
        <v>3054.5</v>
      </c>
      <c r="F56" s="97">
        <f t="shared" ref="F56" si="6">SUM(F57:F57)</f>
        <v>3044</v>
      </c>
      <c r="G56" s="65">
        <f t="shared" si="0"/>
        <v>99.7</v>
      </c>
    </row>
    <row r="57" spans="1:7" ht="25.5">
      <c r="A57" s="67"/>
      <c r="B57" s="5" t="s">
        <v>170</v>
      </c>
      <c r="C57" s="5" t="s">
        <v>142</v>
      </c>
      <c r="D57" s="101" t="s">
        <v>19</v>
      </c>
      <c r="E57" s="176">
        <v>3054.5</v>
      </c>
      <c r="F57" s="39">
        <v>3044</v>
      </c>
      <c r="G57" s="99">
        <f t="shared" si="0"/>
        <v>99.7</v>
      </c>
    </row>
    <row r="58" spans="1:7" ht="31.5">
      <c r="A58" s="15">
        <v>10</v>
      </c>
      <c r="B58" s="4" t="s">
        <v>9</v>
      </c>
      <c r="C58" s="3"/>
      <c r="D58" s="10" t="s">
        <v>11</v>
      </c>
      <c r="E58" s="174">
        <f>SUM(E59:E59)</f>
        <v>35</v>
      </c>
      <c r="F58" s="97">
        <f t="shared" ref="F58" si="7">SUM(F59:F59)</f>
        <v>34.299999999999997</v>
      </c>
      <c r="G58" s="65">
        <f t="shared" si="0"/>
        <v>98</v>
      </c>
    </row>
    <row r="59" spans="1:7" ht="25.5">
      <c r="A59" s="67"/>
      <c r="B59" s="5" t="s">
        <v>9</v>
      </c>
      <c r="C59" s="5" t="s">
        <v>136</v>
      </c>
      <c r="D59" s="133" t="s">
        <v>289</v>
      </c>
      <c r="E59" s="176">
        <v>35</v>
      </c>
      <c r="F59" s="39">
        <v>34.299999999999997</v>
      </c>
      <c r="G59" s="99">
        <f t="shared" si="0"/>
        <v>98</v>
      </c>
    </row>
    <row r="63" spans="1:7" s="19" customFormat="1">
      <c r="B63" s="19" t="s">
        <v>127</v>
      </c>
    </row>
  </sheetData>
  <mergeCells count="9">
    <mergeCell ref="F12:F14"/>
    <mergeCell ref="G12:G14"/>
    <mergeCell ref="E11:G11"/>
    <mergeCell ref="A8:G8"/>
    <mergeCell ref="E12:E14"/>
    <mergeCell ref="D11:D14"/>
    <mergeCell ref="C11:C14"/>
    <mergeCell ref="B11:B14"/>
    <mergeCell ref="A11:A14"/>
  </mergeCells>
  <phoneticPr fontId="2" type="noConversion"/>
  <pageMargins left="0.75" right="0.75" top="1" bottom="1" header="0.5" footer="0.5"/>
  <pageSetup paperSize="9" scale="9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3"/>
  <sheetViews>
    <sheetView zoomScaleNormal="100" workbookViewId="0">
      <selection activeCell="E3" sqref="E3"/>
    </sheetView>
  </sheetViews>
  <sheetFormatPr defaultColWidth="9.140625" defaultRowHeight="12.75"/>
  <cols>
    <col min="1" max="1" width="2.5703125" style="95" customWidth="1"/>
    <col min="2" max="2" width="2.42578125" style="95" customWidth="1"/>
    <col min="3" max="3" width="11.5703125" style="95" customWidth="1"/>
    <col min="4" max="4" width="3.28515625" style="95" customWidth="1"/>
    <col min="5" max="5" width="39.7109375" style="95" customWidth="1"/>
    <col min="6" max="6" width="11.5703125" style="95" customWidth="1"/>
    <col min="7" max="7" width="11.28515625" style="95" customWidth="1"/>
    <col min="8" max="8" width="10.42578125" style="95" customWidth="1"/>
    <col min="9" max="16384" width="9.140625" style="95"/>
  </cols>
  <sheetData>
    <row r="1" spans="1:8">
      <c r="E1" s="91" t="s">
        <v>689</v>
      </c>
      <c r="F1" s="89"/>
      <c r="G1" s="90"/>
      <c r="H1" s="90"/>
    </row>
    <row r="2" spans="1:8">
      <c r="E2" s="91" t="s">
        <v>730</v>
      </c>
      <c r="F2" s="89"/>
      <c r="G2" s="90"/>
      <c r="H2" s="90"/>
    </row>
    <row r="3" spans="1:8">
      <c r="E3" s="91" t="s">
        <v>894</v>
      </c>
      <c r="F3" s="89"/>
      <c r="G3" s="90"/>
      <c r="H3" s="90"/>
    </row>
    <row r="4" spans="1:8">
      <c r="E4" s="91" t="s">
        <v>882</v>
      </c>
      <c r="F4" s="89"/>
      <c r="G4" s="90"/>
      <c r="H4" s="90"/>
    </row>
    <row r="5" spans="1:8">
      <c r="E5" s="91" t="s">
        <v>883</v>
      </c>
      <c r="F5" s="89"/>
      <c r="G5" s="90"/>
      <c r="H5" s="90"/>
    </row>
    <row r="6" spans="1:8">
      <c r="E6" s="89"/>
      <c r="F6" s="89"/>
      <c r="G6" s="90"/>
      <c r="H6" s="90"/>
    </row>
    <row r="7" spans="1:8">
      <c r="E7" s="89"/>
      <c r="F7" s="89"/>
      <c r="G7" s="90"/>
      <c r="H7" s="90"/>
    </row>
    <row r="8" spans="1:8" ht="69.75" customHeight="1">
      <c r="A8" s="233" t="s">
        <v>887</v>
      </c>
      <c r="B8" s="240"/>
      <c r="C8" s="240"/>
      <c r="D8" s="240"/>
      <c r="E8" s="240"/>
      <c r="F8" s="240"/>
      <c r="G8" s="241"/>
      <c r="H8" s="241"/>
    </row>
    <row r="10" spans="1:8">
      <c r="F10" s="6"/>
    </row>
    <row r="11" spans="1:8">
      <c r="A11" s="242" t="s">
        <v>165</v>
      </c>
      <c r="B11" s="242" t="s">
        <v>166</v>
      </c>
      <c r="C11" s="242" t="s">
        <v>167</v>
      </c>
      <c r="D11" s="242" t="s">
        <v>161</v>
      </c>
      <c r="E11" s="242" t="s">
        <v>138</v>
      </c>
      <c r="F11" s="238" t="s">
        <v>34</v>
      </c>
      <c r="G11" s="232"/>
      <c r="H11" s="232"/>
    </row>
    <row r="12" spans="1:8" ht="12.75" customHeight="1">
      <c r="A12" s="243"/>
      <c r="B12" s="243"/>
      <c r="C12" s="243"/>
      <c r="D12" s="243"/>
      <c r="E12" s="243"/>
      <c r="F12" s="238" t="s">
        <v>880</v>
      </c>
      <c r="G12" s="238" t="s">
        <v>886</v>
      </c>
      <c r="H12" s="238" t="s">
        <v>879</v>
      </c>
    </row>
    <row r="13" spans="1:8" ht="12.75" customHeight="1">
      <c r="A13" s="243"/>
      <c r="B13" s="243"/>
      <c r="C13" s="243"/>
      <c r="D13" s="243"/>
      <c r="E13" s="243"/>
      <c r="F13" s="238"/>
      <c r="G13" s="238"/>
      <c r="H13" s="238"/>
    </row>
    <row r="14" spans="1:8">
      <c r="A14" s="244"/>
      <c r="B14" s="244"/>
      <c r="C14" s="244"/>
      <c r="D14" s="244"/>
      <c r="E14" s="244"/>
      <c r="F14" s="238"/>
      <c r="G14" s="238"/>
      <c r="H14" s="238"/>
    </row>
    <row r="15" spans="1:8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</row>
    <row r="16" spans="1:8" ht="18">
      <c r="A16" s="12"/>
      <c r="B16" s="12"/>
      <c r="C16" s="12"/>
      <c r="D16" s="12"/>
      <c r="E16" s="9" t="s">
        <v>140</v>
      </c>
      <c r="F16" s="154">
        <f>F17+F135+F184+F289+F442+F593+F644+F683+F692+F710</f>
        <v>1158868</v>
      </c>
      <c r="G16" s="154">
        <f>G17+G135+G184+G289+G442+G593+G644+G683+G692+G710</f>
        <v>1090651.0000000002</v>
      </c>
      <c r="H16" s="206">
        <f t="shared" ref="H16:H79" si="0">ROUND((G16/F16*100),1)</f>
        <v>94.1</v>
      </c>
    </row>
    <row r="17" spans="1:8" ht="24" customHeight="1">
      <c r="A17" s="4" t="s">
        <v>136</v>
      </c>
      <c r="B17" s="11"/>
      <c r="C17" s="11"/>
      <c r="D17" s="11"/>
      <c r="E17" s="10" t="s">
        <v>139</v>
      </c>
      <c r="F17" s="97">
        <f>F18+F23+F31+F45+F50+F61+F65</f>
        <v>125594.00000000003</v>
      </c>
      <c r="G17" s="97">
        <f>G18+G23+G31+G45+G50+G61+G65</f>
        <v>122681</v>
      </c>
      <c r="H17" s="206">
        <f t="shared" si="0"/>
        <v>97.7</v>
      </c>
    </row>
    <row r="18" spans="1:8" ht="38.25">
      <c r="A18" s="30" t="s">
        <v>136</v>
      </c>
      <c r="B18" s="30" t="s">
        <v>137</v>
      </c>
      <c r="C18" s="30"/>
      <c r="D18" s="30"/>
      <c r="E18" s="46" t="s">
        <v>22</v>
      </c>
      <c r="F18" s="40">
        <f t="shared" ref="F18:G21" si="1">F19</f>
        <v>1531.6</v>
      </c>
      <c r="G18" s="40">
        <f t="shared" si="1"/>
        <v>1881</v>
      </c>
      <c r="H18" s="42">
        <f t="shared" si="0"/>
        <v>122.8</v>
      </c>
    </row>
    <row r="19" spans="1:8" ht="25.5">
      <c r="A19" s="16" t="s">
        <v>136</v>
      </c>
      <c r="B19" s="16" t="s">
        <v>137</v>
      </c>
      <c r="C19" s="80">
        <v>9900000000</v>
      </c>
      <c r="D19" s="16"/>
      <c r="E19" s="55" t="s">
        <v>194</v>
      </c>
      <c r="F19" s="41">
        <f t="shared" si="1"/>
        <v>1531.6</v>
      </c>
      <c r="G19" s="41">
        <f t="shared" si="1"/>
        <v>1881</v>
      </c>
      <c r="H19" s="99">
        <f t="shared" si="0"/>
        <v>122.8</v>
      </c>
    </row>
    <row r="20" spans="1:8" ht="38.25">
      <c r="A20" s="16" t="s">
        <v>136</v>
      </c>
      <c r="B20" s="16" t="s">
        <v>137</v>
      </c>
      <c r="C20" s="80">
        <v>9980000000</v>
      </c>
      <c r="D20" s="16"/>
      <c r="E20" s="54" t="s">
        <v>37</v>
      </c>
      <c r="F20" s="41">
        <f t="shared" si="1"/>
        <v>1531.6</v>
      </c>
      <c r="G20" s="41">
        <f t="shared" si="1"/>
        <v>1881</v>
      </c>
      <c r="H20" s="99">
        <f t="shared" si="0"/>
        <v>122.8</v>
      </c>
    </row>
    <row r="21" spans="1:8">
      <c r="A21" s="16" t="s">
        <v>136</v>
      </c>
      <c r="B21" s="16" t="s">
        <v>137</v>
      </c>
      <c r="C21" s="80" t="s">
        <v>191</v>
      </c>
      <c r="D21" s="16"/>
      <c r="E21" s="104" t="s">
        <v>162</v>
      </c>
      <c r="F21" s="39">
        <f t="shared" si="1"/>
        <v>1531.6</v>
      </c>
      <c r="G21" s="39">
        <f t="shared" si="1"/>
        <v>1881</v>
      </c>
      <c r="H21" s="99">
        <f t="shared" si="0"/>
        <v>122.8</v>
      </c>
    </row>
    <row r="22" spans="1:8" ht="25.5">
      <c r="A22" s="16" t="s">
        <v>136</v>
      </c>
      <c r="B22" s="16" t="s">
        <v>137</v>
      </c>
      <c r="C22" s="80" t="s">
        <v>191</v>
      </c>
      <c r="D22" s="16" t="s">
        <v>102</v>
      </c>
      <c r="E22" s="133" t="s">
        <v>126</v>
      </c>
      <c r="F22" s="39">
        <f>1531.6+401.3-401.3</f>
        <v>1531.6</v>
      </c>
      <c r="G22" s="39">
        <v>1881</v>
      </c>
      <c r="H22" s="99">
        <f t="shared" si="0"/>
        <v>122.8</v>
      </c>
    </row>
    <row r="23" spans="1:8" ht="64.5">
      <c r="A23" s="30" t="s">
        <v>136</v>
      </c>
      <c r="B23" s="30" t="s">
        <v>141</v>
      </c>
      <c r="C23" s="31"/>
      <c r="D23" s="31"/>
      <c r="E23" s="48" t="s">
        <v>175</v>
      </c>
      <c r="F23" s="43">
        <f>F24</f>
        <v>3717.7000000000007</v>
      </c>
      <c r="G23" s="43">
        <f>G24</f>
        <v>3557.4</v>
      </c>
      <c r="H23" s="42">
        <f t="shared" si="0"/>
        <v>95.7</v>
      </c>
    </row>
    <row r="24" spans="1:8" ht="38.25">
      <c r="A24" s="16" t="s">
        <v>136</v>
      </c>
      <c r="B24" s="16" t="s">
        <v>141</v>
      </c>
      <c r="C24" s="80">
        <v>9990000000</v>
      </c>
      <c r="D24" s="16"/>
      <c r="E24" s="54" t="s">
        <v>36</v>
      </c>
      <c r="F24" s="41">
        <f>F25+F27</f>
        <v>3717.7000000000007</v>
      </c>
      <c r="G24" s="41">
        <f>G25+G27</f>
        <v>3557.4</v>
      </c>
      <c r="H24" s="99">
        <f t="shared" si="0"/>
        <v>95.7</v>
      </c>
    </row>
    <row r="25" spans="1:8">
      <c r="A25" s="16" t="s">
        <v>136</v>
      </c>
      <c r="B25" s="16" t="s">
        <v>141</v>
      </c>
      <c r="C25" s="80" t="s">
        <v>190</v>
      </c>
      <c r="D25" s="16"/>
      <c r="E25" s="102" t="s">
        <v>189</v>
      </c>
      <c r="F25" s="41">
        <f>F26</f>
        <v>1270.5999999999999</v>
      </c>
      <c r="G25" s="41">
        <f>G26</f>
        <v>1143.0999999999999</v>
      </c>
      <c r="H25" s="99">
        <f t="shared" si="0"/>
        <v>90</v>
      </c>
    </row>
    <row r="26" spans="1:8" ht="25.5">
      <c r="A26" s="16" t="s">
        <v>136</v>
      </c>
      <c r="B26" s="16" t="s">
        <v>141</v>
      </c>
      <c r="C26" s="80" t="s">
        <v>190</v>
      </c>
      <c r="D26" s="16" t="s">
        <v>102</v>
      </c>
      <c r="E26" s="55" t="s">
        <v>103</v>
      </c>
      <c r="F26" s="39">
        <f>1409.5-138.9</f>
        <v>1270.5999999999999</v>
      </c>
      <c r="G26" s="41">
        <v>1143.0999999999999</v>
      </c>
      <c r="H26" s="99">
        <f t="shared" si="0"/>
        <v>90</v>
      </c>
    </row>
    <row r="27" spans="1:8">
      <c r="A27" s="16" t="s">
        <v>136</v>
      </c>
      <c r="B27" s="16" t="s">
        <v>141</v>
      </c>
      <c r="C27" s="80" t="s">
        <v>48</v>
      </c>
      <c r="D27" s="21"/>
      <c r="E27" s="22" t="s">
        <v>35</v>
      </c>
      <c r="F27" s="41">
        <f>SUM(F28:F30)</f>
        <v>2447.1000000000008</v>
      </c>
      <c r="G27" s="41">
        <f>SUM(G28:G30)</f>
        <v>2414.3000000000002</v>
      </c>
      <c r="H27" s="99">
        <f t="shared" si="0"/>
        <v>98.7</v>
      </c>
    </row>
    <row r="28" spans="1:8" ht="25.5">
      <c r="A28" s="16" t="s">
        <v>136</v>
      </c>
      <c r="B28" s="16" t="s">
        <v>141</v>
      </c>
      <c r="C28" s="80" t="s">
        <v>48</v>
      </c>
      <c r="D28" s="16" t="s">
        <v>102</v>
      </c>
      <c r="E28" s="55" t="s">
        <v>103</v>
      </c>
      <c r="F28" s="39">
        <f>2407.8-46.2-46.2+18+1</f>
        <v>2334.4000000000005</v>
      </c>
      <c r="G28" s="41">
        <v>2317.3000000000002</v>
      </c>
      <c r="H28" s="99">
        <f t="shared" si="0"/>
        <v>99.3</v>
      </c>
    </row>
    <row r="29" spans="1:8" ht="39" customHeight="1">
      <c r="A29" s="16" t="s">
        <v>136</v>
      </c>
      <c r="B29" s="16" t="s">
        <v>141</v>
      </c>
      <c r="C29" s="80" t="s">
        <v>48</v>
      </c>
      <c r="D29" s="85" t="s">
        <v>314</v>
      </c>
      <c r="E29" s="102" t="s">
        <v>315</v>
      </c>
      <c r="F29" s="39">
        <f>130.4-18</f>
        <v>112.4</v>
      </c>
      <c r="G29" s="41">
        <v>96.7</v>
      </c>
      <c r="H29" s="99">
        <f t="shared" si="0"/>
        <v>86</v>
      </c>
    </row>
    <row r="30" spans="1:8" ht="16.5" customHeight="1">
      <c r="A30" s="16" t="s">
        <v>136</v>
      </c>
      <c r="B30" s="16" t="s">
        <v>141</v>
      </c>
      <c r="C30" s="80" t="s">
        <v>48</v>
      </c>
      <c r="D30" s="84" t="s">
        <v>180</v>
      </c>
      <c r="E30" s="102" t="s">
        <v>181</v>
      </c>
      <c r="F30" s="39">
        <f>4-3.7</f>
        <v>0.29999999999999982</v>
      </c>
      <c r="G30" s="39">
        <v>0.3</v>
      </c>
      <c r="H30" s="99">
        <f t="shared" si="0"/>
        <v>100</v>
      </c>
    </row>
    <row r="31" spans="1:8" s="32" customFormat="1" ht="61.5" customHeight="1">
      <c r="A31" s="30" t="s">
        <v>136</v>
      </c>
      <c r="B31" s="30" t="s">
        <v>142</v>
      </c>
      <c r="C31" s="30"/>
      <c r="D31" s="30"/>
      <c r="E31" s="46" t="s">
        <v>172</v>
      </c>
      <c r="F31" s="40">
        <f>F32</f>
        <v>46601.600000000006</v>
      </c>
      <c r="G31" s="40">
        <f>G32</f>
        <v>46895</v>
      </c>
      <c r="H31" s="42">
        <f t="shared" si="0"/>
        <v>100.6</v>
      </c>
    </row>
    <row r="32" spans="1:8" ht="25.5">
      <c r="A32" s="16" t="s">
        <v>136</v>
      </c>
      <c r="B32" s="16" t="s">
        <v>142</v>
      </c>
      <c r="C32" s="80">
        <v>9900000000</v>
      </c>
      <c r="D32" s="16"/>
      <c r="E32" s="55" t="s">
        <v>194</v>
      </c>
      <c r="F32" s="39">
        <f>F33+F37+F40</f>
        <v>46601.600000000006</v>
      </c>
      <c r="G32" s="39">
        <f>G33+G37+G40</f>
        <v>46895</v>
      </c>
      <c r="H32" s="99">
        <f t="shared" si="0"/>
        <v>100.6</v>
      </c>
    </row>
    <row r="33" spans="1:8" ht="25.5">
      <c r="A33" s="16" t="s">
        <v>136</v>
      </c>
      <c r="B33" s="16" t="s">
        <v>142</v>
      </c>
      <c r="C33" s="80">
        <v>9930000000</v>
      </c>
      <c r="D33" s="16"/>
      <c r="E33" s="22" t="s">
        <v>55</v>
      </c>
      <c r="F33" s="39">
        <f>F34</f>
        <v>382.1</v>
      </c>
      <c r="G33" s="39">
        <f>G34</f>
        <v>286.40000000000003</v>
      </c>
      <c r="H33" s="99">
        <f t="shared" si="0"/>
        <v>75</v>
      </c>
    </row>
    <row r="34" spans="1:8" ht="63.75">
      <c r="A34" s="16" t="s">
        <v>136</v>
      </c>
      <c r="B34" s="16" t="s">
        <v>142</v>
      </c>
      <c r="C34" s="80">
        <v>9930010510</v>
      </c>
      <c r="D34" s="16"/>
      <c r="E34" s="104" t="s">
        <v>20</v>
      </c>
      <c r="F34" s="39">
        <f>F35+F36</f>
        <v>382.1</v>
      </c>
      <c r="G34" s="39">
        <f>G35+G36</f>
        <v>286.40000000000003</v>
      </c>
      <c r="H34" s="99">
        <f t="shared" si="0"/>
        <v>75</v>
      </c>
    </row>
    <row r="35" spans="1:8" ht="25.5">
      <c r="A35" s="16" t="s">
        <v>136</v>
      </c>
      <c r="B35" s="16" t="s">
        <v>142</v>
      </c>
      <c r="C35" s="80">
        <v>9930010510</v>
      </c>
      <c r="D35" s="16" t="s">
        <v>102</v>
      </c>
      <c r="E35" s="107" t="s">
        <v>103</v>
      </c>
      <c r="F35" s="39">
        <v>379.3</v>
      </c>
      <c r="G35" s="41">
        <v>283.60000000000002</v>
      </c>
      <c r="H35" s="99">
        <f t="shared" si="0"/>
        <v>74.8</v>
      </c>
    </row>
    <row r="36" spans="1:8" ht="38.25">
      <c r="A36" s="16" t="s">
        <v>136</v>
      </c>
      <c r="B36" s="16" t="s">
        <v>142</v>
      </c>
      <c r="C36" s="80">
        <v>9930010510</v>
      </c>
      <c r="D36" s="85" t="s">
        <v>314</v>
      </c>
      <c r="E36" s="102" t="s">
        <v>315</v>
      </c>
      <c r="F36" s="39">
        <v>2.8</v>
      </c>
      <c r="G36" s="39">
        <v>2.8</v>
      </c>
      <c r="H36" s="99">
        <f t="shared" si="0"/>
        <v>100</v>
      </c>
    </row>
    <row r="37" spans="1:8" ht="25.5">
      <c r="A37" s="16" t="s">
        <v>136</v>
      </c>
      <c r="B37" s="16" t="s">
        <v>142</v>
      </c>
      <c r="C37" s="16" t="s">
        <v>31</v>
      </c>
      <c r="D37" s="16"/>
      <c r="E37" s="104" t="s">
        <v>53</v>
      </c>
      <c r="F37" s="39">
        <f>F38</f>
        <v>148.5</v>
      </c>
      <c r="G37" s="39">
        <f>G38</f>
        <v>148.5</v>
      </c>
      <c r="H37" s="42">
        <f t="shared" si="0"/>
        <v>100</v>
      </c>
    </row>
    <row r="38" spans="1:8" ht="25.5">
      <c r="A38" s="16" t="s">
        <v>136</v>
      </c>
      <c r="B38" s="16" t="s">
        <v>142</v>
      </c>
      <c r="C38" s="85" t="s">
        <v>488</v>
      </c>
      <c r="D38" s="16"/>
      <c r="E38" s="54" t="s">
        <v>468</v>
      </c>
      <c r="F38" s="39">
        <f>SUM(F39:F39)</f>
        <v>148.5</v>
      </c>
      <c r="G38" s="103">
        <f>G39</f>
        <v>148.5</v>
      </c>
      <c r="H38" s="99">
        <f t="shared" si="0"/>
        <v>100</v>
      </c>
    </row>
    <row r="39" spans="1:8" ht="38.25">
      <c r="A39" s="16" t="s">
        <v>136</v>
      </c>
      <c r="B39" s="16" t="s">
        <v>142</v>
      </c>
      <c r="C39" s="85" t="s">
        <v>488</v>
      </c>
      <c r="D39" s="85" t="s">
        <v>314</v>
      </c>
      <c r="E39" s="102" t="s">
        <v>315</v>
      </c>
      <c r="F39" s="39">
        <v>148.5</v>
      </c>
      <c r="G39" s="39">
        <v>148.5</v>
      </c>
      <c r="H39" s="99">
        <f t="shared" si="0"/>
        <v>100</v>
      </c>
    </row>
    <row r="40" spans="1:8" ht="38.25">
      <c r="A40" s="16" t="s">
        <v>136</v>
      </c>
      <c r="B40" s="16" t="s">
        <v>142</v>
      </c>
      <c r="C40" s="80">
        <v>9980000000</v>
      </c>
      <c r="D40" s="16"/>
      <c r="E40" s="54" t="s">
        <v>37</v>
      </c>
      <c r="F40" s="39">
        <f>F41</f>
        <v>46071.000000000007</v>
      </c>
      <c r="G40" s="39">
        <f>G41</f>
        <v>46460.1</v>
      </c>
      <c r="H40" s="99">
        <f t="shared" si="0"/>
        <v>100.8</v>
      </c>
    </row>
    <row r="41" spans="1:8">
      <c r="A41" s="16" t="s">
        <v>136</v>
      </c>
      <c r="B41" s="16" t="s">
        <v>142</v>
      </c>
      <c r="C41" s="80" t="s">
        <v>50</v>
      </c>
      <c r="D41" s="21"/>
      <c r="E41" s="104" t="s">
        <v>163</v>
      </c>
      <c r="F41" s="39">
        <f>SUM(F42:F44)</f>
        <v>46071.000000000007</v>
      </c>
      <c r="G41" s="39">
        <f>SUM(G42:G44)</f>
        <v>46460.1</v>
      </c>
      <c r="H41" s="99">
        <f t="shared" si="0"/>
        <v>100.8</v>
      </c>
    </row>
    <row r="42" spans="1:8" ht="25.5">
      <c r="A42" s="16" t="s">
        <v>136</v>
      </c>
      <c r="B42" s="16" t="s">
        <v>142</v>
      </c>
      <c r="C42" s="80" t="s">
        <v>50</v>
      </c>
      <c r="D42" s="16" t="s">
        <v>102</v>
      </c>
      <c r="E42" s="55" t="s">
        <v>103</v>
      </c>
      <c r="F42" s="39">
        <f>40190.3-305.6-16-55.5-25-55.6-55.5-90-55.5+234.5+923.5-923.5</f>
        <v>39766.100000000006</v>
      </c>
      <c r="G42" s="39">
        <v>40363.1</v>
      </c>
      <c r="H42" s="99">
        <f t="shared" si="0"/>
        <v>101.5</v>
      </c>
    </row>
    <row r="43" spans="1:8" ht="38.25">
      <c r="A43" s="16" t="s">
        <v>136</v>
      </c>
      <c r="B43" s="16" t="s">
        <v>142</v>
      </c>
      <c r="C43" s="80" t="s">
        <v>50</v>
      </c>
      <c r="D43" s="85" t="s">
        <v>314</v>
      </c>
      <c r="E43" s="102" t="s">
        <v>315</v>
      </c>
      <c r="F43" s="39">
        <f>5766.3+305.6+16+55.5+55.6+25+55.5+90+55.5-160.6</f>
        <v>6264.4000000000005</v>
      </c>
      <c r="G43" s="39">
        <v>6056.7</v>
      </c>
      <c r="H43" s="99">
        <f t="shared" si="0"/>
        <v>96.7</v>
      </c>
    </row>
    <row r="44" spans="1:8" ht="17.25" customHeight="1">
      <c r="A44" s="16" t="s">
        <v>136</v>
      </c>
      <c r="B44" s="16" t="s">
        <v>142</v>
      </c>
      <c r="C44" s="80" t="s">
        <v>50</v>
      </c>
      <c r="D44" s="85" t="s">
        <v>180</v>
      </c>
      <c r="E44" s="102" t="s">
        <v>181</v>
      </c>
      <c r="F44" s="41">
        <f>114.4-73.9</f>
        <v>40.5</v>
      </c>
      <c r="G44" s="103">
        <v>40.299999999999997</v>
      </c>
      <c r="H44" s="99">
        <f t="shared" si="0"/>
        <v>99.5</v>
      </c>
    </row>
    <row r="45" spans="1:8" ht="14.25">
      <c r="A45" s="35" t="s">
        <v>136</v>
      </c>
      <c r="B45" s="35" t="s">
        <v>143</v>
      </c>
      <c r="C45" s="35"/>
      <c r="D45" s="35"/>
      <c r="E45" s="46" t="s">
        <v>442</v>
      </c>
      <c r="F45" s="42">
        <f>SUM(F46)</f>
        <v>13.9</v>
      </c>
      <c r="G45" s="42">
        <f>SUM(G46)</f>
        <v>13.9</v>
      </c>
      <c r="H45" s="42">
        <f t="shared" si="0"/>
        <v>100</v>
      </c>
    </row>
    <row r="46" spans="1:8" ht="25.5">
      <c r="A46" s="16" t="s">
        <v>136</v>
      </c>
      <c r="B46" s="85" t="s">
        <v>143</v>
      </c>
      <c r="C46" s="80">
        <v>9900000000</v>
      </c>
      <c r="D46" s="16"/>
      <c r="E46" s="55" t="s">
        <v>195</v>
      </c>
      <c r="F46" s="39">
        <f t="shared" ref="F46:G48" si="2">F47</f>
        <v>13.9</v>
      </c>
      <c r="G46" s="39">
        <f t="shared" si="2"/>
        <v>13.9</v>
      </c>
      <c r="H46" s="99">
        <f t="shared" si="0"/>
        <v>100</v>
      </c>
    </row>
    <row r="47" spans="1:8" ht="25.5">
      <c r="A47" s="16" t="s">
        <v>136</v>
      </c>
      <c r="B47" s="85" t="s">
        <v>143</v>
      </c>
      <c r="C47" s="80">
        <v>9930000000</v>
      </c>
      <c r="D47" s="16"/>
      <c r="E47" s="22" t="s">
        <v>55</v>
      </c>
      <c r="F47" s="39">
        <f t="shared" si="2"/>
        <v>13.9</v>
      </c>
      <c r="G47" s="39">
        <f t="shared" si="2"/>
        <v>13.9</v>
      </c>
      <c r="H47" s="99">
        <f t="shared" si="0"/>
        <v>100</v>
      </c>
    </row>
    <row r="48" spans="1:8" ht="63.75">
      <c r="A48" s="16" t="s">
        <v>136</v>
      </c>
      <c r="B48" s="85" t="s">
        <v>143</v>
      </c>
      <c r="C48" s="80">
        <v>9930051200</v>
      </c>
      <c r="D48" s="16"/>
      <c r="E48" s="54" t="s">
        <v>416</v>
      </c>
      <c r="F48" s="39">
        <f t="shared" si="2"/>
        <v>13.9</v>
      </c>
      <c r="G48" s="39">
        <f t="shared" si="2"/>
        <v>13.9</v>
      </c>
      <c r="H48" s="99">
        <f t="shared" si="0"/>
        <v>100</v>
      </c>
    </row>
    <row r="49" spans="1:8" ht="38.25">
      <c r="A49" s="16" t="s">
        <v>136</v>
      </c>
      <c r="B49" s="85" t="s">
        <v>143</v>
      </c>
      <c r="C49" s="80">
        <v>9930051200</v>
      </c>
      <c r="D49" s="85" t="s">
        <v>314</v>
      </c>
      <c r="E49" s="102" t="s">
        <v>315</v>
      </c>
      <c r="F49" s="118">
        <v>13.9</v>
      </c>
      <c r="G49" s="118">
        <v>13.9</v>
      </c>
      <c r="H49" s="99">
        <f t="shared" si="0"/>
        <v>100</v>
      </c>
    </row>
    <row r="50" spans="1:8" s="37" customFormat="1" ht="49.5" customHeight="1">
      <c r="A50" s="35" t="s">
        <v>136</v>
      </c>
      <c r="B50" s="35" t="s">
        <v>144</v>
      </c>
      <c r="C50" s="35"/>
      <c r="D50" s="35"/>
      <c r="E50" s="46" t="s">
        <v>173</v>
      </c>
      <c r="F50" s="42">
        <f>SUM(F51)</f>
        <v>10427.300000000001</v>
      </c>
      <c r="G50" s="42">
        <f>SUM(G51)</f>
        <v>10433.200000000001</v>
      </c>
      <c r="H50" s="99">
        <f t="shared" si="0"/>
        <v>100.1</v>
      </c>
    </row>
    <row r="51" spans="1:8" ht="25.5">
      <c r="A51" s="16" t="s">
        <v>136</v>
      </c>
      <c r="B51" s="16" t="s">
        <v>144</v>
      </c>
      <c r="C51" s="80">
        <v>9900000000</v>
      </c>
      <c r="D51" s="16"/>
      <c r="E51" s="55" t="s">
        <v>194</v>
      </c>
      <c r="F51" s="39">
        <f>F52+F57</f>
        <v>10427.300000000001</v>
      </c>
      <c r="G51" s="39">
        <f>G52+G57</f>
        <v>10433.200000000001</v>
      </c>
      <c r="H51" s="99">
        <f t="shared" si="0"/>
        <v>100.1</v>
      </c>
    </row>
    <row r="52" spans="1:8" ht="38.25">
      <c r="A52" s="16" t="s">
        <v>136</v>
      </c>
      <c r="B52" s="16" t="s">
        <v>144</v>
      </c>
      <c r="C52" s="80">
        <v>9980000000</v>
      </c>
      <c r="D52" s="16"/>
      <c r="E52" s="54" t="s">
        <v>37</v>
      </c>
      <c r="F52" s="39">
        <f>F53</f>
        <v>8943.2000000000007</v>
      </c>
      <c r="G52" s="39">
        <f>G53</f>
        <v>8983.1</v>
      </c>
      <c r="H52" s="99">
        <f t="shared" si="0"/>
        <v>100.4</v>
      </c>
    </row>
    <row r="53" spans="1:8" ht="14.25">
      <c r="A53" s="16" t="s">
        <v>136</v>
      </c>
      <c r="B53" s="16" t="s">
        <v>144</v>
      </c>
      <c r="C53" s="80" t="s">
        <v>50</v>
      </c>
      <c r="D53" s="21"/>
      <c r="E53" s="104" t="s">
        <v>163</v>
      </c>
      <c r="F53" s="39">
        <f>SUM(F54:F56)</f>
        <v>8943.2000000000007</v>
      </c>
      <c r="G53" s="39">
        <f>SUM(G54:G56)</f>
        <v>8983.1</v>
      </c>
      <c r="H53" s="42">
        <f t="shared" si="0"/>
        <v>100.4</v>
      </c>
    </row>
    <row r="54" spans="1:8" ht="25.5">
      <c r="A54" s="16" t="s">
        <v>136</v>
      </c>
      <c r="B54" s="16" t="s">
        <v>144</v>
      </c>
      <c r="C54" s="80" t="s">
        <v>50</v>
      </c>
      <c r="D54" s="16" t="s">
        <v>102</v>
      </c>
      <c r="E54" s="107" t="s">
        <v>103</v>
      </c>
      <c r="F54" s="39">
        <f>8691.2-50.2</f>
        <v>8641</v>
      </c>
      <c r="G54" s="39">
        <v>8691.2000000000007</v>
      </c>
      <c r="H54" s="99">
        <f t="shared" si="0"/>
        <v>100.6</v>
      </c>
    </row>
    <row r="55" spans="1:8" ht="38.25">
      <c r="A55" s="16" t="s">
        <v>136</v>
      </c>
      <c r="B55" s="16" t="s">
        <v>144</v>
      </c>
      <c r="C55" s="80" t="s">
        <v>50</v>
      </c>
      <c r="D55" s="85" t="s">
        <v>314</v>
      </c>
      <c r="E55" s="102" t="s">
        <v>315</v>
      </c>
      <c r="F55" s="39">
        <f>397.9-101.7</f>
        <v>296.2</v>
      </c>
      <c r="G55" s="39">
        <v>288.89999999999998</v>
      </c>
      <c r="H55" s="99">
        <f t="shared" si="0"/>
        <v>97.5</v>
      </c>
    </row>
    <row r="56" spans="1:8">
      <c r="A56" s="16" t="s">
        <v>136</v>
      </c>
      <c r="B56" s="16" t="s">
        <v>144</v>
      </c>
      <c r="C56" s="80" t="s">
        <v>50</v>
      </c>
      <c r="D56" s="85" t="s">
        <v>466</v>
      </c>
      <c r="E56" s="102" t="s">
        <v>467</v>
      </c>
      <c r="F56" s="39">
        <f>12-6</f>
        <v>6</v>
      </c>
      <c r="G56" s="39">
        <v>3</v>
      </c>
      <c r="H56" s="99">
        <f t="shared" si="0"/>
        <v>50</v>
      </c>
    </row>
    <row r="57" spans="1:8" ht="38.25">
      <c r="A57" s="16" t="s">
        <v>136</v>
      </c>
      <c r="B57" s="16" t="s">
        <v>144</v>
      </c>
      <c r="C57" s="80">
        <v>9990000000</v>
      </c>
      <c r="D57" s="16"/>
      <c r="E57" s="54" t="s">
        <v>36</v>
      </c>
      <c r="F57" s="39">
        <f>F58</f>
        <v>1484.1</v>
      </c>
      <c r="G57" s="39">
        <f>G58</f>
        <v>1450.1000000000001</v>
      </c>
      <c r="H57" s="99">
        <f t="shared" si="0"/>
        <v>97.7</v>
      </c>
    </row>
    <row r="58" spans="1:8" ht="25.5">
      <c r="A58" s="16" t="s">
        <v>136</v>
      </c>
      <c r="B58" s="16" t="s">
        <v>144</v>
      </c>
      <c r="C58" s="80" t="s">
        <v>49</v>
      </c>
      <c r="D58" s="21"/>
      <c r="E58" s="156" t="s">
        <v>297</v>
      </c>
      <c r="F58" s="41">
        <f>F59+F60</f>
        <v>1484.1</v>
      </c>
      <c r="G58" s="41">
        <f>G59+G60</f>
        <v>1450.1000000000001</v>
      </c>
      <c r="H58" s="99">
        <f t="shared" si="0"/>
        <v>97.7</v>
      </c>
    </row>
    <row r="59" spans="1:8" ht="25.5">
      <c r="A59" s="16" t="s">
        <v>136</v>
      </c>
      <c r="B59" s="16" t="s">
        <v>144</v>
      </c>
      <c r="C59" s="80" t="s">
        <v>49</v>
      </c>
      <c r="D59" s="16" t="s">
        <v>102</v>
      </c>
      <c r="E59" s="156" t="s">
        <v>126</v>
      </c>
      <c r="F59" s="39">
        <f>1369.1+18.3+49.5</f>
        <v>1436.8999999999999</v>
      </c>
      <c r="G59" s="39">
        <v>1402.9</v>
      </c>
      <c r="H59" s="99">
        <f t="shared" si="0"/>
        <v>97.6</v>
      </c>
    </row>
    <row r="60" spans="1:8" ht="38.25">
      <c r="A60" s="16" t="s">
        <v>136</v>
      </c>
      <c r="B60" s="16" t="s">
        <v>144</v>
      </c>
      <c r="C60" s="80" t="s">
        <v>49</v>
      </c>
      <c r="D60" s="85" t="s">
        <v>314</v>
      </c>
      <c r="E60" s="102" t="s">
        <v>315</v>
      </c>
      <c r="F60" s="39">
        <f>65.5-18.3</f>
        <v>47.2</v>
      </c>
      <c r="G60" s="39">
        <v>47.2</v>
      </c>
      <c r="H60" s="99">
        <f t="shared" si="0"/>
        <v>100</v>
      </c>
    </row>
    <row r="61" spans="1:8" ht="14.25">
      <c r="A61" s="35" t="s">
        <v>136</v>
      </c>
      <c r="B61" s="35" t="s">
        <v>150</v>
      </c>
      <c r="C61" s="35"/>
      <c r="D61" s="35"/>
      <c r="E61" s="27" t="s">
        <v>5</v>
      </c>
      <c r="F61" s="42">
        <f t="shared" ref="F61:G63" si="3">F62</f>
        <v>58.299999999999976</v>
      </c>
      <c r="G61" s="42">
        <f t="shared" si="3"/>
        <v>0</v>
      </c>
      <c r="H61" s="42">
        <f t="shared" si="0"/>
        <v>0</v>
      </c>
    </row>
    <row r="62" spans="1:8" ht="14.25">
      <c r="A62" s="16" t="s">
        <v>136</v>
      </c>
      <c r="B62" s="16" t="s">
        <v>150</v>
      </c>
      <c r="C62" s="80">
        <v>9920000000</v>
      </c>
      <c r="D62" s="35"/>
      <c r="E62" s="162" t="s">
        <v>5</v>
      </c>
      <c r="F62" s="42">
        <f t="shared" si="3"/>
        <v>58.299999999999976</v>
      </c>
      <c r="G62" s="42">
        <f t="shared" si="3"/>
        <v>0</v>
      </c>
      <c r="H62" s="99">
        <f t="shared" si="0"/>
        <v>0</v>
      </c>
    </row>
    <row r="63" spans="1:8" ht="16.5" customHeight="1">
      <c r="A63" s="16" t="s">
        <v>136</v>
      </c>
      <c r="B63" s="16" t="s">
        <v>150</v>
      </c>
      <c r="C63" s="80" t="s">
        <v>51</v>
      </c>
      <c r="D63" s="21"/>
      <c r="E63" s="22" t="s">
        <v>13</v>
      </c>
      <c r="F63" s="39">
        <f t="shared" si="3"/>
        <v>58.299999999999976</v>
      </c>
      <c r="G63" s="39">
        <f t="shared" si="3"/>
        <v>0</v>
      </c>
      <c r="H63" s="99">
        <f t="shared" si="0"/>
        <v>0</v>
      </c>
    </row>
    <row r="64" spans="1:8">
      <c r="A64" s="16" t="s">
        <v>136</v>
      </c>
      <c r="B64" s="16" t="s">
        <v>150</v>
      </c>
      <c r="C64" s="80" t="s">
        <v>51</v>
      </c>
      <c r="D64" s="16" t="s">
        <v>132</v>
      </c>
      <c r="E64" s="102" t="s">
        <v>133</v>
      </c>
      <c r="F64" s="39">
        <f>250-165.3-26.4+987-158.6-822.3+328.9-325.9-9.1</f>
        <v>58.299999999999976</v>
      </c>
      <c r="G64" s="39">
        <v>0</v>
      </c>
      <c r="H64" s="99">
        <f t="shared" si="0"/>
        <v>0</v>
      </c>
    </row>
    <row r="65" spans="1:8" s="32" customFormat="1" ht="14.25">
      <c r="A65" s="30" t="s">
        <v>136</v>
      </c>
      <c r="B65" s="30" t="s">
        <v>9</v>
      </c>
      <c r="C65" s="33"/>
      <c r="D65" s="33"/>
      <c r="E65" s="45" t="s">
        <v>145</v>
      </c>
      <c r="F65" s="40">
        <f>F66+F79+F91+F99</f>
        <v>63243.600000000006</v>
      </c>
      <c r="G65" s="40">
        <f>G66+G79+G91+G99</f>
        <v>59900.5</v>
      </c>
      <c r="H65" s="42">
        <f t="shared" si="0"/>
        <v>94.7</v>
      </c>
    </row>
    <row r="66" spans="1:8" s="32" customFormat="1" ht="51">
      <c r="A66" s="16" t="s">
        <v>136</v>
      </c>
      <c r="B66" s="16" t="s">
        <v>9</v>
      </c>
      <c r="C66" s="73" t="s">
        <v>111</v>
      </c>
      <c r="D66" s="16"/>
      <c r="E66" s="53" t="s">
        <v>544</v>
      </c>
      <c r="F66" s="100">
        <f>F67</f>
        <v>14698.800000000001</v>
      </c>
      <c r="G66" s="100">
        <f>G67</f>
        <v>12708.199999999999</v>
      </c>
      <c r="H66" s="62">
        <f t="shared" si="0"/>
        <v>86.5</v>
      </c>
    </row>
    <row r="67" spans="1:8" s="32" customFormat="1" ht="25.5">
      <c r="A67" s="16" t="s">
        <v>136</v>
      </c>
      <c r="B67" s="16" t="s">
        <v>9</v>
      </c>
      <c r="C67" s="52" t="s">
        <v>112</v>
      </c>
      <c r="D67" s="16"/>
      <c r="E67" s="48" t="s">
        <v>219</v>
      </c>
      <c r="F67" s="98">
        <f>F68+F70+F72+F74+F77</f>
        <v>14698.800000000001</v>
      </c>
      <c r="G67" s="98">
        <f>G68+G70+G72+G74+G77</f>
        <v>12708.199999999999</v>
      </c>
      <c r="H67" s="58">
        <f t="shared" si="0"/>
        <v>86.5</v>
      </c>
    </row>
    <row r="68" spans="1:8" s="32" customFormat="1" ht="38.25">
      <c r="A68" s="16" t="s">
        <v>136</v>
      </c>
      <c r="B68" s="16" t="s">
        <v>9</v>
      </c>
      <c r="C68" s="85" t="s">
        <v>221</v>
      </c>
      <c r="D68" s="16"/>
      <c r="E68" s="101" t="s">
        <v>220</v>
      </c>
      <c r="F68" s="41">
        <f>F69</f>
        <v>245.3</v>
      </c>
      <c r="G68" s="41">
        <f>G69</f>
        <v>245.3</v>
      </c>
      <c r="H68" s="99">
        <f t="shared" si="0"/>
        <v>100</v>
      </c>
    </row>
    <row r="69" spans="1:8" s="32" customFormat="1" ht="38.25">
      <c r="A69" s="16" t="s">
        <v>136</v>
      </c>
      <c r="B69" s="16" t="s">
        <v>9</v>
      </c>
      <c r="C69" s="85" t="s">
        <v>221</v>
      </c>
      <c r="D69" s="85" t="s">
        <v>314</v>
      </c>
      <c r="E69" s="102" t="s">
        <v>315</v>
      </c>
      <c r="F69" s="41">
        <f>250-4.7</f>
        <v>245.3</v>
      </c>
      <c r="G69" s="41">
        <f>250-4.7</f>
        <v>245.3</v>
      </c>
      <c r="H69" s="99">
        <f t="shared" si="0"/>
        <v>100</v>
      </c>
    </row>
    <row r="70" spans="1:8" s="32" customFormat="1" ht="51">
      <c r="A70" s="16" t="s">
        <v>136</v>
      </c>
      <c r="B70" s="16" t="s">
        <v>9</v>
      </c>
      <c r="C70" s="74" t="s">
        <v>113</v>
      </c>
      <c r="D70" s="16"/>
      <c r="E70" s="101" t="s">
        <v>222</v>
      </c>
      <c r="F70" s="41">
        <f>F71</f>
        <v>194.5</v>
      </c>
      <c r="G70" s="41">
        <f t="shared" ref="G70" si="4">G71</f>
        <v>194.5</v>
      </c>
      <c r="H70" s="99">
        <f t="shared" si="0"/>
        <v>100</v>
      </c>
    </row>
    <row r="71" spans="1:8" s="32" customFormat="1" ht="38.25">
      <c r="A71" s="16" t="s">
        <v>136</v>
      </c>
      <c r="B71" s="16" t="s">
        <v>9</v>
      </c>
      <c r="C71" s="74" t="s">
        <v>113</v>
      </c>
      <c r="D71" s="85" t="s">
        <v>314</v>
      </c>
      <c r="E71" s="102" t="s">
        <v>315</v>
      </c>
      <c r="F71" s="41">
        <f>100+54.1+40.4</f>
        <v>194.5</v>
      </c>
      <c r="G71" s="41">
        <f>100+54.1+40.4</f>
        <v>194.5</v>
      </c>
      <c r="H71" s="99">
        <f t="shared" si="0"/>
        <v>100</v>
      </c>
    </row>
    <row r="72" spans="1:8" s="32" customFormat="1" ht="76.5">
      <c r="A72" s="16" t="s">
        <v>136</v>
      </c>
      <c r="B72" s="16" t="s">
        <v>9</v>
      </c>
      <c r="C72" s="74" t="s">
        <v>114</v>
      </c>
      <c r="D72" s="16"/>
      <c r="E72" s="101" t="s">
        <v>223</v>
      </c>
      <c r="F72" s="41">
        <f>F73</f>
        <v>309.5</v>
      </c>
      <c r="G72" s="41">
        <f t="shared" ref="G72" si="5">G73</f>
        <v>278</v>
      </c>
      <c r="H72" s="99">
        <f t="shared" si="0"/>
        <v>89.8</v>
      </c>
    </row>
    <row r="73" spans="1:8" s="32" customFormat="1" ht="38.25">
      <c r="A73" s="16" t="s">
        <v>136</v>
      </c>
      <c r="B73" s="16" t="s">
        <v>9</v>
      </c>
      <c r="C73" s="74" t="s">
        <v>114</v>
      </c>
      <c r="D73" s="85" t="s">
        <v>314</v>
      </c>
      <c r="E73" s="102" t="s">
        <v>315</v>
      </c>
      <c r="F73" s="41">
        <f>310-0.5</f>
        <v>309.5</v>
      </c>
      <c r="G73" s="41">
        <v>278</v>
      </c>
      <c r="H73" s="99">
        <f t="shared" si="0"/>
        <v>89.8</v>
      </c>
    </row>
    <row r="74" spans="1:8" s="32" customFormat="1" ht="38.25">
      <c r="A74" s="16" t="s">
        <v>136</v>
      </c>
      <c r="B74" s="16" t="s">
        <v>9</v>
      </c>
      <c r="C74" s="74" t="s">
        <v>115</v>
      </c>
      <c r="D74" s="16"/>
      <c r="E74" s="101" t="s">
        <v>224</v>
      </c>
      <c r="F74" s="41">
        <f>SUM(F75:F76)</f>
        <v>11449.500000000002</v>
      </c>
      <c r="G74" s="41">
        <f>SUM(G75:G76)</f>
        <v>9490.4</v>
      </c>
      <c r="H74" s="99">
        <f t="shared" si="0"/>
        <v>82.9</v>
      </c>
    </row>
    <row r="75" spans="1:8" s="32" customFormat="1" ht="38.25">
      <c r="A75" s="16" t="s">
        <v>136</v>
      </c>
      <c r="B75" s="16" t="s">
        <v>9</v>
      </c>
      <c r="C75" s="74" t="s">
        <v>115</v>
      </c>
      <c r="D75" s="85" t="s">
        <v>314</v>
      </c>
      <c r="E75" s="102" t="s">
        <v>315</v>
      </c>
      <c r="F75" s="41">
        <f>3928+123.9-99.2+577+1749.2+1560-98.2-22.4+300+1188.7-37.8+2257.9</f>
        <v>11427.100000000002</v>
      </c>
      <c r="G75" s="41">
        <v>9468</v>
      </c>
      <c r="H75" s="99">
        <f t="shared" si="0"/>
        <v>82.9</v>
      </c>
    </row>
    <row r="76" spans="1:8" s="32" customFormat="1" ht="15" customHeight="1">
      <c r="A76" s="16" t="s">
        <v>136</v>
      </c>
      <c r="B76" s="16" t="s">
        <v>9</v>
      </c>
      <c r="C76" s="74" t="s">
        <v>115</v>
      </c>
      <c r="D76" s="84" t="s">
        <v>180</v>
      </c>
      <c r="E76" s="215" t="s">
        <v>181</v>
      </c>
      <c r="F76" s="41">
        <v>22.4</v>
      </c>
      <c r="G76" s="41">
        <v>22.4</v>
      </c>
      <c r="H76" s="99">
        <f t="shared" si="0"/>
        <v>100</v>
      </c>
    </row>
    <row r="77" spans="1:8" s="32" customFormat="1" ht="42" customHeight="1">
      <c r="A77" s="85" t="s">
        <v>136</v>
      </c>
      <c r="B77" s="85" t="s">
        <v>9</v>
      </c>
      <c r="C77" s="74" t="s">
        <v>805</v>
      </c>
      <c r="D77" s="84"/>
      <c r="E77" s="102" t="s">
        <v>806</v>
      </c>
      <c r="F77" s="41">
        <f>SUM(F78)</f>
        <v>2500</v>
      </c>
      <c r="G77" s="41">
        <f>SUM(G78)</f>
        <v>2500</v>
      </c>
      <c r="H77" s="99">
        <f t="shared" si="0"/>
        <v>100</v>
      </c>
    </row>
    <row r="78" spans="1:8" s="32" customFormat="1" ht="64.900000000000006" customHeight="1">
      <c r="A78" s="85" t="s">
        <v>136</v>
      </c>
      <c r="B78" s="85" t="s">
        <v>9</v>
      </c>
      <c r="C78" s="74" t="s">
        <v>805</v>
      </c>
      <c r="D78" s="84" t="s">
        <v>15</v>
      </c>
      <c r="E78" s="102" t="s">
        <v>696</v>
      </c>
      <c r="F78" s="41">
        <v>2500</v>
      </c>
      <c r="G78" s="41">
        <v>2500</v>
      </c>
      <c r="H78" s="99">
        <f t="shared" si="0"/>
        <v>100</v>
      </c>
    </row>
    <row r="79" spans="1:8" s="32" customFormat="1" ht="56.25" customHeight="1">
      <c r="A79" s="5" t="s">
        <v>136</v>
      </c>
      <c r="B79" s="5" t="s">
        <v>9</v>
      </c>
      <c r="C79" s="73" t="s">
        <v>196</v>
      </c>
      <c r="D79" s="16"/>
      <c r="E79" s="63" t="s">
        <v>533</v>
      </c>
      <c r="F79" s="100">
        <f>F80</f>
        <v>1023</v>
      </c>
      <c r="G79" s="100">
        <f>G80</f>
        <v>813</v>
      </c>
      <c r="H79" s="62">
        <f t="shared" si="0"/>
        <v>79.5</v>
      </c>
    </row>
    <row r="80" spans="1:8" s="32" customFormat="1" ht="38.25">
      <c r="A80" s="16" t="s">
        <v>136</v>
      </c>
      <c r="B80" s="16" t="s">
        <v>9</v>
      </c>
      <c r="C80" s="21" t="s">
        <v>197</v>
      </c>
      <c r="D80" s="16"/>
      <c r="E80" s="48" t="s">
        <v>198</v>
      </c>
      <c r="F80" s="98">
        <f>F81+F83+F85+F87+F89</f>
        <v>1023</v>
      </c>
      <c r="G80" s="98">
        <f>G81+G83+G85+G87+G89</f>
        <v>813</v>
      </c>
      <c r="H80" s="58">
        <f t="shared" ref="H80:H81" si="6">ROUND((G80/F80*100),1)</f>
        <v>79.5</v>
      </c>
    </row>
    <row r="81" spans="1:8" s="32" customFormat="1" ht="39.75" customHeight="1">
      <c r="A81" s="16" t="s">
        <v>136</v>
      </c>
      <c r="B81" s="16" t="s">
        <v>9</v>
      </c>
      <c r="C81" s="74" t="s">
        <v>313</v>
      </c>
      <c r="D81" s="16"/>
      <c r="E81" s="104" t="s">
        <v>527</v>
      </c>
      <c r="F81" s="39">
        <f>F82</f>
        <v>99</v>
      </c>
      <c r="G81" s="39">
        <f t="shared" ref="G81:G83" si="7">G82</f>
        <v>99</v>
      </c>
      <c r="H81" s="99">
        <f t="shared" si="6"/>
        <v>100</v>
      </c>
    </row>
    <row r="82" spans="1:8" s="32" customFormat="1" ht="38.25">
      <c r="A82" s="16" t="s">
        <v>136</v>
      </c>
      <c r="B82" s="16" t="s">
        <v>9</v>
      </c>
      <c r="C82" s="74" t="s">
        <v>313</v>
      </c>
      <c r="D82" s="85" t="s">
        <v>314</v>
      </c>
      <c r="E82" s="102" t="s">
        <v>315</v>
      </c>
      <c r="F82" s="39">
        <v>99</v>
      </c>
      <c r="G82" s="39">
        <v>99</v>
      </c>
      <c r="H82" s="99">
        <f t="shared" ref="H82:H147" si="8">ROUND((G82/F82*100),1)</f>
        <v>100</v>
      </c>
    </row>
    <row r="83" spans="1:8" s="32" customFormat="1" ht="51">
      <c r="A83" s="16" t="s">
        <v>136</v>
      </c>
      <c r="B83" s="16" t="s">
        <v>9</v>
      </c>
      <c r="C83" s="74" t="s">
        <v>528</v>
      </c>
      <c r="D83" s="16"/>
      <c r="E83" s="104" t="s">
        <v>595</v>
      </c>
      <c r="F83" s="39">
        <f>F84</f>
        <v>510</v>
      </c>
      <c r="G83" s="39">
        <f t="shared" si="7"/>
        <v>510</v>
      </c>
      <c r="H83" s="99">
        <f t="shared" si="8"/>
        <v>100</v>
      </c>
    </row>
    <row r="84" spans="1:8" s="32" customFormat="1" ht="38.25">
      <c r="A84" s="16" t="s">
        <v>136</v>
      </c>
      <c r="B84" s="16" t="s">
        <v>9</v>
      </c>
      <c r="C84" s="74" t="s">
        <v>528</v>
      </c>
      <c r="D84" s="85" t="s">
        <v>314</v>
      </c>
      <c r="E84" s="102" t="s">
        <v>315</v>
      </c>
      <c r="F84" s="39">
        <f>300+210</f>
        <v>510</v>
      </c>
      <c r="G84" s="39">
        <f>300+210</f>
        <v>510</v>
      </c>
      <c r="H84" s="99">
        <f t="shared" si="8"/>
        <v>100</v>
      </c>
    </row>
    <row r="85" spans="1:8" s="32" customFormat="1" ht="37.5" customHeight="1">
      <c r="A85" s="16" t="s">
        <v>136</v>
      </c>
      <c r="B85" s="16" t="s">
        <v>9</v>
      </c>
      <c r="C85" s="74" t="s">
        <v>530</v>
      </c>
      <c r="D85" s="16"/>
      <c r="E85" s="104" t="s">
        <v>529</v>
      </c>
      <c r="F85" s="39">
        <f>F86</f>
        <v>99</v>
      </c>
      <c r="G85" s="41">
        <f t="shared" ref="G85" si="9">G86</f>
        <v>99</v>
      </c>
      <c r="H85" s="99">
        <f t="shared" si="8"/>
        <v>100</v>
      </c>
    </row>
    <row r="86" spans="1:8" s="32" customFormat="1" ht="38.25">
      <c r="A86" s="16" t="s">
        <v>136</v>
      </c>
      <c r="B86" s="16" t="s">
        <v>9</v>
      </c>
      <c r="C86" s="74" t="s">
        <v>530</v>
      </c>
      <c r="D86" s="85" t="s">
        <v>314</v>
      </c>
      <c r="E86" s="102" t="s">
        <v>315</v>
      </c>
      <c r="F86" s="39">
        <v>99</v>
      </c>
      <c r="G86" s="39">
        <v>99</v>
      </c>
      <c r="H86" s="99">
        <f t="shared" si="8"/>
        <v>100</v>
      </c>
    </row>
    <row r="87" spans="1:8" s="32" customFormat="1" ht="63.75">
      <c r="A87" s="16" t="s">
        <v>136</v>
      </c>
      <c r="B87" s="16" t="s">
        <v>9</v>
      </c>
      <c r="C87" s="74" t="s">
        <v>531</v>
      </c>
      <c r="D87" s="16"/>
      <c r="E87" s="104" t="s">
        <v>596</v>
      </c>
      <c r="F87" s="39">
        <f>F88</f>
        <v>210</v>
      </c>
      <c r="G87" s="39">
        <f>G88</f>
        <v>0</v>
      </c>
      <c r="H87" s="99">
        <f t="shared" si="8"/>
        <v>0</v>
      </c>
    </row>
    <row r="88" spans="1:8" s="32" customFormat="1" ht="38.25">
      <c r="A88" s="16" t="s">
        <v>136</v>
      </c>
      <c r="B88" s="16" t="s">
        <v>9</v>
      </c>
      <c r="C88" s="74" t="s">
        <v>531</v>
      </c>
      <c r="D88" s="85" t="s">
        <v>314</v>
      </c>
      <c r="E88" s="102" t="s">
        <v>315</v>
      </c>
      <c r="F88" s="39">
        <f>1950.9-1740.9</f>
        <v>210</v>
      </c>
      <c r="G88" s="39">
        <v>0</v>
      </c>
      <c r="H88" s="99">
        <f t="shared" si="8"/>
        <v>0</v>
      </c>
    </row>
    <row r="89" spans="1:8" s="32" customFormat="1" ht="38.25">
      <c r="A89" s="16" t="s">
        <v>136</v>
      </c>
      <c r="B89" s="16" t="s">
        <v>9</v>
      </c>
      <c r="C89" s="74" t="s">
        <v>646</v>
      </c>
      <c r="D89" s="16"/>
      <c r="E89" s="102" t="s">
        <v>647</v>
      </c>
      <c r="F89" s="41">
        <f>F90</f>
        <v>105</v>
      </c>
      <c r="G89" s="41">
        <f>G90</f>
        <v>105</v>
      </c>
      <c r="H89" s="99">
        <f t="shared" si="8"/>
        <v>100</v>
      </c>
    </row>
    <row r="90" spans="1:8" s="32" customFormat="1" ht="38.25">
      <c r="A90" s="16" t="s">
        <v>136</v>
      </c>
      <c r="B90" s="16" t="s">
        <v>9</v>
      </c>
      <c r="C90" s="74" t="s">
        <v>646</v>
      </c>
      <c r="D90" s="85" t="s">
        <v>314</v>
      </c>
      <c r="E90" s="102" t="s">
        <v>315</v>
      </c>
      <c r="F90" s="41">
        <v>105</v>
      </c>
      <c r="G90" s="41">
        <v>105</v>
      </c>
      <c r="H90" s="99">
        <f t="shared" si="8"/>
        <v>100</v>
      </c>
    </row>
    <row r="91" spans="1:8" s="32" customFormat="1" ht="51">
      <c r="A91" s="5" t="s">
        <v>136</v>
      </c>
      <c r="B91" s="5" t="s">
        <v>9</v>
      </c>
      <c r="C91" s="73" t="s">
        <v>85</v>
      </c>
      <c r="D91" s="16"/>
      <c r="E91" s="53" t="s">
        <v>541</v>
      </c>
      <c r="F91" s="124">
        <f>F92</f>
        <v>1028.2</v>
      </c>
      <c r="G91" s="124">
        <f t="shared" ref="G91" si="10">G92</f>
        <v>942.59999999999991</v>
      </c>
      <c r="H91" s="62">
        <f t="shared" si="8"/>
        <v>91.7</v>
      </c>
    </row>
    <row r="92" spans="1:8" s="32" customFormat="1" ht="51" customHeight="1">
      <c r="A92" s="16" t="s">
        <v>136</v>
      </c>
      <c r="B92" s="16" t="s">
        <v>9</v>
      </c>
      <c r="C92" s="52" t="s">
        <v>671</v>
      </c>
      <c r="D92" s="16"/>
      <c r="E92" s="60" t="s">
        <v>672</v>
      </c>
      <c r="F92" s="98">
        <f>F93+F95+F97</f>
        <v>1028.2</v>
      </c>
      <c r="G92" s="98">
        <f t="shared" ref="G92" si="11">G93+G95+G97</f>
        <v>942.59999999999991</v>
      </c>
      <c r="H92" s="58">
        <f t="shared" si="8"/>
        <v>91.7</v>
      </c>
    </row>
    <row r="93" spans="1:8" s="32" customFormat="1" ht="52.5" customHeight="1">
      <c r="A93" s="16" t="s">
        <v>136</v>
      </c>
      <c r="B93" s="16" t="s">
        <v>9</v>
      </c>
      <c r="C93" s="21" t="s">
        <v>678</v>
      </c>
      <c r="D93" s="85"/>
      <c r="E93" s="102" t="s">
        <v>668</v>
      </c>
      <c r="F93" s="41">
        <f>F94</f>
        <v>532.50000000000011</v>
      </c>
      <c r="G93" s="41">
        <f>G94</f>
        <v>528.4</v>
      </c>
      <c r="H93" s="99">
        <f t="shared" si="8"/>
        <v>99.2</v>
      </c>
    </row>
    <row r="94" spans="1:8" s="32" customFormat="1" ht="38.25">
      <c r="A94" s="16" t="s">
        <v>136</v>
      </c>
      <c r="B94" s="16" t="s">
        <v>9</v>
      </c>
      <c r="C94" s="21" t="s">
        <v>678</v>
      </c>
      <c r="D94" s="85" t="s">
        <v>314</v>
      </c>
      <c r="E94" s="102" t="s">
        <v>315</v>
      </c>
      <c r="F94" s="41">
        <f>135+362.7+113-82.8-1.1+5.7</f>
        <v>532.50000000000011</v>
      </c>
      <c r="G94" s="39">
        <v>528.4</v>
      </c>
      <c r="H94" s="99">
        <f t="shared" si="8"/>
        <v>99.2</v>
      </c>
    </row>
    <row r="95" spans="1:8" s="32" customFormat="1" ht="64.5" customHeight="1">
      <c r="A95" s="16" t="s">
        <v>136</v>
      </c>
      <c r="B95" s="16" t="s">
        <v>9</v>
      </c>
      <c r="C95" s="21" t="s">
        <v>746</v>
      </c>
      <c r="D95" s="85"/>
      <c r="E95" s="102" t="s">
        <v>747</v>
      </c>
      <c r="F95" s="41">
        <f>F96</f>
        <v>10</v>
      </c>
      <c r="G95" s="41">
        <f>G96</f>
        <v>8.4</v>
      </c>
      <c r="H95" s="99">
        <f t="shared" si="8"/>
        <v>84</v>
      </c>
    </row>
    <row r="96" spans="1:8" s="32" customFormat="1" ht="38.25">
      <c r="A96" s="16" t="s">
        <v>136</v>
      </c>
      <c r="B96" s="16" t="s">
        <v>9</v>
      </c>
      <c r="C96" s="21" t="s">
        <v>746</v>
      </c>
      <c r="D96" s="85" t="s">
        <v>314</v>
      </c>
      <c r="E96" s="102" t="s">
        <v>315</v>
      </c>
      <c r="F96" s="41">
        <f>8.4+1.6</f>
        <v>10</v>
      </c>
      <c r="G96" s="41">
        <v>8.4</v>
      </c>
      <c r="H96" s="99">
        <f t="shared" si="8"/>
        <v>84</v>
      </c>
    </row>
    <row r="97" spans="1:8" s="32" customFormat="1" ht="39" customHeight="1">
      <c r="A97" s="16" t="s">
        <v>136</v>
      </c>
      <c r="B97" s="16" t="s">
        <v>9</v>
      </c>
      <c r="C97" s="21" t="s">
        <v>759</v>
      </c>
      <c r="D97" s="85"/>
      <c r="E97" s="160" t="s">
        <v>758</v>
      </c>
      <c r="F97" s="41">
        <f>F98</f>
        <v>485.7</v>
      </c>
      <c r="G97" s="41">
        <f>G98</f>
        <v>405.8</v>
      </c>
      <c r="H97" s="99">
        <f t="shared" si="8"/>
        <v>83.5</v>
      </c>
    </row>
    <row r="98" spans="1:8" s="32" customFormat="1" ht="38.25">
      <c r="A98" s="16" t="s">
        <v>136</v>
      </c>
      <c r="B98" s="16" t="s">
        <v>9</v>
      </c>
      <c r="C98" s="21" t="s">
        <v>759</v>
      </c>
      <c r="D98" s="85" t="s">
        <v>314</v>
      </c>
      <c r="E98" s="102" t="s">
        <v>315</v>
      </c>
      <c r="F98" s="41">
        <v>485.7</v>
      </c>
      <c r="G98" s="39">
        <v>405.8</v>
      </c>
      <c r="H98" s="99">
        <f t="shared" si="8"/>
        <v>83.5</v>
      </c>
    </row>
    <row r="99" spans="1:8" s="32" customFormat="1" ht="25.5">
      <c r="A99" s="5" t="s">
        <v>136</v>
      </c>
      <c r="B99" s="5" t="s">
        <v>9</v>
      </c>
      <c r="C99" s="87">
        <v>9900000000</v>
      </c>
      <c r="D99" s="5"/>
      <c r="E99" s="88" t="s">
        <v>194</v>
      </c>
      <c r="F99" s="100">
        <f>F100+F103+F121+F107+F131</f>
        <v>46493.600000000006</v>
      </c>
      <c r="G99" s="100">
        <f t="shared" ref="G99" si="12">G100+G103+G121+G107+G131</f>
        <v>45436.7</v>
      </c>
      <c r="H99" s="62">
        <f t="shared" si="8"/>
        <v>97.7</v>
      </c>
    </row>
    <row r="100" spans="1:8" s="32" customFormat="1" ht="15.75" customHeight="1">
      <c r="A100" s="16" t="s">
        <v>136</v>
      </c>
      <c r="B100" s="16" t="s">
        <v>9</v>
      </c>
      <c r="C100" s="80">
        <v>9920000000</v>
      </c>
      <c r="D100" s="35"/>
      <c r="E100" s="162" t="s">
        <v>5</v>
      </c>
      <c r="F100" s="99">
        <f t="shared" ref="F100:G101" si="13">F101</f>
        <v>1507.6</v>
      </c>
      <c r="G100" s="99">
        <f t="shared" si="13"/>
        <v>1348.9</v>
      </c>
      <c r="H100" s="99">
        <f t="shared" si="8"/>
        <v>89.5</v>
      </c>
    </row>
    <row r="101" spans="1:8" s="32" customFormat="1" ht="17.25" customHeight="1">
      <c r="A101" s="16" t="s">
        <v>136</v>
      </c>
      <c r="B101" s="16" t="s">
        <v>9</v>
      </c>
      <c r="C101" s="80" t="s">
        <v>51</v>
      </c>
      <c r="D101" s="21"/>
      <c r="E101" s="104" t="s">
        <v>13</v>
      </c>
      <c r="F101" s="39">
        <f t="shared" si="13"/>
        <v>1507.6</v>
      </c>
      <c r="G101" s="39">
        <f t="shared" si="13"/>
        <v>1348.9</v>
      </c>
      <c r="H101" s="99">
        <f t="shared" si="8"/>
        <v>89.5</v>
      </c>
    </row>
    <row r="102" spans="1:8" s="32" customFormat="1" ht="38.25">
      <c r="A102" s="16" t="s">
        <v>136</v>
      </c>
      <c r="B102" s="16" t="s">
        <v>9</v>
      </c>
      <c r="C102" s="80" t="s">
        <v>51</v>
      </c>
      <c r="D102" s="85" t="s">
        <v>314</v>
      </c>
      <c r="E102" s="102" t="s">
        <v>315</v>
      </c>
      <c r="F102" s="39">
        <f>165.3+26.4+158.5+214.9+607.5+325.9+9.1</f>
        <v>1507.6</v>
      </c>
      <c r="G102" s="41">
        <v>1348.9</v>
      </c>
      <c r="H102" s="99">
        <f t="shared" si="8"/>
        <v>89.5</v>
      </c>
    </row>
    <row r="103" spans="1:8" s="32" customFormat="1" ht="25.5">
      <c r="A103" s="16" t="s">
        <v>136</v>
      </c>
      <c r="B103" s="16" t="s">
        <v>9</v>
      </c>
      <c r="C103" s="80">
        <v>9930000000</v>
      </c>
      <c r="D103" s="16"/>
      <c r="E103" s="22" t="s">
        <v>55</v>
      </c>
      <c r="F103" s="39">
        <f>F104</f>
        <v>198</v>
      </c>
      <c r="G103" s="39">
        <f>G104</f>
        <v>176</v>
      </c>
      <c r="H103" s="99">
        <f t="shared" si="8"/>
        <v>88.9</v>
      </c>
    </row>
    <row r="104" spans="1:8" s="32" customFormat="1" ht="38.25">
      <c r="A104" s="16" t="s">
        <v>136</v>
      </c>
      <c r="B104" s="16" t="s">
        <v>9</v>
      </c>
      <c r="C104" s="80">
        <v>9930010540</v>
      </c>
      <c r="D104" s="16"/>
      <c r="E104" s="104" t="s">
        <v>21</v>
      </c>
      <c r="F104" s="39">
        <f>F105+F106</f>
        <v>198</v>
      </c>
      <c r="G104" s="39">
        <f>G105+G106</f>
        <v>176</v>
      </c>
      <c r="H104" s="99">
        <f t="shared" si="8"/>
        <v>88.9</v>
      </c>
    </row>
    <row r="105" spans="1:8" s="32" customFormat="1" ht="25.5">
      <c r="A105" s="16" t="s">
        <v>136</v>
      </c>
      <c r="B105" s="16" t="s">
        <v>9</v>
      </c>
      <c r="C105" s="80">
        <v>9930010540</v>
      </c>
      <c r="D105" s="16" t="s">
        <v>102</v>
      </c>
      <c r="E105" s="107" t="s">
        <v>103</v>
      </c>
      <c r="F105" s="39">
        <v>171.3</v>
      </c>
      <c r="G105" s="41">
        <v>149.30000000000001</v>
      </c>
      <c r="H105" s="99">
        <f t="shared" si="8"/>
        <v>87.2</v>
      </c>
    </row>
    <row r="106" spans="1:8" s="32" customFormat="1" ht="38.25">
      <c r="A106" s="16" t="s">
        <v>136</v>
      </c>
      <c r="B106" s="16" t="s">
        <v>9</v>
      </c>
      <c r="C106" s="80">
        <v>9930010540</v>
      </c>
      <c r="D106" s="85" t="s">
        <v>314</v>
      </c>
      <c r="E106" s="102" t="s">
        <v>315</v>
      </c>
      <c r="F106" s="39">
        <v>26.7</v>
      </c>
      <c r="G106" s="39">
        <v>26.7</v>
      </c>
      <c r="H106" s="99">
        <f t="shared" si="8"/>
        <v>100</v>
      </c>
    </row>
    <row r="107" spans="1:8" s="32" customFormat="1" ht="25.5">
      <c r="A107" s="16" t="s">
        <v>136</v>
      </c>
      <c r="B107" s="16" t="s">
        <v>9</v>
      </c>
      <c r="C107" s="16" t="s">
        <v>31</v>
      </c>
      <c r="D107" s="16"/>
      <c r="E107" s="104" t="s">
        <v>53</v>
      </c>
      <c r="F107" s="39">
        <f>F108+F113+F118+F119</f>
        <v>20674.2</v>
      </c>
      <c r="G107" s="39">
        <f>G108+G113+G118+G119</f>
        <v>20540.8</v>
      </c>
      <c r="H107" s="99">
        <f t="shared" si="8"/>
        <v>99.4</v>
      </c>
    </row>
    <row r="108" spans="1:8" s="32" customFormat="1" ht="25.5">
      <c r="A108" s="16" t="s">
        <v>136</v>
      </c>
      <c r="B108" s="16" t="s">
        <v>9</v>
      </c>
      <c r="C108" s="84" t="s">
        <v>286</v>
      </c>
      <c r="D108" s="16"/>
      <c r="E108" s="104" t="s">
        <v>54</v>
      </c>
      <c r="F108" s="39">
        <f>SUM(F109:F112)</f>
        <v>7956.6</v>
      </c>
      <c r="G108" s="39">
        <f>SUM(G109:G112)</f>
        <v>7823.4000000000005</v>
      </c>
      <c r="H108" s="99">
        <f t="shared" si="8"/>
        <v>98.3</v>
      </c>
    </row>
    <row r="109" spans="1:8" s="32" customFormat="1" ht="38.25">
      <c r="A109" s="16" t="s">
        <v>136</v>
      </c>
      <c r="B109" s="16" t="s">
        <v>9</v>
      </c>
      <c r="C109" s="84" t="s">
        <v>286</v>
      </c>
      <c r="D109" s="85" t="s">
        <v>314</v>
      </c>
      <c r="E109" s="102" t="s">
        <v>315</v>
      </c>
      <c r="F109" s="39">
        <v>241</v>
      </c>
      <c r="G109" s="118">
        <v>189.9</v>
      </c>
      <c r="H109" s="99">
        <f t="shared" si="8"/>
        <v>78.8</v>
      </c>
    </row>
    <row r="110" spans="1:8" s="32" customFormat="1" ht="14.25">
      <c r="A110" s="16" t="s">
        <v>136</v>
      </c>
      <c r="B110" s="16" t="s">
        <v>9</v>
      </c>
      <c r="C110" s="84" t="s">
        <v>286</v>
      </c>
      <c r="D110" s="16" t="s">
        <v>129</v>
      </c>
      <c r="E110" s="102" t="s">
        <v>130</v>
      </c>
      <c r="F110" s="39">
        <f>359-39.6</f>
        <v>319.39999999999998</v>
      </c>
      <c r="G110" s="39">
        <v>243.3</v>
      </c>
      <c r="H110" s="99">
        <f t="shared" si="8"/>
        <v>76.2</v>
      </c>
    </row>
    <row r="111" spans="1:8" s="32" customFormat="1" ht="14.25">
      <c r="A111" s="16" t="s">
        <v>136</v>
      </c>
      <c r="B111" s="16" t="s">
        <v>9</v>
      </c>
      <c r="C111" s="84" t="s">
        <v>286</v>
      </c>
      <c r="D111" s="85" t="s">
        <v>466</v>
      </c>
      <c r="E111" s="102" t="s">
        <v>467</v>
      </c>
      <c r="F111" s="39">
        <f>19.6+21.5+6+766.2+383.3</f>
        <v>1196.6000000000001</v>
      </c>
      <c r="G111" s="39">
        <f>19.6+21.5+6+766.2+383.3</f>
        <v>1196.6000000000001</v>
      </c>
      <c r="H111" s="99">
        <f t="shared" si="8"/>
        <v>100</v>
      </c>
    </row>
    <row r="112" spans="1:8" s="32" customFormat="1" ht="15" customHeight="1">
      <c r="A112" s="16" t="s">
        <v>136</v>
      </c>
      <c r="B112" s="16" t="s">
        <v>9</v>
      </c>
      <c r="C112" s="84" t="s">
        <v>286</v>
      </c>
      <c r="D112" s="84" t="s">
        <v>180</v>
      </c>
      <c r="E112" s="102" t="s">
        <v>181</v>
      </c>
      <c r="F112" s="39">
        <f>602-400+4328.7+28.7+900.7+92.1+607.8+39.6</f>
        <v>6199.6</v>
      </c>
      <c r="G112" s="39">
        <v>6193.6</v>
      </c>
      <c r="H112" s="99">
        <f t="shared" si="8"/>
        <v>99.9</v>
      </c>
    </row>
    <row r="113" spans="1:8" s="32" customFormat="1" ht="24" customHeight="1">
      <c r="A113" s="16" t="s">
        <v>136</v>
      </c>
      <c r="B113" s="16" t="s">
        <v>9</v>
      </c>
      <c r="C113" s="85" t="s">
        <v>488</v>
      </c>
      <c r="D113" s="16"/>
      <c r="E113" s="54" t="s">
        <v>468</v>
      </c>
      <c r="F113" s="39">
        <f>SUM(F114:F116)</f>
        <v>3529.2000000000003</v>
      </c>
      <c r="G113" s="39">
        <f>SUM(G114:G116)</f>
        <v>3529.2000000000003</v>
      </c>
      <c r="H113" s="99">
        <f t="shared" si="8"/>
        <v>100</v>
      </c>
    </row>
    <row r="114" spans="1:8" s="32" customFormat="1" ht="38.25" customHeight="1">
      <c r="A114" s="16" t="s">
        <v>136</v>
      </c>
      <c r="B114" s="16" t="s">
        <v>9</v>
      </c>
      <c r="C114" s="85" t="s">
        <v>488</v>
      </c>
      <c r="D114" s="85" t="s">
        <v>314</v>
      </c>
      <c r="E114" s="102" t="s">
        <v>315</v>
      </c>
      <c r="F114" s="39">
        <f>76.4-9.1</f>
        <v>67.300000000000011</v>
      </c>
      <c r="G114" s="39">
        <v>67.3</v>
      </c>
      <c r="H114" s="99">
        <f t="shared" si="8"/>
        <v>100</v>
      </c>
    </row>
    <row r="115" spans="1:8" s="32" customFormat="1" ht="13.5" customHeight="1">
      <c r="A115" s="16" t="s">
        <v>136</v>
      </c>
      <c r="B115" s="16" t="s">
        <v>9</v>
      </c>
      <c r="C115" s="85" t="s">
        <v>488</v>
      </c>
      <c r="D115" s="85" t="s">
        <v>466</v>
      </c>
      <c r="E115" s="102" t="s">
        <v>467</v>
      </c>
      <c r="F115" s="39">
        <f>28.1</f>
        <v>28.1</v>
      </c>
      <c r="G115" s="39">
        <f>28.1</f>
        <v>28.1</v>
      </c>
      <c r="H115" s="99">
        <f t="shared" si="8"/>
        <v>100</v>
      </c>
    </row>
    <row r="116" spans="1:8" s="32" customFormat="1" ht="15" customHeight="1">
      <c r="A116" s="16" t="s">
        <v>136</v>
      </c>
      <c r="B116" s="16" t="s">
        <v>9</v>
      </c>
      <c r="C116" s="85" t="s">
        <v>488</v>
      </c>
      <c r="D116" s="84" t="s">
        <v>180</v>
      </c>
      <c r="E116" s="102" t="s">
        <v>181</v>
      </c>
      <c r="F116" s="39">
        <f>400+100+2991.2-28.7-28.7</f>
        <v>3433.8</v>
      </c>
      <c r="G116" s="39">
        <f>400+100+2991.2-28.7-28.7</f>
        <v>3433.8</v>
      </c>
      <c r="H116" s="99">
        <f t="shared" si="8"/>
        <v>100</v>
      </c>
    </row>
    <row r="117" spans="1:8" s="32" customFormat="1" ht="15.75" customHeight="1">
      <c r="A117" s="16" t="s">
        <v>136</v>
      </c>
      <c r="B117" s="16" t="s">
        <v>9</v>
      </c>
      <c r="C117" s="85" t="s">
        <v>783</v>
      </c>
      <c r="D117" s="84"/>
      <c r="E117" s="102" t="s">
        <v>780</v>
      </c>
      <c r="F117" s="39">
        <f>F118</f>
        <v>9178.4</v>
      </c>
      <c r="G117" s="39">
        <f>G118</f>
        <v>9178.4</v>
      </c>
      <c r="H117" s="99">
        <f t="shared" si="8"/>
        <v>100</v>
      </c>
    </row>
    <row r="118" spans="1:8" s="32" customFormat="1" ht="63.75" customHeight="1">
      <c r="A118" s="16" t="s">
        <v>136</v>
      </c>
      <c r="B118" s="16" t="s">
        <v>9</v>
      </c>
      <c r="C118" s="85" t="s">
        <v>783</v>
      </c>
      <c r="D118" s="16" t="s">
        <v>15</v>
      </c>
      <c r="E118" s="102" t="s">
        <v>696</v>
      </c>
      <c r="F118" s="39">
        <f>300+5954.9+328+2595.5+2500-2500</f>
        <v>9178.4</v>
      </c>
      <c r="G118" s="39">
        <f>300+5954.9+328+2595.5+2500-2500</f>
        <v>9178.4</v>
      </c>
      <c r="H118" s="99">
        <f t="shared" si="8"/>
        <v>100</v>
      </c>
    </row>
    <row r="119" spans="1:8" s="32" customFormat="1" ht="36.75" customHeight="1">
      <c r="A119" s="16" t="s">
        <v>136</v>
      </c>
      <c r="B119" s="16" t="s">
        <v>9</v>
      </c>
      <c r="C119" s="85" t="s">
        <v>589</v>
      </c>
      <c r="D119" s="16"/>
      <c r="E119" s="54" t="s">
        <v>590</v>
      </c>
      <c r="F119" s="41">
        <f>SUM(F120:F120)</f>
        <v>10</v>
      </c>
      <c r="G119" s="41">
        <f>SUM(G120:G120)</f>
        <v>9.8000000000000007</v>
      </c>
      <c r="H119" s="99">
        <f t="shared" si="8"/>
        <v>98</v>
      </c>
    </row>
    <row r="120" spans="1:8" s="32" customFormat="1" ht="39.75" customHeight="1">
      <c r="A120" s="16" t="s">
        <v>136</v>
      </c>
      <c r="B120" s="16" t="s">
        <v>9</v>
      </c>
      <c r="C120" s="85" t="s">
        <v>589</v>
      </c>
      <c r="D120" s="85" t="s">
        <v>314</v>
      </c>
      <c r="E120" s="102" t="s">
        <v>315</v>
      </c>
      <c r="F120" s="41">
        <v>10</v>
      </c>
      <c r="G120" s="39">
        <v>9.8000000000000007</v>
      </c>
      <c r="H120" s="99">
        <f t="shared" si="8"/>
        <v>98</v>
      </c>
    </row>
    <row r="121" spans="1:8" s="32" customFormat="1" ht="25.5">
      <c r="A121" s="16" t="s">
        <v>136</v>
      </c>
      <c r="B121" s="16" t="s">
        <v>9</v>
      </c>
      <c r="C121" s="85" t="s">
        <v>283</v>
      </c>
      <c r="D121" s="16"/>
      <c r="E121" s="104" t="s">
        <v>284</v>
      </c>
      <c r="F121" s="39">
        <f>F122+F126</f>
        <v>23613.5</v>
      </c>
      <c r="G121" s="39">
        <f>G122+G126</f>
        <v>22871.5</v>
      </c>
      <c r="H121" s="99">
        <f t="shared" si="8"/>
        <v>96.9</v>
      </c>
    </row>
    <row r="122" spans="1:8" s="32" customFormat="1" ht="38.25">
      <c r="A122" s="16" t="s">
        <v>136</v>
      </c>
      <c r="B122" s="16" t="s">
        <v>9</v>
      </c>
      <c r="C122" s="21" t="s">
        <v>285</v>
      </c>
      <c r="D122" s="47"/>
      <c r="E122" s="54" t="s">
        <v>425</v>
      </c>
      <c r="F122" s="41">
        <f>SUM(F123:F125)</f>
        <v>8726.7000000000007</v>
      </c>
      <c r="G122" s="41">
        <f>SUM(G123:G125)</f>
        <v>8720.7000000000007</v>
      </c>
      <c r="H122" s="99">
        <f t="shared" si="8"/>
        <v>99.9</v>
      </c>
    </row>
    <row r="123" spans="1:8" s="32" customFormat="1" ht="25.5">
      <c r="A123" s="16" t="s">
        <v>136</v>
      </c>
      <c r="B123" s="16" t="s">
        <v>9</v>
      </c>
      <c r="C123" s="21" t="s">
        <v>285</v>
      </c>
      <c r="D123" s="16" t="s">
        <v>104</v>
      </c>
      <c r="E123" s="107" t="s">
        <v>179</v>
      </c>
      <c r="F123" s="41">
        <v>7803.3</v>
      </c>
      <c r="G123" s="41">
        <v>7803.3</v>
      </c>
      <c r="H123" s="99">
        <f t="shared" si="8"/>
        <v>100</v>
      </c>
    </row>
    <row r="124" spans="1:8" s="32" customFormat="1" ht="38.25">
      <c r="A124" s="16" t="s">
        <v>136</v>
      </c>
      <c r="B124" s="16" t="s">
        <v>9</v>
      </c>
      <c r="C124" s="21" t="s">
        <v>285</v>
      </c>
      <c r="D124" s="85" t="s">
        <v>314</v>
      </c>
      <c r="E124" s="102" t="s">
        <v>315</v>
      </c>
      <c r="F124" s="41">
        <f>686.8+60+150+25.6-3.6</f>
        <v>918.8</v>
      </c>
      <c r="G124" s="39">
        <v>912.8</v>
      </c>
      <c r="H124" s="99">
        <f t="shared" si="8"/>
        <v>99.3</v>
      </c>
    </row>
    <row r="125" spans="1:8" s="32" customFormat="1" ht="14.25" customHeight="1">
      <c r="A125" s="16" t="s">
        <v>136</v>
      </c>
      <c r="B125" s="16" t="s">
        <v>9</v>
      </c>
      <c r="C125" s="21" t="s">
        <v>285</v>
      </c>
      <c r="D125" s="84" t="s">
        <v>180</v>
      </c>
      <c r="E125" s="102" t="s">
        <v>181</v>
      </c>
      <c r="F125" s="41">
        <f>1+3.6</f>
        <v>4.5999999999999996</v>
      </c>
      <c r="G125" s="39">
        <v>4.5999999999999996</v>
      </c>
      <c r="H125" s="99">
        <f t="shared" si="8"/>
        <v>100</v>
      </c>
    </row>
    <row r="126" spans="1:8" s="32" customFormat="1" ht="25.5">
      <c r="A126" s="16" t="s">
        <v>136</v>
      </c>
      <c r="B126" s="16" t="s">
        <v>9</v>
      </c>
      <c r="C126" s="21" t="s">
        <v>287</v>
      </c>
      <c r="D126" s="47"/>
      <c r="E126" s="54" t="s">
        <v>426</v>
      </c>
      <c r="F126" s="41">
        <f>SUM(F127:F130)</f>
        <v>14886.8</v>
      </c>
      <c r="G126" s="41">
        <f>SUM(G127:G130)</f>
        <v>14150.8</v>
      </c>
      <c r="H126" s="99">
        <f t="shared" si="8"/>
        <v>95.1</v>
      </c>
    </row>
    <row r="127" spans="1:8" s="32" customFormat="1" ht="25.5">
      <c r="A127" s="16" t="s">
        <v>136</v>
      </c>
      <c r="B127" s="16" t="s">
        <v>9</v>
      </c>
      <c r="C127" s="21" t="s">
        <v>287</v>
      </c>
      <c r="D127" s="16" t="s">
        <v>104</v>
      </c>
      <c r="E127" s="107" t="s">
        <v>179</v>
      </c>
      <c r="F127" s="41">
        <f>6912.1-37.1</f>
        <v>6875</v>
      </c>
      <c r="G127" s="41">
        <v>6792.9</v>
      </c>
      <c r="H127" s="99">
        <f t="shared" si="8"/>
        <v>98.8</v>
      </c>
    </row>
    <row r="128" spans="1:8" s="32" customFormat="1" ht="38.25">
      <c r="A128" s="16" t="s">
        <v>136</v>
      </c>
      <c r="B128" s="16" t="s">
        <v>9</v>
      </c>
      <c r="C128" s="21" t="s">
        <v>287</v>
      </c>
      <c r="D128" s="85" t="s">
        <v>314</v>
      </c>
      <c r="E128" s="102" t="s">
        <v>315</v>
      </c>
      <c r="F128" s="41">
        <f>8951.4+20.2-28.1-60-10+125.9-1000-166</f>
        <v>7833.4</v>
      </c>
      <c r="G128" s="103">
        <v>7202.9</v>
      </c>
      <c r="H128" s="99">
        <f t="shared" si="8"/>
        <v>92</v>
      </c>
    </row>
    <row r="129" spans="1:8" s="32" customFormat="1" ht="14.25">
      <c r="A129" s="16" t="s">
        <v>136</v>
      </c>
      <c r="B129" s="16" t="s">
        <v>9</v>
      </c>
      <c r="C129" s="21" t="s">
        <v>287</v>
      </c>
      <c r="D129" s="85" t="s">
        <v>466</v>
      </c>
      <c r="E129" s="102" t="s">
        <v>467</v>
      </c>
      <c r="F129" s="118">
        <v>11.9</v>
      </c>
      <c r="G129" s="41">
        <v>11.9</v>
      </c>
      <c r="H129" s="99">
        <f t="shared" si="8"/>
        <v>100</v>
      </c>
    </row>
    <row r="130" spans="1:8" s="32" customFormat="1" ht="18" customHeight="1">
      <c r="A130" s="16" t="s">
        <v>136</v>
      </c>
      <c r="B130" s="16" t="s">
        <v>9</v>
      </c>
      <c r="C130" s="21" t="s">
        <v>287</v>
      </c>
      <c r="D130" s="85" t="s">
        <v>180</v>
      </c>
      <c r="E130" s="102" t="s">
        <v>181</v>
      </c>
      <c r="F130" s="118">
        <f>128.6+10+27.9</f>
        <v>166.5</v>
      </c>
      <c r="G130" s="41">
        <v>143.1</v>
      </c>
      <c r="H130" s="99">
        <f t="shared" si="8"/>
        <v>85.9</v>
      </c>
    </row>
    <row r="131" spans="1:8" s="32" customFormat="1" ht="38.25">
      <c r="A131" s="16" t="s">
        <v>136</v>
      </c>
      <c r="B131" s="16" t="s">
        <v>9</v>
      </c>
      <c r="C131" s="80">
        <v>9980000000</v>
      </c>
      <c r="D131" s="16"/>
      <c r="E131" s="54" t="s">
        <v>37</v>
      </c>
      <c r="F131" s="39">
        <f>F132</f>
        <v>500.3</v>
      </c>
      <c r="G131" s="39">
        <f>G132</f>
        <v>499.5</v>
      </c>
      <c r="H131" s="99">
        <f t="shared" si="8"/>
        <v>99.8</v>
      </c>
    </row>
    <row r="132" spans="1:8" s="32" customFormat="1" ht="14.25">
      <c r="A132" s="16" t="s">
        <v>136</v>
      </c>
      <c r="B132" s="16" t="s">
        <v>9</v>
      </c>
      <c r="C132" s="80" t="s">
        <v>52</v>
      </c>
      <c r="D132" s="16"/>
      <c r="E132" s="109" t="s">
        <v>428</v>
      </c>
      <c r="F132" s="39">
        <f>F133+F134</f>
        <v>500.3</v>
      </c>
      <c r="G132" s="39">
        <f>G133+G134</f>
        <v>499.5</v>
      </c>
      <c r="H132" s="99">
        <f t="shared" si="8"/>
        <v>99.8</v>
      </c>
    </row>
    <row r="133" spans="1:8" s="32" customFormat="1" ht="25.5">
      <c r="A133" s="16" t="s">
        <v>136</v>
      </c>
      <c r="B133" s="16" t="s">
        <v>9</v>
      </c>
      <c r="C133" s="80" t="s">
        <v>52</v>
      </c>
      <c r="D133" s="16" t="s">
        <v>102</v>
      </c>
      <c r="E133" s="55" t="s">
        <v>103</v>
      </c>
      <c r="F133" s="39">
        <f>349.6-59.6</f>
        <v>290</v>
      </c>
      <c r="G133" s="103">
        <v>290</v>
      </c>
      <c r="H133" s="99">
        <f t="shared" si="8"/>
        <v>100</v>
      </c>
    </row>
    <row r="134" spans="1:8" s="32" customFormat="1" ht="38.25">
      <c r="A134" s="16" t="s">
        <v>136</v>
      </c>
      <c r="B134" s="16" t="s">
        <v>9</v>
      </c>
      <c r="C134" s="80" t="s">
        <v>52</v>
      </c>
      <c r="D134" s="85" t="s">
        <v>314</v>
      </c>
      <c r="E134" s="102" t="s">
        <v>315</v>
      </c>
      <c r="F134" s="39">
        <f>276.3-125.6+59.6</f>
        <v>210.3</v>
      </c>
      <c r="G134" s="41">
        <v>209.5</v>
      </c>
      <c r="H134" s="99">
        <f t="shared" si="8"/>
        <v>99.6</v>
      </c>
    </row>
    <row r="135" spans="1:8" ht="30">
      <c r="A135" s="4" t="s">
        <v>141</v>
      </c>
      <c r="B135" s="3"/>
      <c r="C135" s="3"/>
      <c r="D135" s="3"/>
      <c r="E135" s="49" t="s">
        <v>146</v>
      </c>
      <c r="F135" s="97">
        <f>F136+F146+F165+F173</f>
        <v>8083.9999999999991</v>
      </c>
      <c r="G135" s="97">
        <f>G136+G146+G165+G173</f>
        <v>8120.6999999999989</v>
      </c>
      <c r="H135" s="206">
        <f t="shared" si="8"/>
        <v>100.5</v>
      </c>
    </row>
    <row r="136" spans="1:8" ht="15">
      <c r="A136" s="28" t="s">
        <v>141</v>
      </c>
      <c r="B136" s="28" t="s">
        <v>142</v>
      </c>
      <c r="C136" s="28"/>
      <c r="D136" s="34"/>
      <c r="E136" s="46" t="s">
        <v>23</v>
      </c>
      <c r="F136" s="40">
        <f>F137</f>
        <v>2003.9</v>
      </c>
      <c r="G136" s="40">
        <f>G137</f>
        <v>2181.6</v>
      </c>
      <c r="H136" s="42">
        <f t="shared" si="8"/>
        <v>108.9</v>
      </c>
    </row>
    <row r="137" spans="1:8" ht="25.5">
      <c r="A137" s="16" t="s">
        <v>141</v>
      </c>
      <c r="B137" s="16" t="s">
        <v>142</v>
      </c>
      <c r="C137" s="80">
        <v>9900000000</v>
      </c>
      <c r="D137" s="34"/>
      <c r="E137" s="55" t="s">
        <v>194</v>
      </c>
      <c r="F137" s="41">
        <f t="shared" ref="F137:G137" si="14">F138</f>
        <v>2003.9</v>
      </c>
      <c r="G137" s="41">
        <f t="shared" si="14"/>
        <v>2181.6</v>
      </c>
      <c r="H137" s="99">
        <f t="shared" si="8"/>
        <v>108.9</v>
      </c>
    </row>
    <row r="138" spans="1:8" ht="25.5">
      <c r="A138" s="16" t="s">
        <v>141</v>
      </c>
      <c r="B138" s="16" t="s">
        <v>142</v>
      </c>
      <c r="C138" s="80">
        <v>9930000000</v>
      </c>
      <c r="D138" s="16"/>
      <c r="E138" s="22" t="s">
        <v>55</v>
      </c>
      <c r="F138" s="41">
        <f>F139+F142+F144</f>
        <v>2003.9</v>
      </c>
      <c r="G138" s="41">
        <f>G139+G142+G144</f>
        <v>2181.6</v>
      </c>
      <c r="H138" s="99">
        <f t="shared" si="8"/>
        <v>108.9</v>
      </c>
    </row>
    <row r="139" spans="1:8" ht="40.5" customHeight="1">
      <c r="A139" s="16" t="s">
        <v>141</v>
      </c>
      <c r="B139" s="16" t="s">
        <v>142</v>
      </c>
      <c r="C139" s="80">
        <v>9930059302</v>
      </c>
      <c r="D139" s="16"/>
      <c r="E139" s="159" t="s">
        <v>693</v>
      </c>
      <c r="F139" s="39">
        <f>SUM(F140:F141)</f>
        <v>1764.8000000000002</v>
      </c>
      <c r="G139" s="39">
        <f>SUM(G140:G141)</f>
        <v>1764.8000000000002</v>
      </c>
      <c r="H139" s="99">
        <f t="shared" si="8"/>
        <v>100</v>
      </c>
    </row>
    <row r="140" spans="1:8" ht="25.5">
      <c r="A140" s="16" t="s">
        <v>141</v>
      </c>
      <c r="B140" s="16" t="s">
        <v>142</v>
      </c>
      <c r="C140" s="80">
        <v>9930059302</v>
      </c>
      <c r="D140" s="16" t="s">
        <v>102</v>
      </c>
      <c r="E140" s="55" t="s">
        <v>103</v>
      </c>
      <c r="F140" s="39">
        <f>1122.8+158.9+239.1-239.1</f>
        <v>1281.7</v>
      </c>
      <c r="G140" s="39">
        <f>1122.8+158.9+239.1-239.1</f>
        <v>1281.7</v>
      </c>
      <c r="H140" s="99">
        <f t="shared" si="8"/>
        <v>100</v>
      </c>
    </row>
    <row r="141" spans="1:8" ht="38.25">
      <c r="A141" s="16" t="s">
        <v>141</v>
      </c>
      <c r="B141" s="16" t="s">
        <v>142</v>
      </c>
      <c r="C141" s="80">
        <v>9930059302</v>
      </c>
      <c r="D141" s="85" t="s">
        <v>314</v>
      </c>
      <c r="E141" s="102" t="s">
        <v>315</v>
      </c>
      <c r="F141" s="39">
        <f>642-158.9</f>
        <v>483.1</v>
      </c>
      <c r="G141" s="39">
        <f>642-158.9</f>
        <v>483.1</v>
      </c>
      <c r="H141" s="99">
        <f t="shared" si="8"/>
        <v>100</v>
      </c>
    </row>
    <row r="142" spans="1:8" ht="77.25" customHeight="1">
      <c r="A142" s="85" t="s">
        <v>141</v>
      </c>
      <c r="B142" s="85" t="s">
        <v>142</v>
      </c>
      <c r="C142" s="80" t="s">
        <v>807</v>
      </c>
      <c r="D142" s="85"/>
      <c r="E142" s="102" t="s">
        <v>808</v>
      </c>
      <c r="F142" s="39">
        <f>F143</f>
        <v>239.1</v>
      </c>
      <c r="G142" s="39">
        <f>G143</f>
        <v>239.1</v>
      </c>
      <c r="H142" s="99">
        <f t="shared" si="8"/>
        <v>100</v>
      </c>
    </row>
    <row r="143" spans="1:8" ht="28.5" customHeight="1">
      <c r="A143" s="85" t="s">
        <v>141</v>
      </c>
      <c r="B143" s="85" t="s">
        <v>142</v>
      </c>
      <c r="C143" s="80" t="s">
        <v>807</v>
      </c>
      <c r="D143" s="85" t="s">
        <v>102</v>
      </c>
      <c r="E143" s="102" t="s">
        <v>103</v>
      </c>
      <c r="F143" s="39">
        <v>239.1</v>
      </c>
      <c r="G143" s="39">
        <v>239.1</v>
      </c>
      <c r="H143" s="99">
        <f t="shared" si="8"/>
        <v>100</v>
      </c>
    </row>
    <row r="144" spans="1:8" ht="78" customHeight="1">
      <c r="A144" s="85" t="s">
        <v>141</v>
      </c>
      <c r="B144" s="85" t="s">
        <v>142</v>
      </c>
      <c r="C144" s="80">
        <v>9930058792</v>
      </c>
      <c r="D144" s="85"/>
      <c r="E144" s="130" t="s">
        <v>892</v>
      </c>
      <c r="F144" s="229">
        <f>F145</f>
        <v>0</v>
      </c>
      <c r="G144" s="229">
        <f>G145</f>
        <v>177.7</v>
      </c>
      <c r="H144" s="227"/>
    </row>
    <row r="145" spans="1:8" ht="28.5" customHeight="1">
      <c r="A145" s="85" t="s">
        <v>141</v>
      </c>
      <c r="B145" s="85" t="s">
        <v>142</v>
      </c>
      <c r="C145" s="80">
        <v>9930058792</v>
      </c>
      <c r="D145" s="85" t="s">
        <v>102</v>
      </c>
      <c r="E145" s="102" t="s">
        <v>103</v>
      </c>
      <c r="F145" s="229">
        <f>177.7-177.7</f>
        <v>0</v>
      </c>
      <c r="G145" s="229">
        <v>177.7</v>
      </c>
      <c r="H145" s="227"/>
    </row>
    <row r="146" spans="1:8" s="32" customFormat="1" ht="51.75">
      <c r="A146" s="28" t="s">
        <v>141</v>
      </c>
      <c r="B146" s="28" t="s">
        <v>147</v>
      </c>
      <c r="C146" s="28"/>
      <c r="D146" s="34"/>
      <c r="E146" s="46" t="s">
        <v>174</v>
      </c>
      <c r="F146" s="40">
        <f>F147+F161</f>
        <v>4490.3999999999996</v>
      </c>
      <c r="G146" s="40">
        <f>G147+G161</f>
        <v>4453.0999999999995</v>
      </c>
      <c r="H146" s="42">
        <f t="shared" si="8"/>
        <v>99.2</v>
      </c>
    </row>
    <row r="147" spans="1:8" s="32" customFormat="1" ht="64.5">
      <c r="A147" s="21" t="s">
        <v>141</v>
      </c>
      <c r="B147" s="21" t="s">
        <v>147</v>
      </c>
      <c r="C147" s="73" t="s">
        <v>74</v>
      </c>
      <c r="D147" s="16"/>
      <c r="E147" s="64" t="s">
        <v>545</v>
      </c>
      <c r="F147" s="59">
        <f>F148+F151+F156</f>
        <v>150.69999999999999</v>
      </c>
      <c r="G147" s="59">
        <f>G148+G151+G156</f>
        <v>150.69999999999999</v>
      </c>
      <c r="H147" s="65">
        <f t="shared" si="8"/>
        <v>100</v>
      </c>
    </row>
    <row r="148" spans="1:8" s="32" customFormat="1" ht="50.25" customHeight="1">
      <c r="A148" s="21" t="s">
        <v>141</v>
      </c>
      <c r="B148" s="21" t="s">
        <v>147</v>
      </c>
      <c r="C148" s="52" t="s">
        <v>75</v>
      </c>
      <c r="D148" s="16"/>
      <c r="E148" s="48" t="s">
        <v>300</v>
      </c>
      <c r="F148" s="98">
        <f>F149</f>
        <v>80.7</v>
      </c>
      <c r="G148" s="98">
        <f>G149</f>
        <v>80.7</v>
      </c>
      <c r="H148" s="58">
        <f t="shared" ref="H148" si="15">ROUND((G148/F148*100),1)</f>
        <v>100</v>
      </c>
    </row>
    <row r="149" spans="1:8" s="32" customFormat="1" ht="51">
      <c r="A149" s="21" t="s">
        <v>141</v>
      </c>
      <c r="B149" s="21" t="s">
        <v>147</v>
      </c>
      <c r="C149" s="74" t="s">
        <v>76</v>
      </c>
      <c r="D149" s="16"/>
      <c r="E149" s="104" t="s">
        <v>305</v>
      </c>
      <c r="F149" s="41">
        <f>F150</f>
        <v>80.7</v>
      </c>
      <c r="G149" s="41">
        <f>G150</f>
        <v>80.7</v>
      </c>
      <c r="H149" s="99">
        <f t="shared" ref="H149:H193" si="16">ROUND((G149/F149*100),1)</f>
        <v>100</v>
      </c>
    </row>
    <row r="150" spans="1:8" s="32" customFormat="1" ht="38.25">
      <c r="A150" s="21" t="s">
        <v>141</v>
      </c>
      <c r="B150" s="21" t="s">
        <v>147</v>
      </c>
      <c r="C150" s="74" t="s">
        <v>76</v>
      </c>
      <c r="D150" s="85" t="s">
        <v>314</v>
      </c>
      <c r="E150" s="102" t="s">
        <v>315</v>
      </c>
      <c r="F150" s="41">
        <f>20+10+50.7</f>
        <v>80.7</v>
      </c>
      <c r="G150" s="41">
        <f>20+10+50.7</f>
        <v>80.7</v>
      </c>
      <c r="H150" s="99">
        <f t="shared" si="16"/>
        <v>100</v>
      </c>
    </row>
    <row r="151" spans="1:8" s="32" customFormat="1" ht="36.75" customHeight="1">
      <c r="A151" s="21" t="s">
        <v>141</v>
      </c>
      <c r="B151" s="21" t="s">
        <v>147</v>
      </c>
      <c r="C151" s="52" t="s">
        <v>79</v>
      </c>
      <c r="D151" s="16"/>
      <c r="E151" s="48" t="s">
        <v>374</v>
      </c>
      <c r="F151" s="98">
        <f>F152+F154</f>
        <v>5</v>
      </c>
      <c r="G151" s="98">
        <f>G152+G154</f>
        <v>5</v>
      </c>
      <c r="H151" s="99">
        <f t="shared" si="16"/>
        <v>100</v>
      </c>
    </row>
    <row r="152" spans="1:8" s="32" customFormat="1" ht="25.5">
      <c r="A152" s="21" t="s">
        <v>141</v>
      </c>
      <c r="B152" s="21" t="s">
        <v>147</v>
      </c>
      <c r="C152" s="74" t="s">
        <v>80</v>
      </c>
      <c r="D152" s="16"/>
      <c r="E152" s="102" t="s">
        <v>375</v>
      </c>
      <c r="F152" s="41">
        <f>F153</f>
        <v>4</v>
      </c>
      <c r="G152" s="41">
        <f>SUM(G153:G153)</f>
        <v>4</v>
      </c>
      <c r="H152" s="99">
        <f t="shared" si="16"/>
        <v>100</v>
      </c>
    </row>
    <row r="153" spans="1:8" s="32" customFormat="1" ht="38.25">
      <c r="A153" s="21" t="s">
        <v>141</v>
      </c>
      <c r="B153" s="21" t="s">
        <v>147</v>
      </c>
      <c r="C153" s="74" t="s">
        <v>80</v>
      </c>
      <c r="D153" s="85" t="s">
        <v>314</v>
      </c>
      <c r="E153" s="102" t="s">
        <v>315</v>
      </c>
      <c r="F153" s="41">
        <v>4</v>
      </c>
      <c r="G153" s="41">
        <v>4</v>
      </c>
      <c r="H153" s="99">
        <f t="shared" si="16"/>
        <v>100</v>
      </c>
    </row>
    <row r="154" spans="1:8" s="32" customFormat="1" ht="30.75" customHeight="1">
      <c r="A154" s="21" t="s">
        <v>141</v>
      </c>
      <c r="B154" s="21" t="s">
        <v>147</v>
      </c>
      <c r="C154" s="74" t="s">
        <v>81</v>
      </c>
      <c r="D154" s="16"/>
      <c r="E154" s="102" t="s">
        <v>330</v>
      </c>
      <c r="F154" s="41">
        <f>F155</f>
        <v>1</v>
      </c>
      <c r="G154" s="41">
        <f>G155</f>
        <v>1</v>
      </c>
      <c r="H154" s="99">
        <f t="shared" si="16"/>
        <v>100</v>
      </c>
    </row>
    <row r="155" spans="1:8" s="32" customFormat="1" ht="38.25">
      <c r="A155" s="21" t="s">
        <v>141</v>
      </c>
      <c r="B155" s="21" t="s">
        <v>147</v>
      </c>
      <c r="C155" s="74" t="s">
        <v>81</v>
      </c>
      <c r="D155" s="85" t="s">
        <v>314</v>
      </c>
      <c r="E155" s="102" t="s">
        <v>315</v>
      </c>
      <c r="F155" s="41">
        <v>1</v>
      </c>
      <c r="G155" s="41">
        <v>1</v>
      </c>
      <c r="H155" s="99">
        <f t="shared" si="16"/>
        <v>100</v>
      </c>
    </row>
    <row r="156" spans="1:8" s="32" customFormat="1" ht="51">
      <c r="A156" s="21" t="s">
        <v>141</v>
      </c>
      <c r="B156" s="21" t="s">
        <v>147</v>
      </c>
      <c r="C156" s="52" t="s">
        <v>82</v>
      </c>
      <c r="D156" s="16"/>
      <c r="E156" s="48" t="s">
        <v>301</v>
      </c>
      <c r="F156" s="98">
        <f>F157+F159</f>
        <v>65</v>
      </c>
      <c r="G156" s="98">
        <f>G157+G159</f>
        <v>65</v>
      </c>
      <c r="H156" s="58">
        <f t="shared" si="16"/>
        <v>100</v>
      </c>
    </row>
    <row r="157" spans="1:8" s="32" customFormat="1" ht="27.75" customHeight="1">
      <c r="A157" s="21" t="s">
        <v>141</v>
      </c>
      <c r="B157" s="21" t="s">
        <v>147</v>
      </c>
      <c r="C157" s="74" t="s">
        <v>83</v>
      </c>
      <c r="D157" s="16"/>
      <c r="E157" s="102" t="s">
        <v>375</v>
      </c>
      <c r="F157" s="41">
        <f>F158</f>
        <v>60</v>
      </c>
      <c r="G157" s="41">
        <f>G158</f>
        <v>60</v>
      </c>
      <c r="H157" s="99">
        <f t="shared" si="16"/>
        <v>100</v>
      </c>
    </row>
    <row r="158" spans="1:8" s="32" customFormat="1" ht="38.25">
      <c r="A158" s="21" t="s">
        <v>141</v>
      </c>
      <c r="B158" s="21" t="s">
        <v>147</v>
      </c>
      <c r="C158" s="74" t="s">
        <v>83</v>
      </c>
      <c r="D158" s="85" t="s">
        <v>314</v>
      </c>
      <c r="E158" s="102" t="s">
        <v>315</v>
      </c>
      <c r="F158" s="41">
        <v>60</v>
      </c>
      <c r="G158" s="41">
        <v>60</v>
      </c>
      <c r="H158" s="99">
        <f t="shared" si="16"/>
        <v>100</v>
      </c>
    </row>
    <row r="159" spans="1:8" s="32" customFormat="1" ht="31.5" customHeight="1">
      <c r="A159" s="21" t="s">
        <v>141</v>
      </c>
      <c r="B159" s="21" t="s">
        <v>147</v>
      </c>
      <c r="C159" s="74" t="s">
        <v>84</v>
      </c>
      <c r="D159" s="16"/>
      <c r="E159" s="102" t="s">
        <v>332</v>
      </c>
      <c r="F159" s="41">
        <f>F160</f>
        <v>5</v>
      </c>
      <c r="G159" s="41">
        <f>G160</f>
        <v>5</v>
      </c>
      <c r="H159" s="99">
        <f t="shared" si="16"/>
        <v>100</v>
      </c>
    </row>
    <row r="160" spans="1:8" s="32" customFormat="1" ht="38.25">
      <c r="A160" s="21" t="s">
        <v>141</v>
      </c>
      <c r="B160" s="21" t="s">
        <v>147</v>
      </c>
      <c r="C160" s="74" t="s">
        <v>84</v>
      </c>
      <c r="D160" s="85" t="s">
        <v>314</v>
      </c>
      <c r="E160" s="102" t="s">
        <v>315</v>
      </c>
      <c r="F160" s="41">
        <v>5</v>
      </c>
      <c r="G160" s="41">
        <v>5</v>
      </c>
      <c r="H160" s="99">
        <f t="shared" si="16"/>
        <v>100</v>
      </c>
    </row>
    <row r="161" spans="1:8" s="32" customFormat="1" ht="25.5">
      <c r="A161" s="83" t="s">
        <v>141</v>
      </c>
      <c r="B161" s="83" t="s">
        <v>147</v>
      </c>
      <c r="C161" s="73" t="s">
        <v>283</v>
      </c>
      <c r="D161" s="33"/>
      <c r="E161" s="88" t="s">
        <v>194</v>
      </c>
      <c r="F161" s="100">
        <f>F162</f>
        <v>4339.7</v>
      </c>
      <c r="G161" s="100">
        <f>G162</f>
        <v>4302.3999999999996</v>
      </c>
      <c r="H161" s="62">
        <f t="shared" si="16"/>
        <v>99.1</v>
      </c>
    </row>
    <row r="162" spans="1:8" s="32" customFormat="1" ht="25.5">
      <c r="A162" s="21" t="s">
        <v>141</v>
      </c>
      <c r="B162" s="21" t="s">
        <v>147</v>
      </c>
      <c r="C162" s="21" t="s">
        <v>282</v>
      </c>
      <c r="D162" s="16"/>
      <c r="E162" s="54" t="s">
        <v>417</v>
      </c>
      <c r="F162" s="98">
        <f>F163+F164</f>
        <v>4339.7</v>
      </c>
      <c r="G162" s="98">
        <f>G163+G164</f>
        <v>4302.3999999999996</v>
      </c>
      <c r="H162" s="58">
        <f t="shared" si="16"/>
        <v>99.1</v>
      </c>
    </row>
    <row r="163" spans="1:8" s="32" customFormat="1" ht="25.5">
      <c r="A163" s="21" t="s">
        <v>141</v>
      </c>
      <c r="B163" s="21" t="s">
        <v>147</v>
      </c>
      <c r="C163" s="21" t="s">
        <v>282</v>
      </c>
      <c r="D163" s="16" t="s">
        <v>104</v>
      </c>
      <c r="E163" s="107" t="s">
        <v>179</v>
      </c>
      <c r="F163" s="41">
        <f>3898.9+267.3-8</f>
        <v>4158.2</v>
      </c>
      <c r="G163" s="41">
        <v>4120.8999999999996</v>
      </c>
      <c r="H163" s="99">
        <f t="shared" si="16"/>
        <v>99.1</v>
      </c>
    </row>
    <row r="164" spans="1:8" s="32" customFormat="1" ht="38.25">
      <c r="A164" s="21" t="s">
        <v>141</v>
      </c>
      <c r="B164" s="21" t="s">
        <v>147</v>
      </c>
      <c r="C164" s="21" t="s">
        <v>282</v>
      </c>
      <c r="D164" s="85" t="s">
        <v>314</v>
      </c>
      <c r="E164" s="102" t="s">
        <v>315</v>
      </c>
      <c r="F164" s="41">
        <f>164.5+17</f>
        <v>181.5</v>
      </c>
      <c r="G164" s="41">
        <f>164.5+17</f>
        <v>181.5</v>
      </c>
      <c r="H164" s="99">
        <f t="shared" si="16"/>
        <v>100</v>
      </c>
    </row>
    <row r="165" spans="1:8" s="32" customFormat="1" ht="14.25">
      <c r="A165" s="52" t="s">
        <v>141</v>
      </c>
      <c r="B165" s="52" t="s">
        <v>158</v>
      </c>
      <c r="C165" s="52"/>
      <c r="D165" s="47"/>
      <c r="E165" s="48" t="s">
        <v>288</v>
      </c>
      <c r="F165" s="98">
        <f>F166</f>
        <v>1549.3</v>
      </c>
      <c r="G165" s="98">
        <f>G166</f>
        <v>1445.6</v>
      </c>
      <c r="H165" s="58">
        <f t="shared" si="16"/>
        <v>93.3</v>
      </c>
    </row>
    <row r="166" spans="1:8" s="32" customFormat="1" ht="63.75">
      <c r="A166" s="52" t="s">
        <v>141</v>
      </c>
      <c r="B166" s="52" t="s">
        <v>158</v>
      </c>
      <c r="C166" s="73" t="s">
        <v>74</v>
      </c>
      <c r="D166" s="16"/>
      <c r="E166" s="64" t="s">
        <v>545</v>
      </c>
      <c r="F166" s="100">
        <f t="shared" ref="F166:G166" si="17">F167</f>
        <v>1549.3</v>
      </c>
      <c r="G166" s="100">
        <f t="shared" si="17"/>
        <v>1445.6</v>
      </c>
      <c r="H166" s="62">
        <f t="shared" si="16"/>
        <v>93.3</v>
      </c>
    </row>
    <row r="167" spans="1:8" s="32" customFormat="1" ht="38.25">
      <c r="A167" s="21" t="s">
        <v>141</v>
      </c>
      <c r="B167" s="21" t="s">
        <v>158</v>
      </c>
      <c r="C167" s="52" t="s">
        <v>77</v>
      </c>
      <c r="D167" s="16"/>
      <c r="E167" s="48" t="s">
        <v>294</v>
      </c>
      <c r="F167" s="98">
        <f>F168+F170</f>
        <v>1549.3</v>
      </c>
      <c r="G167" s="98">
        <f>G168+G170</f>
        <v>1445.6</v>
      </c>
      <c r="H167" s="58">
        <f t="shared" si="16"/>
        <v>93.3</v>
      </c>
    </row>
    <row r="168" spans="1:8" s="32" customFormat="1" ht="51">
      <c r="A168" s="21" t="s">
        <v>141</v>
      </c>
      <c r="B168" s="21" t="s">
        <v>158</v>
      </c>
      <c r="C168" s="74" t="s">
        <v>78</v>
      </c>
      <c r="D168" s="16"/>
      <c r="E168" s="102" t="s">
        <v>604</v>
      </c>
      <c r="F168" s="41">
        <f>F169</f>
        <v>916.8</v>
      </c>
      <c r="G168" s="41">
        <f>G169</f>
        <v>813.1</v>
      </c>
      <c r="H168" s="99">
        <f t="shared" si="16"/>
        <v>88.7</v>
      </c>
    </row>
    <row r="169" spans="1:8" s="32" customFormat="1" ht="38.25">
      <c r="A169" s="21" t="s">
        <v>141</v>
      </c>
      <c r="B169" s="21" t="s">
        <v>158</v>
      </c>
      <c r="C169" s="74" t="s">
        <v>78</v>
      </c>
      <c r="D169" s="85" t="s">
        <v>314</v>
      </c>
      <c r="E169" s="102" t="s">
        <v>315</v>
      </c>
      <c r="F169" s="41">
        <v>916.8</v>
      </c>
      <c r="G169" s="39">
        <v>813.1</v>
      </c>
      <c r="H169" s="99">
        <f t="shared" si="16"/>
        <v>88.7</v>
      </c>
    </row>
    <row r="170" spans="1:8" s="32" customFormat="1" ht="38.25">
      <c r="A170" s="21" t="s">
        <v>141</v>
      </c>
      <c r="B170" s="21" t="s">
        <v>158</v>
      </c>
      <c r="C170" s="74" t="s">
        <v>602</v>
      </c>
      <c r="D170" s="16"/>
      <c r="E170" s="102" t="s">
        <v>603</v>
      </c>
      <c r="F170" s="41">
        <f>SUM(F171:F172)</f>
        <v>632.5</v>
      </c>
      <c r="G170" s="41">
        <f>SUM(G171:G172)</f>
        <v>632.5</v>
      </c>
      <c r="H170" s="99">
        <f t="shared" si="16"/>
        <v>100</v>
      </c>
    </row>
    <row r="171" spans="1:8" s="32" customFormat="1" ht="25.5">
      <c r="A171" s="21" t="s">
        <v>141</v>
      </c>
      <c r="B171" s="21" t="s">
        <v>158</v>
      </c>
      <c r="C171" s="74" t="s">
        <v>602</v>
      </c>
      <c r="D171" s="16" t="s">
        <v>104</v>
      </c>
      <c r="E171" s="107" t="s">
        <v>179</v>
      </c>
      <c r="F171" s="41">
        <v>50</v>
      </c>
      <c r="G171" s="41">
        <v>50</v>
      </c>
      <c r="H171" s="99">
        <f t="shared" si="16"/>
        <v>100</v>
      </c>
    </row>
    <row r="172" spans="1:8" s="32" customFormat="1" ht="38.25">
      <c r="A172" s="21" t="s">
        <v>141</v>
      </c>
      <c r="B172" s="21" t="s">
        <v>158</v>
      </c>
      <c r="C172" s="74" t="s">
        <v>602</v>
      </c>
      <c r="D172" s="85" t="s">
        <v>314</v>
      </c>
      <c r="E172" s="102" t="s">
        <v>315</v>
      </c>
      <c r="F172" s="41">
        <f>683.2-50-50.7</f>
        <v>582.5</v>
      </c>
      <c r="G172" s="39">
        <v>582.5</v>
      </c>
      <c r="H172" s="99">
        <f t="shared" si="16"/>
        <v>100</v>
      </c>
    </row>
    <row r="173" spans="1:8" s="32" customFormat="1" ht="39">
      <c r="A173" s="28" t="s">
        <v>141</v>
      </c>
      <c r="B173" s="28" t="s">
        <v>169</v>
      </c>
      <c r="C173" s="28"/>
      <c r="D173" s="34"/>
      <c r="E173" s="46" t="s">
        <v>27</v>
      </c>
      <c r="F173" s="40">
        <f>F174+F178</f>
        <v>40.4</v>
      </c>
      <c r="G173" s="40">
        <f>G174+G178</f>
        <v>40.4</v>
      </c>
      <c r="H173" s="99">
        <f t="shared" si="16"/>
        <v>100</v>
      </c>
    </row>
    <row r="174" spans="1:8" s="32" customFormat="1" ht="53.25" customHeight="1">
      <c r="A174" s="73" t="s">
        <v>141</v>
      </c>
      <c r="B174" s="73" t="s">
        <v>169</v>
      </c>
      <c r="C174" s="73" t="s">
        <v>116</v>
      </c>
      <c r="D174" s="16"/>
      <c r="E174" s="53" t="s">
        <v>546</v>
      </c>
      <c r="F174" s="100">
        <f t="shared" ref="F174:G176" si="18">F175</f>
        <v>11</v>
      </c>
      <c r="G174" s="100">
        <f t="shared" si="18"/>
        <v>11</v>
      </c>
      <c r="H174" s="62">
        <f t="shared" si="16"/>
        <v>100</v>
      </c>
    </row>
    <row r="175" spans="1:8" s="32" customFormat="1" ht="51">
      <c r="A175" s="21" t="s">
        <v>141</v>
      </c>
      <c r="B175" s="21" t="s">
        <v>169</v>
      </c>
      <c r="C175" s="52" t="s">
        <v>117</v>
      </c>
      <c r="D175" s="16"/>
      <c r="E175" s="60" t="s">
        <v>265</v>
      </c>
      <c r="F175" s="58">
        <f t="shared" si="18"/>
        <v>11</v>
      </c>
      <c r="G175" s="58">
        <f t="shared" si="18"/>
        <v>11</v>
      </c>
      <c r="H175" s="58">
        <f t="shared" si="16"/>
        <v>100</v>
      </c>
    </row>
    <row r="176" spans="1:8" s="32" customFormat="1" ht="63.75">
      <c r="A176" s="21" t="s">
        <v>141</v>
      </c>
      <c r="B176" s="21" t="s">
        <v>169</v>
      </c>
      <c r="C176" s="21" t="s">
        <v>266</v>
      </c>
      <c r="D176" s="16"/>
      <c r="E176" s="102" t="s">
        <v>610</v>
      </c>
      <c r="F176" s="41">
        <f t="shared" si="18"/>
        <v>11</v>
      </c>
      <c r="G176" s="41">
        <f t="shared" si="18"/>
        <v>11</v>
      </c>
      <c r="H176" s="99">
        <f t="shared" si="16"/>
        <v>100</v>
      </c>
    </row>
    <row r="177" spans="1:8" s="32" customFormat="1" ht="25.5">
      <c r="A177" s="21" t="s">
        <v>141</v>
      </c>
      <c r="B177" s="21" t="s">
        <v>169</v>
      </c>
      <c r="C177" s="21" t="s">
        <v>266</v>
      </c>
      <c r="D177" s="85" t="s">
        <v>104</v>
      </c>
      <c r="E177" s="55" t="s">
        <v>179</v>
      </c>
      <c r="F177" s="41">
        <f>34-23</f>
        <v>11</v>
      </c>
      <c r="G177" s="41">
        <f>34-23</f>
        <v>11</v>
      </c>
      <c r="H177" s="99">
        <f t="shared" si="16"/>
        <v>100</v>
      </c>
    </row>
    <row r="178" spans="1:8" s="32" customFormat="1" ht="51.75" customHeight="1">
      <c r="A178" s="73" t="s">
        <v>141</v>
      </c>
      <c r="B178" s="73" t="s">
        <v>169</v>
      </c>
      <c r="C178" s="73" t="s">
        <v>337</v>
      </c>
      <c r="D178" s="16"/>
      <c r="E178" s="64" t="s">
        <v>517</v>
      </c>
      <c r="F178" s="100">
        <f>F179</f>
        <v>29.4</v>
      </c>
      <c r="G178" s="100">
        <f>G179</f>
        <v>29.4</v>
      </c>
      <c r="H178" s="62">
        <f t="shared" si="16"/>
        <v>100</v>
      </c>
    </row>
    <row r="179" spans="1:8" s="32" customFormat="1" ht="38.25">
      <c r="A179" s="21" t="s">
        <v>141</v>
      </c>
      <c r="B179" s="21" t="s">
        <v>169</v>
      </c>
      <c r="C179" s="52" t="s">
        <v>338</v>
      </c>
      <c r="D179" s="16"/>
      <c r="E179" s="48" t="s">
        <v>339</v>
      </c>
      <c r="F179" s="58">
        <f>F180+F182</f>
        <v>29.4</v>
      </c>
      <c r="G179" s="58">
        <f>G180+G182</f>
        <v>29.4</v>
      </c>
      <c r="H179" s="58">
        <f t="shared" si="16"/>
        <v>100</v>
      </c>
    </row>
    <row r="180" spans="1:8" s="32" customFormat="1" ht="38.25">
      <c r="A180" s="21" t="s">
        <v>141</v>
      </c>
      <c r="B180" s="21" t="s">
        <v>169</v>
      </c>
      <c r="C180" s="21" t="s">
        <v>654</v>
      </c>
      <c r="D180" s="16"/>
      <c r="E180" s="102" t="s">
        <v>695</v>
      </c>
      <c r="F180" s="99">
        <f>F181</f>
        <v>23.4</v>
      </c>
      <c r="G180" s="99">
        <f>G181</f>
        <v>23.4</v>
      </c>
      <c r="H180" s="99">
        <f t="shared" si="16"/>
        <v>100</v>
      </c>
    </row>
    <row r="181" spans="1:8" s="32" customFormat="1" ht="38.25">
      <c r="A181" s="21" t="s">
        <v>141</v>
      </c>
      <c r="B181" s="21" t="s">
        <v>169</v>
      </c>
      <c r="C181" s="21" t="s">
        <v>654</v>
      </c>
      <c r="D181" s="85" t="s">
        <v>314</v>
      </c>
      <c r="E181" s="102" t="s">
        <v>315</v>
      </c>
      <c r="F181" s="41">
        <v>23.4</v>
      </c>
      <c r="G181" s="41">
        <v>23.4</v>
      </c>
      <c r="H181" s="99">
        <f t="shared" si="16"/>
        <v>100</v>
      </c>
    </row>
    <row r="182" spans="1:8" s="32" customFormat="1" ht="25.5">
      <c r="A182" s="21" t="s">
        <v>141</v>
      </c>
      <c r="B182" s="21" t="s">
        <v>169</v>
      </c>
      <c r="C182" s="21" t="s">
        <v>656</v>
      </c>
      <c r="D182" s="16"/>
      <c r="E182" s="102" t="s">
        <v>657</v>
      </c>
      <c r="F182" s="99">
        <f>F183</f>
        <v>6</v>
      </c>
      <c r="G182" s="99">
        <f>G183</f>
        <v>6</v>
      </c>
      <c r="H182" s="99">
        <f t="shared" si="16"/>
        <v>100</v>
      </c>
    </row>
    <row r="183" spans="1:8" s="32" customFormat="1" ht="38.25">
      <c r="A183" s="21" t="s">
        <v>141</v>
      </c>
      <c r="B183" s="21" t="s">
        <v>169</v>
      </c>
      <c r="C183" s="21" t="s">
        <v>656</v>
      </c>
      <c r="D183" s="85" t="s">
        <v>314</v>
      </c>
      <c r="E183" s="102" t="s">
        <v>315</v>
      </c>
      <c r="F183" s="41">
        <v>6</v>
      </c>
      <c r="G183" s="41">
        <v>6</v>
      </c>
      <c r="H183" s="99">
        <f t="shared" si="16"/>
        <v>100</v>
      </c>
    </row>
    <row r="184" spans="1:8" s="32" customFormat="1" ht="15.75">
      <c r="A184" s="4" t="s">
        <v>142</v>
      </c>
      <c r="B184" s="3"/>
      <c r="C184" s="3"/>
      <c r="D184" s="3"/>
      <c r="E184" s="49" t="s">
        <v>148</v>
      </c>
      <c r="F184" s="97">
        <f>F185+F190+F201+F214+F272</f>
        <v>168429.1</v>
      </c>
      <c r="G184" s="97">
        <f>G185+G190+G201+G214+G272</f>
        <v>153876.4</v>
      </c>
      <c r="H184" s="206">
        <f t="shared" si="16"/>
        <v>91.4</v>
      </c>
    </row>
    <row r="185" spans="1:8" s="32" customFormat="1" ht="15">
      <c r="A185" s="47" t="s">
        <v>142</v>
      </c>
      <c r="B185" s="47" t="s">
        <v>136</v>
      </c>
      <c r="C185" s="30"/>
      <c r="D185" s="30"/>
      <c r="E185" s="45" t="s">
        <v>178</v>
      </c>
      <c r="F185" s="86">
        <f t="shared" ref="F185:G188" si="19">F186</f>
        <v>300</v>
      </c>
      <c r="G185" s="86">
        <f t="shared" si="19"/>
        <v>300</v>
      </c>
      <c r="H185" s="42">
        <f t="shared" si="16"/>
        <v>100</v>
      </c>
    </row>
    <row r="186" spans="1:8" s="32" customFormat="1" ht="51" customHeight="1">
      <c r="A186" s="85" t="s">
        <v>142</v>
      </c>
      <c r="B186" s="85" t="s">
        <v>136</v>
      </c>
      <c r="C186" s="73" t="s">
        <v>98</v>
      </c>
      <c r="D186" s="35"/>
      <c r="E186" s="53" t="s">
        <v>547</v>
      </c>
      <c r="F186" s="97">
        <f t="shared" si="19"/>
        <v>300</v>
      </c>
      <c r="G186" s="97">
        <f t="shared" si="19"/>
        <v>300</v>
      </c>
      <c r="H186" s="65">
        <f t="shared" si="16"/>
        <v>100</v>
      </c>
    </row>
    <row r="187" spans="1:8" s="32" customFormat="1" ht="25.5">
      <c r="A187" s="85" t="s">
        <v>142</v>
      </c>
      <c r="B187" s="85" t="s">
        <v>136</v>
      </c>
      <c r="C187" s="52" t="s">
        <v>38</v>
      </c>
      <c r="D187" s="21"/>
      <c r="E187" s="48" t="s">
        <v>251</v>
      </c>
      <c r="F187" s="40">
        <f t="shared" si="19"/>
        <v>300</v>
      </c>
      <c r="G187" s="40">
        <f t="shared" si="19"/>
        <v>300</v>
      </c>
      <c r="H187" s="42">
        <f t="shared" si="16"/>
        <v>100</v>
      </c>
    </row>
    <row r="188" spans="1:8" s="32" customFormat="1" ht="63.75">
      <c r="A188" s="85" t="s">
        <v>142</v>
      </c>
      <c r="B188" s="85" t="s">
        <v>136</v>
      </c>
      <c r="C188" s="74" t="s">
        <v>317</v>
      </c>
      <c r="D188" s="16"/>
      <c r="E188" s="102" t="s">
        <v>253</v>
      </c>
      <c r="F188" s="41">
        <f t="shared" si="19"/>
        <v>300</v>
      </c>
      <c r="G188" s="41">
        <f t="shared" si="19"/>
        <v>300</v>
      </c>
      <c r="H188" s="99">
        <f t="shared" si="16"/>
        <v>100</v>
      </c>
    </row>
    <row r="189" spans="1:8" s="32" customFormat="1" ht="14.25">
      <c r="A189" s="85" t="s">
        <v>142</v>
      </c>
      <c r="B189" s="85" t="s">
        <v>136</v>
      </c>
      <c r="C189" s="74" t="s">
        <v>317</v>
      </c>
      <c r="D189" s="21" t="s">
        <v>334</v>
      </c>
      <c r="E189" s="102" t="s">
        <v>333</v>
      </c>
      <c r="F189" s="41">
        <v>300</v>
      </c>
      <c r="G189" s="41">
        <v>300</v>
      </c>
      <c r="H189" s="99">
        <f t="shared" si="16"/>
        <v>100</v>
      </c>
    </row>
    <row r="190" spans="1:8" s="32" customFormat="1" ht="14.25">
      <c r="A190" s="30" t="s">
        <v>142</v>
      </c>
      <c r="B190" s="30" t="s">
        <v>143</v>
      </c>
      <c r="C190" s="30"/>
      <c r="D190" s="30"/>
      <c r="E190" s="45" t="s">
        <v>151</v>
      </c>
      <c r="F190" s="40">
        <f>F191</f>
        <v>1503.9</v>
      </c>
      <c r="G190" s="40">
        <f>G191</f>
        <v>1503.8</v>
      </c>
      <c r="H190" s="42">
        <f t="shared" si="16"/>
        <v>100</v>
      </c>
    </row>
    <row r="191" spans="1:8" s="32" customFormat="1" ht="51">
      <c r="A191" s="5" t="s">
        <v>142</v>
      </c>
      <c r="B191" s="5" t="s">
        <v>143</v>
      </c>
      <c r="C191" s="76">
        <v>400000000</v>
      </c>
      <c r="D191" s="30"/>
      <c r="E191" s="64" t="s">
        <v>520</v>
      </c>
      <c r="F191" s="100">
        <f>F192</f>
        <v>1503.9</v>
      </c>
      <c r="G191" s="100">
        <f>G192</f>
        <v>1503.8</v>
      </c>
      <c r="H191" s="62">
        <f t="shared" si="16"/>
        <v>100</v>
      </c>
    </row>
    <row r="192" spans="1:8" s="32" customFormat="1" ht="38.25">
      <c r="A192" s="16" t="s">
        <v>142</v>
      </c>
      <c r="B192" s="16" t="s">
        <v>143</v>
      </c>
      <c r="C192" s="75">
        <v>410000000</v>
      </c>
      <c r="D192" s="30"/>
      <c r="E192" s="46" t="s">
        <v>230</v>
      </c>
      <c r="F192" s="98">
        <f>+F193+F195+F197+F199</f>
        <v>1503.9</v>
      </c>
      <c r="G192" s="98">
        <f>+G193+G195+G197+G199</f>
        <v>1503.8</v>
      </c>
      <c r="H192" s="58">
        <f t="shared" si="16"/>
        <v>100</v>
      </c>
    </row>
    <row r="193" spans="1:8" s="32" customFormat="1" ht="38.25">
      <c r="A193" s="85" t="s">
        <v>142</v>
      </c>
      <c r="B193" s="85" t="s">
        <v>143</v>
      </c>
      <c r="C193" s="74" t="s">
        <v>231</v>
      </c>
      <c r="D193" s="16"/>
      <c r="E193" s="22" t="s">
        <v>70</v>
      </c>
      <c r="F193" s="39">
        <f>F194</f>
        <v>100</v>
      </c>
      <c r="G193" s="39">
        <f>G194</f>
        <v>100</v>
      </c>
      <c r="H193" s="99">
        <f t="shared" si="16"/>
        <v>100</v>
      </c>
    </row>
    <row r="194" spans="1:8" s="32" customFormat="1" ht="63.75">
      <c r="A194" s="85" t="s">
        <v>142</v>
      </c>
      <c r="B194" s="85" t="s">
        <v>143</v>
      </c>
      <c r="C194" s="74" t="s">
        <v>231</v>
      </c>
      <c r="D194" s="16" t="s">
        <v>15</v>
      </c>
      <c r="E194" s="102" t="s">
        <v>696</v>
      </c>
      <c r="F194" s="39">
        <v>100</v>
      </c>
      <c r="G194" s="39">
        <v>100</v>
      </c>
      <c r="H194" s="58">
        <f t="shared" ref="H194:H252" si="20">ROUND((G194/F194*100),1)</f>
        <v>100</v>
      </c>
    </row>
    <row r="195" spans="1:8" s="32" customFormat="1" ht="25.5">
      <c r="A195" s="85" t="s">
        <v>142</v>
      </c>
      <c r="B195" s="85" t="s">
        <v>143</v>
      </c>
      <c r="C195" s="74" t="s">
        <v>458</v>
      </c>
      <c r="D195" s="16"/>
      <c r="E195" s="104" t="s">
        <v>240</v>
      </c>
      <c r="F195" s="39">
        <f>F196</f>
        <v>408.9</v>
      </c>
      <c r="G195" s="39">
        <f>G196</f>
        <v>408.9</v>
      </c>
      <c r="H195" s="99">
        <f t="shared" si="20"/>
        <v>100</v>
      </c>
    </row>
    <row r="196" spans="1:8" s="32" customFormat="1" ht="38.25">
      <c r="A196" s="85" t="s">
        <v>142</v>
      </c>
      <c r="B196" s="85" t="s">
        <v>143</v>
      </c>
      <c r="C196" s="74" t="s">
        <v>458</v>
      </c>
      <c r="D196" s="85" t="s">
        <v>314</v>
      </c>
      <c r="E196" s="102" t="s">
        <v>315</v>
      </c>
      <c r="F196" s="39">
        <f>463.5-10-44.6</f>
        <v>408.9</v>
      </c>
      <c r="G196" s="39">
        <f>463.5-10-44.6</f>
        <v>408.9</v>
      </c>
      <c r="H196" s="99">
        <f t="shared" si="20"/>
        <v>100</v>
      </c>
    </row>
    <row r="197" spans="1:8" s="32" customFormat="1" ht="63.75">
      <c r="A197" s="85" t="s">
        <v>142</v>
      </c>
      <c r="B197" s="85" t="s">
        <v>143</v>
      </c>
      <c r="C197" s="74" t="s">
        <v>307</v>
      </c>
      <c r="D197" s="16"/>
      <c r="E197" s="102" t="s">
        <v>318</v>
      </c>
      <c r="F197" s="39">
        <f>F198</f>
        <v>500</v>
      </c>
      <c r="G197" s="39">
        <f>G198</f>
        <v>499.9</v>
      </c>
      <c r="H197" s="99">
        <f t="shared" si="20"/>
        <v>100</v>
      </c>
    </row>
    <row r="198" spans="1:8" s="32" customFormat="1" ht="63.75">
      <c r="A198" s="85" t="s">
        <v>142</v>
      </c>
      <c r="B198" s="85" t="s">
        <v>143</v>
      </c>
      <c r="C198" s="74" t="s">
        <v>307</v>
      </c>
      <c r="D198" s="16" t="s">
        <v>15</v>
      </c>
      <c r="E198" s="102" t="s">
        <v>696</v>
      </c>
      <c r="F198" s="39">
        <v>500</v>
      </c>
      <c r="G198" s="113">
        <v>499.9</v>
      </c>
      <c r="H198" s="99">
        <f t="shared" si="20"/>
        <v>100</v>
      </c>
    </row>
    <row r="199" spans="1:8" s="32" customFormat="1" ht="63" customHeight="1">
      <c r="A199" s="85" t="s">
        <v>142</v>
      </c>
      <c r="B199" s="85" t="s">
        <v>143</v>
      </c>
      <c r="C199" s="74" t="s">
        <v>784</v>
      </c>
      <c r="D199" s="85"/>
      <c r="E199" s="102" t="s">
        <v>785</v>
      </c>
      <c r="F199" s="41">
        <f>F200</f>
        <v>495</v>
      </c>
      <c r="G199" s="41">
        <f>G200</f>
        <v>495</v>
      </c>
      <c r="H199" s="99">
        <f t="shared" si="20"/>
        <v>100</v>
      </c>
    </row>
    <row r="200" spans="1:8" s="32" customFormat="1" ht="63.75">
      <c r="A200" s="85" t="s">
        <v>142</v>
      </c>
      <c r="B200" s="85" t="s">
        <v>143</v>
      </c>
      <c r="C200" s="74" t="s">
        <v>784</v>
      </c>
      <c r="D200" s="16" t="s">
        <v>15</v>
      </c>
      <c r="E200" s="102" t="s">
        <v>696</v>
      </c>
      <c r="F200" s="41">
        <f>500-5</f>
        <v>495</v>
      </c>
      <c r="G200" s="113">
        <v>495</v>
      </c>
      <c r="H200" s="99">
        <f t="shared" si="20"/>
        <v>100</v>
      </c>
    </row>
    <row r="201" spans="1:8" ht="14.25">
      <c r="A201" s="30" t="s">
        <v>142</v>
      </c>
      <c r="B201" s="30" t="s">
        <v>149</v>
      </c>
      <c r="C201" s="30"/>
      <c r="D201" s="30"/>
      <c r="E201" s="27" t="s">
        <v>1</v>
      </c>
      <c r="F201" s="40">
        <f t="shared" ref="F201:G202" si="21">F202</f>
        <v>24622.1</v>
      </c>
      <c r="G201" s="40">
        <f t="shared" si="21"/>
        <v>19926.599999999999</v>
      </c>
      <c r="H201" s="42">
        <f t="shared" si="20"/>
        <v>80.900000000000006</v>
      </c>
    </row>
    <row r="202" spans="1:8" ht="51" customHeight="1">
      <c r="A202" s="5" t="s">
        <v>142</v>
      </c>
      <c r="B202" s="5" t="s">
        <v>149</v>
      </c>
      <c r="C202" s="73" t="s">
        <v>108</v>
      </c>
      <c r="D202" s="30"/>
      <c r="E202" s="64" t="s">
        <v>522</v>
      </c>
      <c r="F202" s="100">
        <f t="shared" si="21"/>
        <v>24622.1</v>
      </c>
      <c r="G202" s="100">
        <f t="shared" si="21"/>
        <v>19926.599999999999</v>
      </c>
      <c r="H202" s="62">
        <f t="shared" si="20"/>
        <v>80.900000000000006</v>
      </c>
    </row>
    <row r="203" spans="1:8" ht="63.75">
      <c r="A203" s="16" t="s">
        <v>142</v>
      </c>
      <c r="B203" s="16" t="s">
        <v>149</v>
      </c>
      <c r="C203" s="52" t="s">
        <v>319</v>
      </c>
      <c r="D203" s="30"/>
      <c r="E203" s="46" t="s">
        <v>264</v>
      </c>
      <c r="F203" s="98">
        <f>F204+F206+F208+F210+F212</f>
        <v>24622.1</v>
      </c>
      <c r="G203" s="98">
        <f>G204+G206+G208+G210+G212</f>
        <v>19926.599999999999</v>
      </c>
      <c r="H203" s="58">
        <f t="shared" si="20"/>
        <v>80.900000000000006</v>
      </c>
    </row>
    <row r="204" spans="1:8" ht="63.75">
      <c r="A204" s="16" t="s">
        <v>142</v>
      </c>
      <c r="B204" s="16" t="s">
        <v>149</v>
      </c>
      <c r="C204" s="74" t="s">
        <v>471</v>
      </c>
      <c r="D204" s="30"/>
      <c r="E204" s="101" t="s">
        <v>320</v>
      </c>
      <c r="F204" s="39">
        <f>F205</f>
        <v>4689.2</v>
      </c>
      <c r="G204" s="39">
        <f>G205</f>
        <v>4078.6</v>
      </c>
      <c r="H204" s="99">
        <f t="shared" si="20"/>
        <v>87</v>
      </c>
    </row>
    <row r="205" spans="1:8" ht="38.25">
      <c r="A205" s="16" t="s">
        <v>142</v>
      </c>
      <c r="B205" s="16" t="s">
        <v>149</v>
      </c>
      <c r="C205" s="74" t="s">
        <v>471</v>
      </c>
      <c r="D205" s="85" t="s">
        <v>314</v>
      </c>
      <c r="E205" s="102" t="s">
        <v>315</v>
      </c>
      <c r="F205" s="39">
        <v>4689.2</v>
      </c>
      <c r="G205" s="113">
        <v>4078.6</v>
      </c>
      <c r="H205" s="99">
        <f t="shared" si="20"/>
        <v>87</v>
      </c>
    </row>
    <row r="206" spans="1:8" ht="51" customHeight="1">
      <c r="A206" s="16" t="s">
        <v>142</v>
      </c>
      <c r="B206" s="16" t="s">
        <v>149</v>
      </c>
      <c r="C206" s="74" t="s">
        <v>523</v>
      </c>
      <c r="D206" s="16"/>
      <c r="E206" s="130" t="s">
        <v>524</v>
      </c>
      <c r="F206" s="39">
        <f>F207</f>
        <v>53</v>
      </c>
      <c r="G206" s="39">
        <f>G207</f>
        <v>53</v>
      </c>
      <c r="H206" s="99">
        <f t="shared" si="20"/>
        <v>100</v>
      </c>
    </row>
    <row r="207" spans="1:8" ht="38.25">
      <c r="A207" s="16" t="s">
        <v>142</v>
      </c>
      <c r="B207" s="16" t="s">
        <v>149</v>
      </c>
      <c r="C207" s="74" t="s">
        <v>523</v>
      </c>
      <c r="D207" s="85" t="s">
        <v>314</v>
      </c>
      <c r="E207" s="102" t="s">
        <v>315</v>
      </c>
      <c r="F207" s="39">
        <f>80-27</f>
        <v>53</v>
      </c>
      <c r="G207" s="113">
        <v>53</v>
      </c>
      <c r="H207" s="99">
        <f t="shared" si="20"/>
        <v>100</v>
      </c>
    </row>
    <row r="208" spans="1:8" ht="63.75" customHeight="1">
      <c r="A208" s="16" t="s">
        <v>142</v>
      </c>
      <c r="B208" s="16" t="s">
        <v>149</v>
      </c>
      <c r="C208" s="74" t="s">
        <v>477</v>
      </c>
      <c r="D208" s="16"/>
      <c r="E208" s="130" t="s">
        <v>481</v>
      </c>
      <c r="F208" s="39">
        <f>F209</f>
        <v>1021.1</v>
      </c>
      <c r="G208" s="39">
        <f>G209</f>
        <v>981.2</v>
      </c>
      <c r="H208" s="99">
        <f t="shared" si="20"/>
        <v>96.1</v>
      </c>
    </row>
    <row r="209" spans="1:8" ht="38.25">
      <c r="A209" s="16" t="s">
        <v>142</v>
      </c>
      <c r="B209" s="16" t="s">
        <v>149</v>
      </c>
      <c r="C209" s="74" t="s">
        <v>477</v>
      </c>
      <c r="D209" s="85" t="s">
        <v>314</v>
      </c>
      <c r="E209" s="102" t="s">
        <v>315</v>
      </c>
      <c r="F209" s="39">
        <f>855.5+13+80.6+72</f>
        <v>1021.1</v>
      </c>
      <c r="G209" s="113">
        <v>981.2</v>
      </c>
      <c r="H209" s="99">
        <f t="shared" si="20"/>
        <v>96.1</v>
      </c>
    </row>
    <row r="210" spans="1:8" ht="76.5">
      <c r="A210" s="16" t="s">
        <v>142</v>
      </c>
      <c r="B210" s="16" t="s">
        <v>149</v>
      </c>
      <c r="C210" s="74">
        <v>920110300</v>
      </c>
      <c r="D210" s="85"/>
      <c r="E210" s="54" t="s">
        <v>622</v>
      </c>
      <c r="F210" s="39">
        <f>F211</f>
        <v>18756.8</v>
      </c>
      <c r="G210" s="39">
        <f>G211</f>
        <v>14711.8</v>
      </c>
      <c r="H210" s="99">
        <f t="shared" si="20"/>
        <v>78.400000000000006</v>
      </c>
    </row>
    <row r="211" spans="1:8" ht="38.25">
      <c r="A211" s="16" t="s">
        <v>142</v>
      </c>
      <c r="B211" s="16" t="s">
        <v>149</v>
      </c>
      <c r="C211" s="74">
        <v>920110300</v>
      </c>
      <c r="D211" s="85" t="s">
        <v>314</v>
      </c>
      <c r="E211" s="102" t="s">
        <v>315</v>
      </c>
      <c r="F211" s="39">
        <v>18756.8</v>
      </c>
      <c r="G211" s="113">
        <v>14711.8</v>
      </c>
      <c r="H211" s="99">
        <f t="shared" si="20"/>
        <v>78.400000000000006</v>
      </c>
    </row>
    <row r="212" spans="1:8" ht="38.25">
      <c r="A212" s="16" t="s">
        <v>142</v>
      </c>
      <c r="B212" s="16" t="s">
        <v>149</v>
      </c>
      <c r="C212" s="74" t="s">
        <v>719</v>
      </c>
      <c r="D212" s="16"/>
      <c r="E212" s="130" t="s">
        <v>720</v>
      </c>
      <c r="F212" s="39">
        <f>F213</f>
        <v>102</v>
      </c>
      <c r="G212" s="39">
        <f>G213</f>
        <v>102</v>
      </c>
      <c r="H212" s="99">
        <f t="shared" si="20"/>
        <v>100</v>
      </c>
    </row>
    <row r="213" spans="1:8" ht="38.25">
      <c r="A213" s="16" t="s">
        <v>142</v>
      </c>
      <c r="B213" s="16" t="s">
        <v>149</v>
      </c>
      <c r="C213" s="74" t="s">
        <v>719</v>
      </c>
      <c r="D213" s="85" t="s">
        <v>314</v>
      </c>
      <c r="E213" s="102" t="s">
        <v>315</v>
      </c>
      <c r="F213" s="39">
        <v>102</v>
      </c>
      <c r="G213" s="113">
        <v>102</v>
      </c>
      <c r="H213" s="99">
        <f t="shared" si="20"/>
        <v>100</v>
      </c>
    </row>
    <row r="214" spans="1:8" ht="28.5">
      <c r="A214" s="30" t="s">
        <v>142</v>
      </c>
      <c r="B214" s="30" t="s">
        <v>147</v>
      </c>
      <c r="C214" s="30"/>
      <c r="D214" s="30"/>
      <c r="E214" s="50" t="s">
        <v>292</v>
      </c>
      <c r="F214" s="40">
        <f>F215+F239+F250+F266</f>
        <v>141582.20000000001</v>
      </c>
      <c r="G214" s="40">
        <f>G215+G239+G250+G266</f>
        <v>131725.1</v>
      </c>
      <c r="H214" s="42">
        <f t="shared" si="20"/>
        <v>93</v>
      </c>
    </row>
    <row r="215" spans="1:8" ht="49.5" customHeight="1">
      <c r="A215" s="5" t="s">
        <v>142</v>
      </c>
      <c r="B215" s="5" t="s">
        <v>147</v>
      </c>
      <c r="C215" s="73" t="s">
        <v>108</v>
      </c>
      <c r="D215" s="30"/>
      <c r="E215" s="64" t="s">
        <v>522</v>
      </c>
      <c r="F215" s="100">
        <f>F216</f>
        <v>129498.7</v>
      </c>
      <c r="G215" s="100">
        <f>G216</f>
        <v>121344.1</v>
      </c>
      <c r="H215" s="62">
        <f t="shared" si="20"/>
        <v>93.7</v>
      </c>
    </row>
    <row r="216" spans="1:8" ht="53.25" customHeight="1">
      <c r="A216" s="16" t="s">
        <v>142</v>
      </c>
      <c r="B216" s="16" t="s">
        <v>147</v>
      </c>
      <c r="C216" s="52" t="s">
        <v>109</v>
      </c>
      <c r="D216" s="30"/>
      <c r="E216" s="46" t="s">
        <v>229</v>
      </c>
      <c r="F216" s="98">
        <f>F217+F219+F221+F223+F225+F227+F229+F231+F233+F235+F237</f>
        <v>129498.7</v>
      </c>
      <c r="G216" s="98">
        <f>G217+G219+G221+G223+G225+G227+G229+G231+G233+G235+G237</f>
        <v>121344.1</v>
      </c>
      <c r="H216" s="58">
        <f t="shared" si="20"/>
        <v>93.7</v>
      </c>
    </row>
    <row r="217" spans="1:8" ht="76.5">
      <c r="A217" s="16" t="s">
        <v>142</v>
      </c>
      <c r="B217" s="16" t="s">
        <v>147</v>
      </c>
      <c r="C217" s="79" t="s">
        <v>110</v>
      </c>
      <c r="D217" s="122"/>
      <c r="E217" s="119" t="s">
        <v>790</v>
      </c>
      <c r="F217" s="113">
        <f>F218</f>
        <v>8763.2999999999993</v>
      </c>
      <c r="G217" s="113">
        <f>G218</f>
        <v>8763.2999999999993</v>
      </c>
      <c r="H217" s="99">
        <f t="shared" si="20"/>
        <v>100</v>
      </c>
    </row>
    <row r="218" spans="1:8" ht="38.25">
      <c r="A218" s="16" t="s">
        <v>142</v>
      </c>
      <c r="B218" s="16" t="s">
        <v>147</v>
      </c>
      <c r="C218" s="79" t="s">
        <v>110</v>
      </c>
      <c r="D218" s="85" t="s">
        <v>314</v>
      </c>
      <c r="E218" s="102" t="s">
        <v>315</v>
      </c>
      <c r="F218" s="113">
        <f>11023-300-300-1659.7</f>
        <v>8763.2999999999993</v>
      </c>
      <c r="G218" s="113">
        <f>11023-300-300-1659.7</f>
        <v>8763.2999999999993</v>
      </c>
      <c r="H218" s="99">
        <f t="shared" si="20"/>
        <v>100</v>
      </c>
    </row>
    <row r="219" spans="1:8" ht="63.75" customHeight="1">
      <c r="A219" s="16" t="s">
        <v>142</v>
      </c>
      <c r="B219" s="16" t="s">
        <v>147</v>
      </c>
      <c r="C219" s="79">
        <v>910110520</v>
      </c>
      <c r="D219" s="122"/>
      <c r="E219" s="119" t="s">
        <v>261</v>
      </c>
      <c r="F219" s="113">
        <f>F220</f>
        <v>11938.8</v>
      </c>
      <c r="G219" s="113">
        <f>G220</f>
        <v>11938.8</v>
      </c>
      <c r="H219" s="99">
        <f t="shared" si="20"/>
        <v>100</v>
      </c>
    </row>
    <row r="220" spans="1:8" ht="25.5">
      <c r="A220" s="16" t="s">
        <v>142</v>
      </c>
      <c r="B220" s="16" t="s">
        <v>147</v>
      </c>
      <c r="C220" s="79">
        <v>910110520</v>
      </c>
      <c r="D220" s="85" t="s">
        <v>314</v>
      </c>
      <c r="E220" s="102" t="s">
        <v>14</v>
      </c>
      <c r="F220" s="113">
        <f>12096.8-158</f>
        <v>11938.8</v>
      </c>
      <c r="G220" s="113">
        <f>12096.8-158</f>
        <v>11938.8</v>
      </c>
      <c r="H220" s="99">
        <f t="shared" si="20"/>
        <v>100</v>
      </c>
    </row>
    <row r="221" spans="1:8" ht="25.5">
      <c r="A221" s="16" t="s">
        <v>142</v>
      </c>
      <c r="B221" s="16" t="s">
        <v>147</v>
      </c>
      <c r="C221" s="79" t="s">
        <v>263</v>
      </c>
      <c r="D221" s="128"/>
      <c r="E221" s="102" t="s">
        <v>262</v>
      </c>
      <c r="F221" s="113">
        <f>F222</f>
        <v>15736.2</v>
      </c>
      <c r="G221" s="113">
        <f>G222</f>
        <v>14705</v>
      </c>
      <c r="H221" s="99">
        <f t="shared" si="20"/>
        <v>93.4</v>
      </c>
    </row>
    <row r="222" spans="1:8" ht="38.25">
      <c r="A222" s="16" t="s">
        <v>142</v>
      </c>
      <c r="B222" s="16" t="s">
        <v>147</v>
      </c>
      <c r="C222" s="79" t="s">
        <v>263</v>
      </c>
      <c r="D222" s="85" t="s">
        <v>314</v>
      </c>
      <c r="E222" s="102" t="s">
        <v>315</v>
      </c>
      <c r="F222" s="113">
        <f>15436.2+300+500-500</f>
        <v>15736.2</v>
      </c>
      <c r="G222" s="41">
        <v>14705</v>
      </c>
      <c r="H222" s="99">
        <f t="shared" si="20"/>
        <v>93.4</v>
      </c>
    </row>
    <row r="223" spans="1:8" ht="93" customHeight="1">
      <c r="A223" s="16" t="s">
        <v>142</v>
      </c>
      <c r="B223" s="16" t="s">
        <v>147</v>
      </c>
      <c r="C223" s="79" t="s">
        <v>591</v>
      </c>
      <c r="D223" s="128"/>
      <c r="E223" s="102" t="s">
        <v>592</v>
      </c>
      <c r="F223" s="113">
        <f>F224</f>
        <v>1545.8000000000002</v>
      </c>
      <c r="G223" s="113">
        <f>G224</f>
        <v>1526</v>
      </c>
      <c r="H223" s="99">
        <f t="shared" si="20"/>
        <v>98.7</v>
      </c>
    </row>
    <row r="224" spans="1:8" ht="38.25">
      <c r="A224" s="16" t="s">
        <v>142</v>
      </c>
      <c r="B224" s="16" t="s">
        <v>147</v>
      </c>
      <c r="C224" s="79" t="s">
        <v>591</v>
      </c>
      <c r="D224" s="85" t="s">
        <v>314</v>
      </c>
      <c r="E224" s="102" t="s">
        <v>315</v>
      </c>
      <c r="F224" s="113">
        <f>320+300+27.9+1539.4-102-2.5-13+1656-1700-480</f>
        <v>1545.8000000000002</v>
      </c>
      <c r="G224" s="113">
        <v>1526</v>
      </c>
      <c r="H224" s="99">
        <f t="shared" si="20"/>
        <v>98.7</v>
      </c>
    </row>
    <row r="225" spans="1:8" ht="25.5">
      <c r="A225" s="16" t="s">
        <v>142</v>
      </c>
      <c r="B225" s="16" t="s">
        <v>147</v>
      </c>
      <c r="C225" s="79" t="s">
        <v>707</v>
      </c>
      <c r="D225" s="85"/>
      <c r="E225" s="161" t="s">
        <v>706</v>
      </c>
      <c r="F225" s="113">
        <f>F226</f>
        <v>99.2</v>
      </c>
      <c r="G225" s="113">
        <f>G226</f>
        <v>99.2</v>
      </c>
      <c r="H225" s="99">
        <f t="shared" si="20"/>
        <v>100</v>
      </c>
    </row>
    <row r="226" spans="1:8" ht="38.25">
      <c r="A226" s="16" t="s">
        <v>142</v>
      </c>
      <c r="B226" s="16" t="s">
        <v>147</v>
      </c>
      <c r="C226" s="79" t="s">
        <v>707</v>
      </c>
      <c r="D226" s="85" t="s">
        <v>314</v>
      </c>
      <c r="E226" s="102" t="s">
        <v>315</v>
      </c>
      <c r="F226" s="113">
        <v>99.2</v>
      </c>
      <c r="G226" s="113">
        <v>99.2</v>
      </c>
      <c r="H226" s="99">
        <f t="shared" si="20"/>
        <v>100</v>
      </c>
    </row>
    <row r="227" spans="1:8" ht="51">
      <c r="A227" s="16" t="s">
        <v>142</v>
      </c>
      <c r="B227" s="16" t="s">
        <v>147</v>
      </c>
      <c r="C227" s="79" t="s">
        <v>624</v>
      </c>
      <c r="D227" s="85"/>
      <c r="E227" s="152" t="s">
        <v>623</v>
      </c>
      <c r="F227" s="113">
        <f>F228</f>
        <v>1288.3000000000002</v>
      </c>
      <c r="G227" s="113">
        <f>G228</f>
        <v>878.6</v>
      </c>
      <c r="H227" s="99">
        <f t="shared" si="20"/>
        <v>68.2</v>
      </c>
    </row>
    <row r="228" spans="1:8" ht="38.25">
      <c r="A228" s="16" t="s">
        <v>142</v>
      </c>
      <c r="B228" s="16" t="s">
        <v>147</v>
      </c>
      <c r="C228" s="79" t="s">
        <v>624</v>
      </c>
      <c r="D228" s="85" t="s">
        <v>314</v>
      </c>
      <c r="E228" s="102" t="s">
        <v>315</v>
      </c>
      <c r="F228" s="113">
        <f>2320.3-251.1-780.9</f>
        <v>1288.3000000000002</v>
      </c>
      <c r="G228" s="113">
        <v>878.6</v>
      </c>
      <c r="H228" s="99">
        <f t="shared" si="20"/>
        <v>68.2</v>
      </c>
    </row>
    <row r="229" spans="1:8" ht="51">
      <c r="A229" s="16" t="s">
        <v>142</v>
      </c>
      <c r="B229" s="16" t="s">
        <v>147</v>
      </c>
      <c r="C229" s="79">
        <v>910111020</v>
      </c>
      <c r="D229" s="85"/>
      <c r="E229" s="152" t="s">
        <v>625</v>
      </c>
      <c r="F229" s="113">
        <f>F230</f>
        <v>4731.8</v>
      </c>
      <c r="G229" s="113">
        <f>G230</f>
        <v>3392.2</v>
      </c>
      <c r="H229" s="99">
        <f t="shared" si="20"/>
        <v>71.7</v>
      </c>
    </row>
    <row r="230" spans="1:8" ht="38.25">
      <c r="A230" s="16" t="s">
        <v>142</v>
      </c>
      <c r="B230" s="16" t="s">
        <v>147</v>
      </c>
      <c r="C230" s="79">
        <v>910111020</v>
      </c>
      <c r="D230" s="85" t="s">
        <v>314</v>
      </c>
      <c r="E230" s="102" t="s">
        <v>315</v>
      </c>
      <c r="F230" s="113">
        <v>4731.8</v>
      </c>
      <c r="G230" s="103">
        <v>3392.2</v>
      </c>
      <c r="H230" s="99">
        <f t="shared" si="20"/>
        <v>71.7</v>
      </c>
    </row>
    <row r="231" spans="1:8" ht="25.5">
      <c r="A231" s="16" t="s">
        <v>142</v>
      </c>
      <c r="B231" s="16" t="s">
        <v>147</v>
      </c>
      <c r="C231" s="79" t="s">
        <v>619</v>
      </c>
      <c r="D231" s="85"/>
      <c r="E231" s="102" t="s">
        <v>620</v>
      </c>
      <c r="F231" s="113">
        <f>F232</f>
        <v>38078.1</v>
      </c>
      <c r="G231" s="41">
        <f t="shared" ref="G231" si="22">G232</f>
        <v>33140.800000000003</v>
      </c>
      <c r="H231" s="99">
        <f t="shared" si="20"/>
        <v>87</v>
      </c>
    </row>
    <row r="232" spans="1:8" ht="38.25">
      <c r="A232" s="16" t="s">
        <v>142</v>
      </c>
      <c r="B232" s="16" t="s">
        <v>147</v>
      </c>
      <c r="C232" s="79" t="s">
        <v>619</v>
      </c>
      <c r="D232" s="85" t="s">
        <v>314</v>
      </c>
      <c r="E232" s="102" t="s">
        <v>315</v>
      </c>
      <c r="F232" s="113">
        <f>10097.7+98.7+18501.8+9142.9-1656+1893</f>
        <v>38078.1</v>
      </c>
      <c r="G232" s="41">
        <v>33140.800000000003</v>
      </c>
      <c r="H232" s="99">
        <f t="shared" si="20"/>
        <v>87</v>
      </c>
    </row>
    <row r="233" spans="1:8" ht="25.5">
      <c r="A233" s="16" t="s">
        <v>142</v>
      </c>
      <c r="B233" s="16" t="s">
        <v>147</v>
      </c>
      <c r="C233" s="79">
        <v>910111050</v>
      </c>
      <c r="D233" s="85"/>
      <c r="E233" s="102" t="s">
        <v>621</v>
      </c>
      <c r="F233" s="113">
        <f>F234</f>
        <v>41082.5</v>
      </c>
      <c r="G233" s="41">
        <f t="shared" ref="G233" si="23">G234</f>
        <v>41082.5</v>
      </c>
      <c r="H233" s="99">
        <f t="shared" si="20"/>
        <v>100</v>
      </c>
    </row>
    <row r="234" spans="1:8" ht="38.25">
      <c r="A234" s="16" t="s">
        <v>142</v>
      </c>
      <c r="B234" s="16" t="s">
        <v>147</v>
      </c>
      <c r="C234" s="79">
        <v>910111050</v>
      </c>
      <c r="D234" s="85" t="s">
        <v>314</v>
      </c>
      <c r="E234" s="102" t="s">
        <v>315</v>
      </c>
      <c r="F234" s="113">
        <f>40390.6+691.9</f>
        <v>41082.5</v>
      </c>
      <c r="G234" s="41">
        <v>41082.5</v>
      </c>
      <c r="H234" s="99">
        <f t="shared" si="20"/>
        <v>100</v>
      </c>
    </row>
    <row r="235" spans="1:8" ht="25.5">
      <c r="A235" s="16" t="s">
        <v>142</v>
      </c>
      <c r="B235" s="16" t="s">
        <v>147</v>
      </c>
      <c r="C235" s="79" t="s">
        <v>717</v>
      </c>
      <c r="D235" s="85"/>
      <c r="E235" s="102" t="s">
        <v>718</v>
      </c>
      <c r="F235" s="113">
        <f>F236</f>
        <v>5606.7</v>
      </c>
      <c r="G235" s="113">
        <f>G236</f>
        <v>5606.6</v>
      </c>
      <c r="H235" s="99">
        <f t="shared" si="20"/>
        <v>100</v>
      </c>
    </row>
    <row r="236" spans="1:8" ht="38.25">
      <c r="A236" s="16" t="s">
        <v>142</v>
      </c>
      <c r="B236" s="16" t="s">
        <v>147</v>
      </c>
      <c r="C236" s="79" t="s">
        <v>717</v>
      </c>
      <c r="D236" s="85" t="s">
        <v>314</v>
      </c>
      <c r="E236" s="102" t="s">
        <v>315</v>
      </c>
      <c r="F236" s="113">
        <f>5200+351.4+500-444.7</f>
        <v>5606.7</v>
      </c>
      <c r="G236" s="113">
        <v>5606.6</v>
      </c>
      <c r="H236" s="99">
        <f t="shared" si="20"/>
        <v>100</v>
      </c>
    </row>
    <row r="237" spans="1:8" ht="38.25">
      <c r="A237" s="16" t="s">
        <v>142</v>
      </c>
      <c r="B237" s="16" t="s">
        <v>147</v>
      </c>
      <c r="C237" s="79" t="s">
        <v>661</v>
      </c>
      <c r="D237" s="85"/>
      <c r="E237" s="102" t="s">
        <v>662</v>
      </c>
      <c r="F237" s="113">
        <f>F238</f>
        <v>628</v>
      </c>
      <c r="G237" s="41">
        <f t="shared" ref="G237" si="24">G238</f>
        <v>211.1</v>
      </c>
      <c r="H237" s="99">
        <f t="shared" si="20"/>
        <v>33.6</v>
      </c>
    </row>
    <row r="238" spans="1:8" ht="38.25">
      <c r="A238" s="16" t="s">
        <v>142</v>
      </c>
      <c r="B238" s="16" t="s">
        <v>147</v>
      </c>
      <c r="C238" s="79" t="s">
        <v>661</v>
      </c>
      <c r="D238" s="85" t="s">
        <v>314</v>
      </c>
      <c r="E238" s="102" t="s">
        <v>315</v>
      </c>
      <c r="F238" s="113">
        <f>700-72</f>
        <v>628</v>
      </c>
      <c r="G238" s="41">
        <v>211.1</v>
      </c>
      <c r="H238" s="99">
        <f t="shared" si="20"/>
        <v>33.6</v>
      </c>
    </row>
    <row r="239" spans="1:8" ht="51">
      <c r="A239" s="5" t="s">
        <v>142</v>
      </c>
      <c r="B239" s="5" t="s">
        <v>147</v>
      </c>
      <c r="C239" s="73" t="s">
        <v>85</v>
      </c>
      <c r="D239" s="16"/>
      <c r="E239" s="53" t="s">
        <v>541</v>
      </c>
      <c r="F239" s="124">
        <f>F240+F245</f>
        <v>3003.5</v>
      </c>
      <c r="G239" s="124">
        <f>G240+G245</f>
        <v>1639.8</v>
      </c>
      <c r="H239" s="62">
        <f t="shared" si="20"/>
        <v>54.6</v>
      </c>
    </row>
    <row r="240" spans="1:8" ht="52.5" customHeight="1">
      <c r="A240" s="16" t="s">
        <v>142</v>
      </c>
      <c r="B240" s="16" t="s">
        <v>147</v>
      </c>
      <c r="C240" s="52" t="s">
        <v>671</v>
      </c>
      <c r="D240" s="16"/>
      <c r="E240" s="60" t="s">
        <v>672</v>
      </c>
      <c r="F240" s="98">
        <f>F241+F243</f>
        <v>1774.8999999999999</v>
      </c>
      <c r="G240" s="98">
        <f>G241+G243</f>
        <v>1618.3</v>
      </c>
      <c r="H240" s="58">
        <f t="shared" si="20"/>
        <v>91.2</v>
      </c>
    </row>
    <row r="241" spans="1:8" ht="53.25" customHeight="1">
      <c r="A241" s="16" t="s">
        <v>142</v>
      </c>
      <c r="B241" s="16" t="s">
        <v>147</v>
      </c>
      <c r="C241" s="21" t="s">
        <v>680</v>
      </c>
      <c r="D241" s="85"/>
      <c r="E241" s="102" t="s">
        <v>668</v>
      </c>
      <c r="F241" s="41">
        <f>F242</f>
        <v>1175.0999999999999</v>
      </c>
      <c r="G241" s="41">
        <f>G242</f>
        <v>1018.5</v>
      </c>
      <c r="H241" s="99">
        <f t="shared" si="20"/>
        <v>86.7</v>
      </c>
    </row>
    <row r="242" spans="1:8" ht="38.25">
      <c r="A242" s="16" t="s">
        <v>142</v>
      </c>
      <c r="B242" s="16" t="s">
        <v>147</v>
      </c>
      <c r="C242" s="21" t="s">
        <v>680</v>
      </c>
      <c r="D242" s="85" t="s">
        <v>314</v>
      </c>
      <c r="E242" s="102" t="s">
        <v>315</v>
      </c>
      <c r="F242" s="41">
        <f>253.4+3604.6+30-2399.3-313.8-247.7+247.9</f>
        <v>1175.0999999999999</v>
      </c>
      <c r="G242" s="41">
        <v>1018.5</v>
      </c>
      <c r="H242" s="99">
        <f t="shared" si="20"/>
        <v>86.7</v>
      </c>
    </row>
    <row r="243" spans="1:8" ht="38.25">
      <c r="A243" s="16" t="s">
        <v>142</v>
      </c>
      <c r="B243" s="16" t="s">
        <v>147</v>
      </c>
      <c r="C243" s="21" t="s">
        <v>766</v>
      </c>
      <c r="D243" s="85"/>
      <c r="E243" s="160" t="s">
        <v>758</v>
      </c>
      <c r="F243" s="41">
        <f>F244</f>
        <v>599.79999999999995</v>
      </c>
      <c r="G243" s="41">
        <f t="shared" ref="G243" si="25">G244</f>
        <v>599.79999999999995</v>
      </c>
      <c r="H243" s="99">
        <f t="shared" si="20"/>
        <v>100</v>
      </c>
    </row>
    <row r="244" spans="1:8" ht="38.25">
      <c r="A244" s="16" t="s">
        <v>142</v>
      </c>
      <c r="B244" s="16" t="s">
        <v>147</v>
      </c>
      <c r="C244" s="21" t="s">
        <v>766</v>
      </c>
      <c r="D244" s="85" t="s">
        <v>314</v>
      </c>
      <c r="E244" s="102" t="s">
        <v>315</v>
      </c>
      <c r="F244" s="41">
        <f>600-0.2</f>
        <v>599.79999999999995</v>
      </c>
      <c r="G244" s="41">
        <f>600-0.2</f>
        <v>599.79999999999995</v>
      </c>
      <c r="H244" s="99">
        <f t="shared" si="20"/>
        <v>100</v>
      </c>
    </row>
    <row r="245" spans="1:8" ht="52.5" customHeight="1">
      <c r="A245" s="16" t="s">
        <v>142</v>
      </c>
      <c r="B245" s="16" t="s">
        <v>147</v>
      </c>
      <c r="C245" s="52" t="s">
        <v>768</v>
      </c>
      <c r="D245" s="16"/>
      <c r="E245" s="60" t="s">
        <v>773</v>
      </c>
      <c r="F245" s="98">
        <f>F246+F248</f>
        <v>1228.5999999999999</v>
      </c>
      <c r="G245" s="98">
        <f>G246+G248</f>
        <v>21.5</v>
      </c>
      <c r="H245" s="58">
        <f t="shared" si="20"/>
        <v>1.7</v>
      </c>
    </row>
    <row r="246" spans="1:8" ht="51">
      <c r="A246" s="16" t="s">
        <v>142</v>
      </c>
      <c r="B246" s="16" t="s">
        <v>147</v>
      </c>
      <c r="C246" s="21" t="s">
        <v>769</v>
      </c>
      <c r="D246" s="85"/>
      <c r="E246" s="102" t="s">
        <v>770</v>
      </c>
      <c r="F246" s="41">
        <f>F247</f>
        <v>1042.3999999999999</v>
      </c>
      <c r="G246" s="41">
        <f>G247</f>
        <v>21.5</v>
      </c>
      <c r="H246" s="99">
        <f t="shared" si="20"/>
        <v>2.1</v>
      </c>
    </row>
    <row r="247" spans="1:8" ht="38.25">
      <c r="A247" s="16" t="s">
        <v>142</v>
      </c>
      <c r="B247" s="16" t="s">
        <v>147</v>
      </c>
      <c r="C247" s="21" t="s">
        <v>769</v>
      </c>
      <c r="D247" s="85" t="s">
        <v>314</v>
      </c>
      <c r="E247" s="102" t="s">
        <v>315</v>
      </c>
      <c r="F247" s="41">
        <f>1055.1-12.4-0.3</f>
        <v>1042.3999999999999</v>
      </c>
      <c r="G247" s="41">
        <v>21.5</v>
      </c>
      <c r="H247" s="99">
        <f t="shared" si="20"/>
        <v>2.1</v>
      </c>
    </row>
    <row r="248" spans="1:8" ht="63.75">
      <c r="A248" s="16" t="s">
        <v>142</v>
      </c>
      <c r="B248" s="16" t="s">
        <v>147</v>
      </c>
      <c r="C248" s="21" t="s">
        <v>772</v>
      </c>
      <c r="D248" s="85"/>
      <c r="E248" s="102" t="s">
        <v>771</v>
      </c>
      <c r="F248" s="41">
        <f>F249</f>
        <v>186.2</v>
      </c>
      <c r="G248" s="41">
        <f>G249</f>
        <v>0</v>
      </c>
      <c r="H248" s="99">
        <f t="shared" si="20"/>
        <v>0</v>
      </c>
    </row>
    <row r="249" spans="1:8" ht="38.25">
      <c r="A249" s="16" t="s">
        <v>142</v>
      </c>
      <c r="B249" s="16" t="s">
        <v>147</v>
      </c>
      <c r="C249" s="21" t="s">
        <v>772</v>
      </c>
      <c r="D249" s="85" t="s">
        <v>314</v>
      </c>
      <c r="E249" s="102" t="s">
        <v>315</v>
      </c>
      <c r="F249" s="41">
        <v>186.2</v>
      </c>
      <c r="G249" s="41"/>
      <c r="H249" s="99">
        <f t="shared" si="20"/>
        <v>0</v>
      </c>
    </row>
    <row r="250" spans="1:8" ht="50.25" customHeight="1">
      <c r="A250" s="73" t="s">
        <v>142</v>
      </c>
      <c r="B250" s="73" t="s">
        <v>147</v>
      </c>
      <c r="C250" s="73" t="s">
        <v>337</v>
      </c>
      <c r="D250" s="16"/>
      <c r="E250" s="64" t="s">
        <v>517</v>
      </c>
      <c r="F250" s="100">
        <f>F251</f>
        <v>5960.8</v>
      </c>
      <c r="G250" s="100">
        <f>G251</f>
        <v>5622.0000000000009</v>
      </c>
      <c r="H250" s="62">
        <f t="shared" si="20"/>
        <v>94.3</v>
      </c>
    </row>
    <row r="251" spans="1:8" ht="38.25">
      <c r="A251" s="21" t="s">
        <v>142</v>
      </c>
      <c r="B251" s="21" t="s">
        <v>147</v>
      </c>
      <c r="C251" s="52" t="s">
        <v>338</v>
      </c>
      <c r="D251" s="16"/>
      <c r="E251" s="48" t="s">
        <v>339</v>
      </c>
      <c r="F251" s="58">
        <f>F252+F254+F256+F258+F260+F262+F264</f>
        <v>5960.8</v>
      </c>
      <c r="G251" s="58">
        <f>G252+G254+G256+G258+G260+G262+G264</f>
        <v>5622.0000000000009</v>
      </c>
      <c r="H251" s="58">
        <f t="shared" si="20"/>
        <v>94.3</v>
      </c>
    </row>
    <row r="252" spans="1:8" ht="38.25">
      <c r="A252" s="21" t="s">
        <v>142</v>
      </c>
      <c r="B252" s="21" t="s">
        <v>147</v>
      </c>
      <c r="C252" s="21" t="s">
        <v>342</v>
      </c>
      <c r="D252" s="16"/>
      <c r="E252" s="102" t="s">
        <v>611</v>
      </c>
      <c r="F252" s="99">
        <f>F253</f>
        <v>538.1</v>
      </c>
      <c r="G252" s="99">
        <f>G253</f>
        <v>538.1</v>
      </c>
      <c r="H252" s="99">
        <f t="shared" si="20"/>
        <v>100</v>
      </c>
    </row>
    <row r="253" spans="1:8" ht="38.25">
      <c r="A253" s="21" t="s">
        <v>142</v>
      </c>
      <c r="B253" s="21" t="s">
        <v>147</v>
      </c>
      <c r="C253" s="21" t="s">
        <v>342</v>
      </c>
      <c r="D253" s="85" t="s">
        <v>314</v>
      </c>
      <c r="E253" s="102" t="s">
        <v>315</v>
      </c>
      <c r="F253" s="41">
        <f>594.6-56.5</f>
        <v>538.1</v>
      </c>
      <c r="G253" s="41">
        <f>594.6-56.5</f>
        <v>538.1</v>
      </c>
      <c r="H253" s="99">
        <f t="shared" ref="H253:H314" si="26">ROUND((G253/F253*100),1)</f>
        <v>100</v>
      </c>
    </row>
    <row r="254" spans="1:8" ht="38.25">
      <c r="A254" s="21" t="s">
        <v>142</v>
      </c>
      <c r="B254" s="21" t="s">
        <v>147</v>
      </c>
      <c r="C254" s="21" t="s">
        <v>685</v>
      </c>
      <c r="D254" s="16"/>
      <c r="E254" s="102" t="s">
        <v>650</v>
      </c>
      <c r="F254" s="99">
        <f>F255</f>
        <v>339.5</v>
      </c>
      <c r="G254" s="99">
        <f>G255</f>
        <v>339.5</v>
      </c>
      <c r="H254" s="99">
        <f t="shared" si="26"/>
        <v>100</v>
      </c>
    </row>
    <row r="255" spans="1:8" ht="38.25">
      <c r="A255" s="21" t="s">
        <v>142</v>
      </c>
      <c r="B255" s="21" t="s">
        <v>147</v>
      </c>
      <c r="C255" s="21" t="s">
        <v>685</v>
      </c>
      <c r="D255" s="85" t="s">
        <v>314</v>
      </c>
      <c r="E255" s="102" t="s">
        <v>315</v>
      </c>
      <c r="F255" s="41">
        <f>800-432-28.5</f>
        <v>339.5</v>
      </c>
      <c r="G255" s="41">
        <f>800-432-28.5</f>
        <v>339.5</v>
      </c>
      <c r="H255" s="99">
        <f t="shared" si="26"/>
        <v>100</v>
      </c>
    </row>
    <row r="256" spans="1:8" ht="42.75" customHeight="1">
      <c r="A256" s="21" t="s">
        <v>142</v>
      </c>
      <c r="B256" s="21" t="s">
        <v>147</v>
      </c>
      <c r="C256" s="51" t="s">
        <v>637</v>
      </c>
      <c r="D256" s="85"/>
      <c r="E256" s="102" t="s">
        <v>630</v>
      </c>
      <c r="F256" s="41">
        <f>F257</f>
        <v>887.3</v>
      </c>
      <c r="G256" s="41">
        <f>G257</f>
        <v>820.8</v>
      </c>
      <c r="H256" s="99">
        <f t="shared" si="26"/>
        <v>92.5</v>
      </c>
    </row>
    <row r="257" spans="1:8" ht="38.25">
      <c r="A257" s="21" t="s">
        <v>142</v>
      </c>
      <c r="B257" s="21" t="s">
        <v>147</v>
      </c>
      <c r="C257" s="51" t="s">
        <v>637</v>
      </c>
      <c r="D257" s="85" t="s">
        <v>314</v>
      </c>
      <c r="E257" s="102" t="s">
        <v>315</v>
      </c>
      <c r="F257" s="41">
        <v>887.3</v>
      </c>
      <c r="G257" s="41">
        <v>820.8</v>
      </c>
      <c r="H257" s="99">
        <f t="shared" si="26"/>
        <v>92.5</v>
      </c>
    </row>
    <row r="258" spans="1:8" ht="48" customHeight="1">
      <c r="A258" s="21" t="s">
        <v>142</v>
      </c>
      <c r="B258" s="21" t="s">
        <v>147</v>
      </c>
      <c r="C258" s="51" t="s">
        <v>638</v>
      </c>
      <c r="D258" s="85"/>
      <c r="E258" s="102" t="s">
        <v>626</v>
      </c>
      <c r="F258" s="41">
        <f>F259</f>
        <v>3549.1</v>
      </c>
      <c r="G258" s="41">
        <f>G259</f>
        <v>3283.3</v>
      </c>
      <c r="H258" s="99">
        <f t="shared" si="26"/>
        <v>92.5</v>
      </c>
    </row>
    <row r="259" spans="1:8" ht="38.25">
      <c r="A259" s="21" t="s">
        <v>142</v>
      </c>
      <c r="B259" s="21" t="s">
        <v>147</v>
      </c>
      <c r="C259" s="51" t="s">
        <v>638</v>
      </c>
      <c r="D259" s="85" t="s">
        <v>314</v>
      </c>
      <c r="E259" s="102" t="s">
        <v>315</v>
      </c>
      <c r="F259" s="41">
        <v>3549.1</v>
      </c>
      <c r="G259" s="41">
        <v>3283.3</v>
      </c>
      <c r="H259" s="99">
        <f t="shared" si="26"/>
        <v>92.5</v>
      </c>
    </row>
    <row r="260" spans="1:8" ht="25.5">
      <c r="A260" s="21" t="s">
        <v>142</v>
      </c>
      <c r="B260" s="21" t="s">
        <v>147</v>
      </c>
      <c r="C260" s="21" t="s">
        <v>651</v>
      </c>
      <c r="D260" s="16"/>
      <c r="E260" s="102" t="s">
        <v>652</v>
      </c>
      <c r="F260" s="41">
        <f>F261</f>
        <v>294</v>
      </c>
      <c r="G260" s="41">
        <f>G261</f>
        <v>287.5</v>
      </c>
      <c r="H260" s="99">
        <f t="shared" si="26"/>
        <v>97.8</v>
      </c>
    </row>
    <row r="261" spans="1:8" ht="38.25">
      <c r="A261" s="21" t="s">
        <v>142</v>
      </c>
      <c r="B261" s="21" t="s">
        <v>147</v>
      </c>
      <c r="C261" s="21" t="s">
        <v>651</v>
      </c>
      <c r="D261" s="85" t="s">
        <v>314</v>
      </c>
      <c r="E261" s="102" t="s">
        <v>315</v>
      </c>
      <c r="F261" s="41">
        <v>294</v>
      </c>
      <c r="G261" s="41">
        <v>287.5</v>
      </c>
      <c r="H261" s="99">
        <f t="shared" si="26"/>
        <v>97.8</v>
      </c>
    </row>
    <row r="262" spans="1:8" ht="56.25" customHeight="1">
      <c r="A262" s="21" t="s">
        <v>142</v>
      </c>
      <c r="B262" s="21" t="s">
        <v>147</v>
      </c>
      <c r="C262" s="21" t="s">
        <v>653</v>
      </c>
      <c r="D262" s="16"/>
      <c r="E262" s="102" t="s">
        <v>694</v>
      </c>
      <c r="F262" s="41">
        <f>F263</f>
        <v>30</v>
      </c>
      <c r="G262" s="41">
        <f>G263</f>
        <v>30</v>
      </c>
      <c r="H262" s="99">
        <f t="shared" si="26"/>
        <v>100</v>
      </c>
    </row>
    <row r="263" spans="1:8" ht="38.25">
      <c r="A263" s="21" t="s">
        <v>142</v>
      </c>
      <c r="B263" s="21" t="s">
        <v>147</v>
      </c>
      <c r="C263" s="21" t="s">
        <v>653</v>
      </c>
      <c r="D263" s="85" t="s">
        <v>314</v>
      </c>
      <c r="E263" s="102" t="s">
        <v>315</v>
      </c>
      <c r="F263" s="41">
        <f>7.9+22.1</f>
        <v>30</v>
      </c>
      <c r="G263" s="41">
        <f>7.9+22.1</f>
        <v>30</v>
      </c>
      <c r="H263" s="99">
        <f t="shared" si="26"/>
        <v>100</v>
      </c>
    </row>
    <row r="264" spans="1:8" ht="25.5">
      <c r="A264" s="21" t="s">
        <v>142</v>
      </c>
      <c r="B264" s="21" t="s">
        <v>147</v>
      </c>
      <c r="C264" s="21" t="s">
        <v>803</v>
      </c>
      <c r="D264" s="85"/>
      <c r="E264" s="102" t="s">
        <v>804</v>
      </c>
      <c r="F264" s="41">
        <f>F265</f>
        <v>322.8</v>
      </c>
      <c r="G264" s="41">
        <f>G265</f>
        <v>322.8</v>
      </c>
      <c r="H264" s="99">
        <f t="shared" si="26"/>
        <v>100</v>
      </c>
    </row>
    <row r="265" spans="1:8" ht="38.25">
      <c r="A265" s="21" t="s">
        <v>142</v>
      </c>
      <c r="B265" s="21" t="s">
        <v>147</v>
      </c>
      <c r="C265" s="21" t="s">
        <v>803</v>
      </c>
      <c r="D265" s="85" t="s">
        <v>314</v>
      </c>
      <c r="E265" s="102" t="s">
        <v>315</v>
      </c>
      <c r="F265" s="41">
        <v>322.8</v>
      </c>
      <c r="G265" s="41">
        <v>322.8</v>
      </c>
      <c r="H265" s="99">
        <f t="shared" si="26"/>
        <v>100</v>
      </c>
    </row>
    <row r="266" spans="1:8" ht="25.5">
      <c r="A266" s="21" t="s">
        <v>142</v>
      </c>
      <c r="B266" s="21" t="s">
        <v>147</v>
      </c>
      <c r="C266" s="16" t="s">
        <v>31</v>
      </c>
      <c r="D266" s="16"/>
      <c r="E266" s="104" t="s">
        <v>53</v>
      </c>
      <c r="F266" s="39">
        <f>F267+F269</f>
        <v>3119.2</v>
      </c>
      <c r="G266" s="39">
        <f>G267+G269</f>
        <v>3119.2</v>
      </c>
      <c r="H266" s="99">
        <f t="shared" si="26"/>
        <v>100</v>
      </c>
    </row>
    <row r="267" spans="1:8" ht="25.5">
      <c r="A267" s="21" t="s">
        <v>142</v>
      </c>
      <c r="B267" s="21" t="s">
        <v>147</v>
      </c>
      <c r="C267" s="85" t="s">
        <v>802</v>
      </c>
      <c r="D267" s="16"/>
      <c r="E267" s="54" t="s">
        <v>801</v>
      </c>
      <c r="F267" s="39">
        <f>F268</f>
        <v>5</v>
      </c>
      <c r="G267" s="39">
        <f>G268</f>
        <v>5</v>
      </c>
      <c r="H267" s="99">
        <f t="shared" si="26"/>
        <v>100</v>
      </c>
    </row>
    <row r="268" spans="1:8">
      <c r="A268" s="21" t="s">
        <v>142</v>
      </c>
      <c r="B268" s="21" t="s">
        <v>147</v>
      </c>
      <c r="C268" s="85" t="s">
        <v>802</v>
      </c>
      <c r="D268" s="85" t="s">
        <v>466</v>
      </c>
      <c r="E268" s="102" t="s">
        <v>467</v>
      </c>
      <c r="F268" s="39">
        <v>5</v>
      </c>
      <c r="G268" s="39">
        <v>5</v>
      </c>
      <c r="H268" s="99">
        <f t="shared" si="26"/>
        <v>100</v>
      </c>
    </row>
    <row r="269" spans="1:8" ht="25.5">
      <c r="A269" s="21" t="s">
        <v>142</v>
      </c>
      <c r="B269" s="21" t="s">
        <v>147</v>
      </c>
      <c r="C269" s="85" t="s">
        <v>488</v>
      </c>
      <c r="D269" s="16"/>
      <c r="E269" s="54" t="s">
        <v>468</v>
      </c>
      <c r="F269" s="39">
        <f>SUM(F270:F271)</f>
        <v>3114.2</v>
      </c>
      <c r="G269" s="39">
        <f>SUM(G270:G271)</f>
        <v>3114.2</v>
      </c>
      <c r="H269" s="99">
        <f t="shared" si="26"/>
        <v>100</v>
      </c>
    </row>
    <row r="270" spans="1:8" ht="38.25">
      <c r="A270" s="21" t="s">
        <v>142</v>
      </c>
      <c r="B270" s="21" t="s">
        <v>147</v>
      </c>
      <c r="C270" s="85" t="s">
        <v>488</v>
      </c>
      <c r="D270" s="85" t="s">
        <v>314</v>
      </c>
      <c r="E270" s="102" t="s">
        <v>315</v>
      </c>
      <c r="F270" s="39">
        <f>717.4-601.8+361+23+24.2+1754.7</f>
        <v>2278.5</v>
      </c>
      <c r="G270" s="39">
        <f>717.4-601.8+361+23+24.2+1754.7</f>
        <v>2278.5</v>
      </c>
      <c r="H270" s="99">
        <f t="shared" si="26"/>
        <v>100</v>
      </c>
    </row>
    <row r="271" spans="1:8">
      <c r="A271" s="21" t="s">
        <v>142</v>
      </c>
      <c r="B271" s="21" t="s">
        <v>147</v>
      </c>
      <c r="C271" s="85" t="s">
        <v>488</v>
      </c>
      <c r="D271" s="85" t="s">
        <v>466</v>
      </c>
      <c r="E271" s="102" t="s">
        <v>467</v>
      </c>
      <c r="F271" s="39">
        <f>524.5+125.6+185.6</f>
        <v>835.7</v>
      </c>
      <c r="G271" s="39">
        <f>524.5+125.6+185.6</f>
        <v>835.7</v>
      </c>
      <c r="H271" s="99">
        <f t="shared" si="26"/>
        <v>100</v>
      </c>
    </row>
    <row r="272" spans="1:8" ht="25.5">
      <c r="A272" s="21" t="s">
        <v>142</v>
      </c>
      <c r="B272" s="21" t="s">
        <v>170</v>
      </c>
      <c r="C272" s="30"/>
      <c r="D272" s="30"/>
      <c r="E272" s="46" t="s">
        <v>4</v>
      </c>
      <c r="F272" s="40">
        <f>F273+F277+F283</f>
        <v>420.9</v>
      </c>
      <c r="G272" s="40">
        <f>G273+G277+G283</f>
        <v>420.9</v>
      </c>
      <c r="H272" s="58">
        <f t="shared" si="26"/>
        <v>100</v>
      </c>
    </row>
    <row r="273" spans="1:8" ht="51" customHeight="1">
      <c r="A273" s="5" t="s">
        <v>142</v>
      </c>
      <c r="B273" s="5" t="s">
        <v>170</v>
      </c>
      <c r="C273" s="73" t="s">
        <v>98</v>
      </c>
      <c r="D273" s="35"/>
      <c r="E273" s="53" t="s">
        <v>547</v>
      </c>
      <c r="F273" s="100">
        <f t="shared" ref="F273:G275" si="27">F274</f>
        <v>159.69999999999999</v>
      </c>
      <c r="G273" s="100">
        <f t="shared" si="27"/>
        <v>159.69999999999999</v>
      </c>
      <c r="H273" s="62">
        <f t="shared" si="26"/>
        <v>100</v>
      </c>
    </row>
    <row r="274" spans="1:8" ht="25.5">
      <c r="A274" s="85" t="s">
        <v>142</v>
      </c>
      <c r="B274" s="85" t="s">
        <v>170</v>
      </c>
      <c r="C274" s="75">
        <v>250000000</v>
      </c>
      <c r="D274" s="85"/>
      <c r="E274" s="48" t="s">
        <v>450</v>
      </c>
      <c r="F274" s="98">
        <f t="shared" si="27"/>
        <v>159.69999999999999</v>
      </c>
      <c r="G274" s="98">
        <f t="shared" si="27"/>
        <v>159.69999999999999</v>
      </c>
      <c r="H274" s="58">
        <f t="shared" si="26"/>
        <v>100</v>
      </c>
    </row>
    <row r="275" spans="1:8" ht="38.25">
      <c r="A275" s="85" t="s">
        <v>142</v>
      </c>
      <c r="B275" s="85" t="s">
        <v>170</v>
      </c>
      <c r="C275" s="74" t="s">
        <v>255</v>
      </c>
      <c r="D275" s="85"/>
      <c r="E275" s="102" t="s">
        <v>449</v>
      </c>
      <c r="F275" s="41">
        <f t="shared" si="27"/>
        <v>159.69999999999999</v>
      </c>
      <c r="G275" s="41">
        <f t="shared" si="27"/>
        <v>159.69999999999999</v>
      </c>
      <c r="H275" s="99">
        <f t="shared" si="26"/>
        <v>100</v>
      </c>
    </row>
    <row r="276" spans="1:8" ht="38.25">
      <c r="A276" s="85" t="s">
        <v>142</v>
      </c>
      <c r="B276" s="85" t="s">
        <v>170</v>
      </c>
      <c r="C276" s="74" t="s">
        <v>255</v>
      </c>
      <c r="D276" s="85" t="s">
        <v>314</v>
      </c>
      <c r="E276" s="102" t="s">
        <v>315</v>
      </c>
      <c r="F276" s="41">
        <f>140+19.7</f>
        <v>159.69999999999999</v>
      </c>
      <c r="G276" s="41">
        <f>140+19.7</f>
        <v>159.69999999999999</v>
      </c>
      <c r="H276" s="99">
        <f t="shared" si="26"/>
        <v>100</v>
      </c>
    </row>
    <row r="277" spans="1:8" ht="51">
      <c r="A277" s="5" t="s">
        <v>142</v>
      </c>
      <c r="B277" s="5" t="s">
        <v>170</v>
      </c>
      <c r="C277" s="73" t="s">
        <v>111</v>
      </c>
      <c r="D277" s="16"/>
      <c r="E277" s="53" t="s">
        <v>544</v>
      </c>
      <c r="F277" s="100">
        <f>F278</f>
        <v>191.6</v>
      </c>
      <c r="G277" s="100">
        <f>G278</f>
        <v>191.6</v>
      </c>
      <c r="H277" s="62">
        <f t="shared" si="26"/>
        <v>100</v>
      </c>
    </row>
    <row r="278" spans="1:8" ht="38.25">
      <c r="A278" s="16" t="s">
        <v>142</v>
      </c>
      <c r="B278" s="16" t="s">
        <v>170</v>
      </c>
      <c r="C278" s="52" t="s">
        <v>226</v>
      </c>
      <c r="D278" s="16"/>
      <c r="E278" s="48" t="s">
        <v>225</v>
      </c>
      <c r="F278" s="98">
        <f>F279+F281</f>
        <v>191.6</v>
      </c>
      <c r="G278" s="98">
        <f>G279+G281</f>
        <v>191.6</v>
      </c>
      <c r="H278" s="58">
        <f t="shared" si="26"/>
        <v>100</v>
      </c>
    </row>
    <row r="279" spans="1:8" ht="51">
      <c r="A279" s="16" t="s">
        <v>142</v>
      </c>
      <c r="B279" s="16" t="s">
        <v>170</v>
      </c>
      <c r="C279" s="21" t="s">
        <v>228</v>
      </c>
      <c r="D279" s="30"/>
      <c r="E279" s="101" t="s">
        <v>227</v>
      </c>
      <c r="F279" s="41">
        <f>SUM(F280)</f>
        <v>161</v>
      </c>
      <c r="G279" s="41">
        <f>SUM(G280)</f>
        <v>161</v>
      </c>
      <c r="H279" s="99">
        <f t="shared" si="26"/>
        <v>100</v>
      </c>
    </row>
    <row r="280" spans="1:8" ht="38.25">
      <c r="A280" s="16" t="s">
        <v>142</v>
      </c>
      <c r="B280" s="16" t="s">
        <v>170</v>
      </c>
      <c r="C280" s="21" t="s">
        <v>228</v>
      </c>
      <c r="D280" s="85" t="s">
        <v>314</v>
      </c>
      <c r="E280" s="102" t="s">
        <v>315</v>
      </c>
      <c r="F280" s="39">
        <v>161</v>
      </c>
      <c r="G280" s="108">
        <v>161</v>
      </c>
      <c r="H280" s="99">
        <f t="shared" si="26"/>
        <v>100</v>
      </c>
    </row>
    <row r="281" spans="1:8" ht="38.25">
      <c r="A281" s="16" t="s">
        <v>142</v>
      </c>
      <c r="B281" s="16" t="s">
        <v>170</v>
      </c>
      <c r="C281" s="85" t="s">
        <v>607</v>
      </c>
      <c r="D281" s="16"/>
      <c r="E281" s="101" t="s">
        <v>236</v>
      </c>
      <c r="F281" s="41">
        <f>F282</f>
        <v>30.6</v>
      </c>
      <c r="G281" s="41">
        <f>G282</f>
        <v>30.6</v>
      </c>
      <c r="H281" s="99">
        <f t="shared" si="26"/>
        <v>100</v>
      </c>
    </row>
    <row r="282" spans="1:8" ht="38.25">
      <c r="A282" s="16" t="s">
        <v>142</v>
      </c>
      <c r="B282" s="16" t="s">
        <v>170</v>
      </c>
      <c r="C282" s="85" t="s">
        <v>607</v>
      </c>
      <c r="D282" s="85" t="s">
        <v>314</v>
      </c>
      <c r="E282" s="102" t="s">
        <v>315</v>
      </c>
      <c r="F282" s="41">
        <f>36-5.4</f>
        <v>30.6</v>
      </c>
      <c r="G282" s="41">
        <f>36-5.4</f>
        <v>30.6</v>
      </c>
      <c r="H282" s="99">
        <f t="shared" si="26"/>
        <v>100</v>
      </c>
    </row>
    <row r="283" spans="1:8" ht="51">
      <c r="A283" s="5" t="s">
        <v>142</v>
      </c>
      <c r="B283" s="5" t="s">
        <v>170</v>
      </c>
      <c r="C283" s="76">
        <v>400000000</v>
      </c>
      <c r="D283" s="16"/>
      <c r="E283" s="64" t="s">
        <v>520</v>
      </c>
      <c r="F283" s="100">
        <f>F284</f>
        <v>69.599999999999994</v>
      </c>
      <c r="G283" s="100">
        <f>G284</f>
        <v>69.599999999999994</v>
      </c>
      <c r="H283" s="62">
        <f t="shared" si="26"/>
        <v>100</v>
      </c>
    </row>
    <row r="284" spans="1:8" ht="38.25">
      <c r="A284" s="47" t="s">
        <v>142</v>
      </c>
      <c r="B284" s="47" t="s">
        <v>170</v>
      </c>
      <c r="C284" s="75">
        <v>440000000</v>
      </c>
      <c r="D284" s="16"/>
      <c r="E284" s="48" t="s">
        <v>363</v>
      </c>
      <c r="F284" s="98">
        <f>F285+F287</f>
        <v>69.599999999999994</v>
      </c>
      <c r="G284" s="98">
        <f>G285+G287</f>
        <v>69.599999999999994</v>
      </c>
      <c r="H284" s="58">
        <f t="shared" si="26"/>
        <v>100</v>
      </c>
    </row>
    <row r="285" spans="1:8" ht="63.75">
      <c r="A285" s="16" t="s">
        <v>142</v>
      </c>
      <c r="B285" s="16" t="s">
        <v>170</v>
      </c>
      <c r="C285" s="74" t="s">
        <v>762</v>
      </c>
      <c r="D285" s="16"/>
      <c r="E285" s="104" t="s">
        <v>764</v>
      </c>
      <c r="F285" s="103">
        <f t="shared" ref="F285:G285" si="28">F286</f>
        <v>49.6</v>
      </c>
      <c r="G285" s="103">
        <f t="shared" si="28"/>
        <v>49.6</v>
      </c>
      <c r="H285" s="99">
        <f t="shared" si="26"/>
        <v>100</v>
      </c>
    </row>
    <row r="286" spans="1:8" ht="38.25">
      <c r="A286" s="16" t="s">
        <v>142</v>
      </c>
      <c r="B286" s="16" t="s">
        <v>170</v>
      </c>
      <c r="C286" s="74" t="s">
        <v>762</v>
      </c>
      <c r="D286" s="85" t="s">
        <v>314</v>
      </c>
      <c r="E286" s="102" t="s">
        <v>315</v>
      </c>
      <c r="F286" s="103">
        <f>44.6+5</f>
        <v>49.6</v>
      </c>
      <c r="G286" s="103">
        <f>44.6+5</f>
        <v>49.6</v>
      </c>
      <c r="H286" s="99">
        <f t="shared" si="26"/>
        <v>100</v>
      </c>
    </row>
    <row r="287" spans="1:8" ht="25.5">
      <c r="A287" s="16" t="s">
        <v>142</v>
      </c>
      <c r="B287" s="16" t="s">
        <v>170</v>
      </c>
      <c r="C287" s="74" t="s">
        <v>645</v>
      </c>
      <c r="D287" s="85"/>
      <c r="E287" s="102" t="s">
        <v>321</v>
      </c>
      <c r="F287" s="41">
        <f>F288</f>
        <v>20</v>
      </c>
      <c r="G287" s="41">
        <f>G288</f>
        <v>20</v>
      </c>
      <c r="H287" s="99">
        <f t="shared" si="26"/>
        <v>100</v>
      </c>
    </row>
    <row r="288" spans="1:8" ht="38.25">
      <c r="A288" s="16" t="s">
        <v>142</v>
      </c>
      <c r="B288" s="16" t="s">
        <v>170</v>
      </c>
      <c r="C288" s="74" t="s">
        <v>645</v>
      </c>
      <c r="D288" s="85" t="s">
        <v>314</v>
      </c>
      <c r="E288" s="102" t="s">
        <v>315</v>
      </c>
      <c r="F288" s="41">
        <v>20</v>
      </c>
      <c r="G288" s="41">
        <v>20</v>
      </c>
      <c r="H288" s="99">
        <f t="shared" si="26"/>
        <v>100</v>
      </c>
    </row>
    <row r="289" spans="1:8" ht="15.75">
      <c r="A289" s="4" t="s">
        <v>143</v>
      </c>
      <c r="B289" s="3"/>
      <c r="C289" s="3"/>
      <c r="D289" s="3"/>
      <c r="E289" s="49" t="s">
        <v>71</v>
      </c>
      <c r="F289" s="97">
        <f>F290+F319+F352</f>
        <v>240510.4</v>
      </c>
      <c r="G289" s="97">
        <f>G290+G319+G352</f>
        <v>205252</v>
      </c>
      <c r="H289" s="206">
        <f t="shared" si="26"/>
        <v>85.3</v>
      </c>
    </row>
    <row r="290" spans="1:8" ht="14.25">
      <c r="A290" s="30" t="s">
        <v>143</v>
      </c>
      <c r="B290" s="30" t="s">
        <v>136</v>
      </c>
      <c r="C290" s="30"/>
      <c r="D290" s="30"/>
      <c r="E290" s="27" t="s">
        <v>57</v>
      </c>
      <c r="F290" s="40">
        <f>F291+F315</f>
        <v>21871.8</v>
      </c>
      <c r="G290" s="40">
        <f>G291+G315</f>
        <v>21310.9</v>
      </c>
      <c r="H290" s="42">
        <f t="shared" si="26"/>
        <v>97.4</v>
      </c>
    </row>
    <row r="291" spans="1:8" ht="39" customHeight="1">
      <c r="A291" s="5" t="s">
        <v>143</v>
      </c>
      <c r="B291" s="5" t="s">
        <v>136</v>
      </c>
      <c r="C291" s="73" t="s">
        <v>212</v>
      </c>
      <c r="D291" s="16"/>
      <c r="E291" s="53" t="s">
        <v>525</v>
      </c>
      <c r="F291" s="100">
        <f>F292+F297+F308</f>
        <v>21821.8</v>
      </c>
      <c r="G291" s="100">
        <f>G292+G297+G308</f>
        <v>21310.9</v>
      </c>
      <c r="H291" s="62">
        <f t="shared" si="26"/>
        <v>97.7</v>
      </c>
    </row>
    <row r="292" spans="1:8" ht="38.25">
      <c r="A292" s="47" t="s">
        <v>143</v>
      </c>
      <c r="B292" s="47" t="s">
        <v>136</v>
      </c>
      <c r="C292" s="52" t="s">
        <v>206</v>
      </c>
      <c r="D292" s="16"/>
      <c r="E292" s="48" t="s">
        <v>455</v>
      </c>
      <c r="F292" s="98">
        <f>F293+F295</f>
        <v>2101.9</v>
      </c>
      <c r="G292" s="98">
        <f>G293+G295</f>
        <v>2091.5</v>
      </c>
      <c r="H292" s="58">
        <f t="shared" si="26"/>
        <v>99.5</v>
      </c>
    </row>
    <row r="293" spans="1:8" ht="38.25">
      <c r="A293" s="16" t="s">
        <v>143</v>
      </c>
      <c r="B293" s="16" t="s">
        <v>136</v>
      </c>
      <c r="C293" s="80" t="s">
        <v>201</v>
      </c>
      <c r="D293" s="3"/>
      <c r="E293" s="102" t="s">
        <v>390</v>
      </c>
      <c r="F293" s="41">
        <f>SUM(F294:F294)</f>
        <v>196.3</v>
      </c>
      <c r="G293" s="41">
        <f>SUM(G294:G294)</f>
        <v>190.3</v>
      </c>
      <c r="H293" s="58">
        <f t="shared" si="26"/>
        <v>96.9</v>
      </c>
    </row>
    <row r="294" spans="1:8" ht="38.25">
      <c r="A294" s="16" t="s">
        <v>143</v>
      </c>
      <c r="B294" s="16" t="s">
        <v>136</v>
      </c>
      <c r="C294" s="80" t="s">
        <v>201</v>
      </c>
      <c r="D294" s="85" t="s">
        <v>314</v>
      </c>
      <c r="E294" s="102" t="s">
        <v>315</v>
      </c>
      <c r="F294" s="41">
        <f>100+96.3</f>
        <v>196.3</v>
      </c>
      <c r="G294" s="41">
        <v>190.3</v>
      </c>
      <c r="H294" s="99">
        <f t="shared" si="26"/>
        <v>96.9</v>
      </c>
    </row>
    <row r="295" spans="1:8" ht="25.5">
      <c r="A295" s="16" t="s">
        <v>143</v>
      </c>
      <c r="B295" s="16" t="s">
        <v>136</v>
      </c>
      <c r="C295" s="80" t="s">
        <v>202</v>
      </c>
      <c r="D295" s="3"/>
      <c r="E295" s="102" t="s">
        <v>593</v>
      </c>
      <c r="F295" s="41">
        <f>F296</f>
        <v>1905.6000000000001</v>
      </c>
      <c r="G295" s="41">
        <f>G296</f>
        <v>1901.2</v>
      </c>
      <c r="H295" s="99">
        <f t="shared" si="26"/>
        <v>99.8</v>
      </c>
    </row>
    <row r="296" spans="1:8" ht="38.25">
      <c r="A296" s="16" t="s">
        <v>143</v>
      </c>
      <c r="B296" s="16" t="s">
        <v>136</v>
      </c>
      <c r="C296" s="80" t="s">
        <v>202</v>
      </c>
      <c r="D296" s="85" t="s">
        <v>314</v>
      </c>
      <c r="E296" s="102" t="s">
        <v>315</v>
      </c>
      <c r="F296" s="41">
        <f>1259.8+500-170+1150-222-612.2</f>
        <v>1905.6000000000001</v>
      </c>
      <c r="G296" s="41">
        <v>1901.2</v>
      </c>
      <c r="H296" s="99">
        <f t="shared" si="26"/>
        <v>99.8</v>
      </c>
    </row>
    <row r="297" spans="1:8" ht="38.25">
      <c r="A297" s="47" t="s">
        <v>143</v>
      </c>
      <c r="B297" s="47" t="s">
        <v>136</v>
      </c>
      <c r="C297" s="52" t="s">
        <v>207</v>
      </c>
      <c r="D297" s="16"/>
      <c r="E297" s="48" t="s">
        <v>203</v>
      </c>
      <c r="F297" s="98">
        <f>F298+F300+F302+F304+F306</f>
        <v>2801.4</v>
      </c>
      <c r="G297" s="98">
        <f>G298+G300+G302+G304+G306</f>
        <v>2310.9</v>
      </c>
      <c r="H297" s="58">
        <f t="shared" si="26"/>
        <v>82.5</v>
      </c>
    </row>
    <row r="298" spans="1:8" ht="114.75" customHeight="1">
      <c r="A298" s="16" t="s">
        <v>143</v>
      </c>
      <c r="B298" s="16" t="s">
        <v>136</v>
      </c>
      <c r="C298" s="80" t="s">
        <v>586</v>
      </c>
      <c r="D298" s="3"/>
      <c r="E298" s="102" t="s">
        <v>395</v>
      </c>
      <c r="F298" s="41">
        <f>F299</f>
        <v>248.2</v>
      </c>
      <c r="G298" s="41">
        <f>G299</f>
        <v>248.2</v>
      </c>
      <c r="H298" s="99">
        <f t="shared" si="26"/>
        <v>100</v>
      </c>
    </row>
    <row r="299" spans="1:8" ht="38.25">
      <c r="A299" s="16" t="s">
        <v>143</v>
      </c>
      <c r="B299" s="16" t="s">
        <v>136</v>
      </c>
      <c r="C299" s="80" t="s">
        <v>586</v>
      </c>
      <c r="D299" s="85" t="s">
        <v>314</v>
      </c>
      <c r="E299" s="102" t="s">
        <v>315</v>
      </c>
      <c r="F299" s="41">
        <f>100+222+78.7-152.5</f>
        <v>248.2</v>
      </c>
      <c r="G299" s="41">
        <f>100+222+78.7-152.5</f>
        <v>248.2</v>
      </c>
      <c r="H299" s="99">
        <f t="shared" si="26"/>
        <v>100</v>
      </c>
    </row>
    <row r="300" spans="1:8" ht="36.75" customHeight="1">
      <c r="A300" s="16" t="s">
        <v>143</v>
      </c>
      <c r="B300" s="16" t="s">
        <v>136</v>
      </c>
      <c r="C300" s="80" t="s">
        <v>204</v>
      </c>
      <c r="D300" s="16"/>
      <c r="E300" s="102" t="s">
        <v>457</v>
      </c>
      <c r="F300" s="41">
        <f>F301</f>
        <v>20</v>
      </c>
      <c r="G300" s="41">
        <f>G301</f>
        <v>9</v>
      </c>
      <c r="H300" s="99">
        <f t="shared" si="26"/>
        <v>45</v>
      </c>
    </row>
    <row r="301" spans="1:8" ht="38.25">
      <c r="A301" s="16" t="s">
        <v>143</v>
      </c>
      <c r="B301" s="16" t="s">
        <v>136</v>
      </c>
      <c r="C301" s="80" t="s">
        <v>204</v>
      </c>
      <c r="D301" s="85" t="s">
        <v>314</v>
      </c>
      <c r="E301" s="102" t="s">
        <v>315</v>
      </c>
      <c r="F301" s="41">
        <v>20</v>
      </c>
      <c r="G301" s="41">
        <v>9</v>
      </c>
      <c r="H301" s="99">
        <f t="shared" si="26"/>
        <v>45</v>
      </c>
    </row>
    <row r="302" spans="1:8" ht="18" customHeight="1">
      <c r="A302" s="16" t="s">
        <v>143</v>
      </c>
      <c r="B302" s="16" t="s">
        <v>136</v>
      </c>
      <c r="C302" s="80" t="s">
        <v>641</v>
      </c>
      <c r="D302" s="16"/>
      <c r="E302" s="102" t="s">
        <v>629</v>
      </c>
      <c r="F302" s="41">
        <f>F303</f>
        <v>400</v>
      </c>
      <c r="G302" s="41">
        <f>G303</f>
        <v>400</v>
      </c>
      <c r="H302" s="99">
        <f t="shared" si="26"/>
        <v>100</v>
      </c>
    </row>
    <row r="303" spans="1:8" ht="38.25">
      <c r="A303" s="16" t="s">
        <v>143</v>
      </c>
      <c r="B303" s="16" t="s">
        <v>136</v>
      </c>
      <c r="C303" s="80" t="s">
        <v>641</v>
      </c>
      <c r="D303" s="85" t="s">
        <v>314</v>
      </c>
      <c r="E303" s="102" t="s">
        <v>315</v>
      </c>
      <c r="F303" s="41">
        <f>100+540-240</f>
        <v>400</v>
      </c>
      <c r="G303" s="41">
        <f>100+540-240</f>
        <v>400</v>
      </c>
      <c r="H303" s="99">
        <f t="shared" si="26"/>
        <v>100</v>
      </c>
    </row>
    <row r="304" spans="1:8" ht="38.25">
      <c r="A304" s="16" t="s">
        <v>143</v>
      </c>
      <c r="B304" s="16" t="s">
        <v>136</v>
      </c>
      <c r="C304" s="21" t="s">
        <v>526</v>
      </c>
      <c r="D304" s="85"/>
      <c r="E304" s="104" t="s">
        <v>399</v>
      </c>
      <c r="F304" s="41">
        <f>F305</f>
        <v>479.5</v>
      </c>
      <c r="G304" s="41">
        <f>G305</f>
        <v>0</v>
      </c>
      <c r="H304" s="99">
        <f t="shared" si="26"/>
        <v>0</v>
      </c>
    </row>
    <row r="305" spans="1:9" ht="18" customHeight="1">
      <c r="A305" s="16" t="s">
        <v>143</v>
      </c>
      <c r="B305" s="16" t="s">
        <v>136</v>
      </c>
      <c r="C305" s="21" t="s">
        <v>526</v>
      </c>
      <c r="D305" s="84" t="s">
        <v>180</v>
      </c>
      <c r="E305" s="102" t="s">
        <v>181</v>
      </c>
      <c r="F305" s="112">
        <f>600-120.5</f>
        <v>479.5</v>
      </c>
      <c r="G305" s="41">
        <v>0</v>
      </c>
      <c r="H305" s="99">
        <f t="shared" si="26"/>
        <v>0</v>
      </c>
    </row>
    <row r="306" spans="1:9" ht="51">
      <c r="A306" s="16" t="s">
        <v>143</v>
      </c>
      <c r="B306" s="16" t="s">
        <v>136</v>
      </c>
      <c r="C306" s="21" t="s">
        <v>398</v>
      </c>
      <c r="D306" s="85"/>
      <c r="E306" s="104" t="s">
        <v>486</v>
      </c>
      <c r="F306" s="41">
        <f>F307</f>
        <v>1653.7</v>
      </c>
      <c r="G306" s="41">
        <f>G307</f>
        <v>1653.7</v>
      </c>
      <c r="H306" s="99">
        <f t="shared" si="26"/>
        <v>100</v>
      </c>
    </row>
    <row r="307" spans="1:9">
      <c r="A307" s="16" t="s">
        <v>143</v>
      </c>
      <c r="B307" s="16" t="s">
        <v>136</v>
      </c>
      <c r="C307" s="21" t="s">
        <v>398</v>
      </c>
      <c r="D307" s="114" t="s">
        <v>372</v>
      </c>
      <c r="E307" s="111" t="s">
        <v>401</v>
      </c>
      <c r="F307" s="112">
        <f>1803.7-78.7-71.3</f>
        <v>1653.7</v>
      </c>
      <c r="G307" s="112">
        <f>1803.7-78.7-71.3</f>
        <v>1653.7</v>
      </c>
      <c r="H307" s="99">
        <f t="shared" si="26"/>
        <v>100</v>
      </c>
      <c r="I307" s="168"/>
    </row>
    <row r="308" spans="1:9" ht="51">
      <c r="A308" s="47" t="s">
        <v>143</v>
      </c>
      <c r="B308" s="47" t="s">
        <v>136</v>
      </c>
      <c r="C308" s="52" t="s">
        <v>208</v>
      </c>
      <c r="D308" s="16"/>
      <c r="E308" s="48" t="s">
        <v>205</v>
      </c>
      <c r="F308" s="98">
        <f>F309+F311+F313</f>
        <v>16918.5</v>
      </c>
      <c r="G308" s="98">
        <f>G309+G311+G313</f>
        <v>16908.5</v>
      </c>
      <c r="H308" s="58">
        <f t="shared" si="26"/>
        <v>99.9</v>
      </c>
    </row>
    <row r="309" spans="1:9" ht="66.75" customHeight="1">
      <c r="A309" s="85" t="s">
        <v>143</v>
      </c>
      <c r="B309" s="85" t="s">
        <v>136</v>
      </c>
      <c r="C309" s="80" t="s">
        <v>210</v>
      </c>
      <c r="D309" s="16"/>
      <c r="E309" s="102" t="s">
        <v>209</v>
      </c>
      <c r="F309" s="41">
        <f>F310</f>
        <v>1487.8000000000002</v>
      </c>
      <c r="G309" s="41">
        <f>G310</f>
        <v>1477.8</v>
      </c>
      <c r="H309" s="99">
        <f t="shared" si="26"/>
        <v>99.3</v>
      </c>
    </row>
    <row r="310" spans="1:9" ht="38.25">
      <c r="A310" s="16" t="s">
        <v>143</v>
      </c>
      <c r="B310" s="16" t="s">
        <v>136</v>
      </c>
      <c r="C310" s="80" t="s">
        <v>210</v>
      </c>
      <c r="D310" s="85" t="s">
        <v>314</v>
      </c>
      <c r="E310" s="102" t="s">
        <v>315</v>
      </c>
      <c r="F310" s="41">
        <f>2926.9-209.1-1230</f>
        <v>1487.8000000000002</v>
      </c>
      <c r="G310" s="153">
        <v>1477.8</v>
      </c>
      <c r="H310" s="99">
        <f t="shared" si="26"/>
        <v>99.3</v>
      </c>
    </row>
    <row r="311" spans="1:9" ht="51">
      <c r="A311" s="16" t="s">
        <v>143</v>
      </c>
      <c r="B311" s="16" t="s">
        <v>136</v>
      </c>
      <c r="C311" s="80" t="s">
        <v>211</v>
      </c>
      <c r="D311" s="16"/>
      <c r="E311" s="102" t="s">
        <v>465</v>
      </c>
      <c r="F311" s="41">
        <f>F312</f>
        <v>2279.1</v>
      </c>
      <c r="G311" s="41">
        <f>G312</f>
        <v>2279.1</v>
      </c>
      <c r="H311" s="99">
        <f t="shared" si="26"/>
        <v>100</v>
      </c>
    </row>
    <row r="312" spans="1:9" ht="38.25">
      <c r="A312" s="16" t="s">
        <v>143</v>
      </c>
      <c r="B312" s="16" t="s">
        <v>136</v>
      </c>
      <c r="C312" s="80" t="s">
        <v>211</v>
      </c>
      <c r="D312" s="85" t="s">
        <v>314</v>
      </c>
      <c r="E312" s="102" t="s">
        <v>315</v>
      </c>
      <c r="F312" s="41">
        <f>2800-520.9</f>
        <v>2279.1</v>
      </c>
      <c r="G312" s="41">
        <f>2800-520.9</f>
        <v>2279.1</v>
      </c>
      <c r="H312" s="99">
        <f t="shared" si="26"/>
        <v>100</v>
      </c>
    </row>
    <row r="313" spans="1:9" ht="51">
      <c r="A313" s="16" t="s">
        <v>143</v>
      </c>
      <c r="B313" s="16" t="s">
        <v>136</v>
      </c>
      <c r="C313" s="80" t="s">
        <v>618</v>
      </c>
      <c r="D313" s="16"/>
      <c r="E313" s="54" t="s">
        <v>631</v>
      </c>
      <c r="F313" s="41">
        <f>F314</f>
        <v>13151.6</v>
      </c>
      <c r="G313" s="41">
        <f>G314</f>
        <v>13151.6</v>
      </c>
      <c r="H313" s="99">
        <f t="shared" si="26"/>
        <v>100</v>
      </c>
    </row>
    <row r="314" spans="1:9" ht="38.25">
      <c r="A314" s="16" t="s">
        <v>143</v>
      </c>
      <c r="B314" s="16" t="s">
        <v>136</v>
      </c>
      <c r="C314" s="80" t="s">
        <v>618</v>
      </c>
      <c r="D314" s="85" t="s">
        <v>314</v>
      </c>
      <c r="E314" s="102" t="s">
        <v>315</v>
      </c>
      <c r="F314" s="41">
        <f>8233.5+4918.1</f>
        <v>13151.6</v>
      </c>
      <c r="G314" s="41">
        <f>8233.5+4918.1</f>
        <v>13151.6</v>
      </c>
      <c r="H314" s="99">
        <f t="shared" si="26"/>
        <v>100</v>
      </c>
    </row>
    <row r="315" spans="1:9" ht="25.5">
      <c r="A315" s="5" t="s">
        <v>143</v>
      </c>
      <c r="B315" s="5" t="s">
        <v>136</v>
      </c>
      <c r="C315" s="87">
        <v>9900000000</v>
      </c>
      <c r="D315" s="73"/>
      <c r="E315" s="149" t="s">
        <v>195</v>
      </c>
      <c r="F315" s="100">
        <f t="shared" ref="F315:G316" si="29">F316</f>
        <v>50</v>
      </c>
      <c r="G315" s="100">
        <f t="shared" si="29"/>
        <v>0</v>
      </c>
      <c r="H315" s="62">
        <f t="shared" ref="H315:H363" si="30">ROUND((G315/F315*100),1)</f>
        <v>0</v>
      </c>
    </row>
    <row r="316" spans="1:9" ht="25.5">
      <c r="A316" s="16" t="s">
        <v>143</v>
      </c>
      <c r="B316" s="16" t="s">
        <v>136</v>
      </c>
      <c r="C316" s="85" t="s">
        <v>31</v>
      </c>
      <c r="D316" s="85"/>
      <c r="E316" s="104" t="s">
        <v>53</v>
      </c>
      <c r="F316" s="98">
        <f t="shared" si="29"/>
        <v>50</v>
      </c>
      <c r="G316" s="98">
        <f t="shared" si="29"/>
        <v>0</v>
      </c>
      <c r="H316" s="58">
        <f t="shared" si="30"/>
        <v>0</v>
      </c>
    </row>
    <row r="317" spans="1:9" ht="38.25">
      <c r="A317" s="16" t="s">
        <v>143</v>
      </c>
      <c r="B317" s="16" t="s">
        <v>136</v>
      </c>
      <c r="C317" s="85" t="s">
        <v>589</v>
      </c>
      <c r="D317" s="16"/>
      <c r="E317" s="54" t="s">
        <v>590</v>
      </c>
      <c r="F317" s="41">
        <f>SUM(F318:F318)</f>
        <v>50</v>
      </c>
      <c r="G317" s="41">
        <f>SUM(G318:G318)</f>
        <v>0</v>
      </c>
      <c r="H317" s="99">
        <f t="shared" si="30"/>
        <v>0</v>
      </c>
    </row>
    <row r="318" spans="1:9" ht="38.25">
      <c r="A318" s="16" t="s">
        <v>143</v>
      </c>
      <c r="B318" s="16" t="s">
        <v>136</v>
      </c>
      <c r="C318" s="85" t="s">
        <v>589</v>
      </c>
      <c r="D318" s="85" t="s">
        <v>314</v>
      </c>
      <c r="E318" s="102" t="s">
        <v>315</v>
      </c>
      <c r="F318" s="41">
        <v>50</v>
      </c>
      <c r="G318" s="41">
        <v>0</v>
      </c>
      <c r="H318" s="99">
        <f t="shared" si="30"/>
        <v>0</v>
      </c>
    </row>
    <row r="319" spans="1:9" ht="14.25">
      <c r="A319" s="30" t="s">
        <v>143</v>
      </c>
      <c r="B319" s="30" t="s">
        <v>137</v>
      </c>
      <c r="C319" s="30"/>
      <c r="D319" s="30"/>
      <c r="E319" s="27" t="s">
        <v>56</v>
      </c>
      <c r="F319" s="40">
        <f>F320+F324+F348</f>
        <v>45589.999999999993</v>
      </c>
      <c r="G319" s="40">
        <f>G320+G324+G348</f>
        <v>37857.800000000003</v>
      </c>
      <c r="H319" s="42">
        <f t="shared" si="30"/>
        <v>83</v>
      </c>
    </row>
    <row r="320" spans="1:9" ht="51">
      <c r="A320" s="5" t="s">
        <v>143</v>
      </c>
      <c r="B320" s="5" t="s">
        <v>137</v>
      </c>
      <c r="C320" s="76">
        <v>400000000</v>
      </c>
      <c r="D320" s="5"/>
      <c r="E320" s="64" t="s">
        <v>520</v>
      </c>
      <c r="F320" s="100">
        <f t="shared" ref="F320:G322" si="31">F321</f>
        <v>4082.2</v>
      </c>
      <c r="G320" s="100">
        <f t="shared" si="31"/>
        <v>4081.9</v>
      </c>
      <c r="H320" s="62">
        <f t="shared" si="30"/>
        <v>100</v>
      </c>
    </row>
    <row r="321" spans="1:8" ht="113.25" customHeight="1">
      <c r="A321" s="16" t="s">
        <v>143</v>
      </c>
      <c r="B321" s="16" t="s">
        <v>137</v>
      </c>
      <c r="C321" s="75">
        <v>430000000</v>
      </c>
      <c r="D321" s="16"/>
      <c r="E321" s="46" t="s">
        <v>459</v>
      </c>
      <c r="F321" s="98">
        <f t="shared" si="31"/>
        <v>4082.2</v>
      </c>
      <c r="G321" s="98">
        <f t="shared" si="31"/>
        <v>4081.9</v>
      </c>
      <c r="H321" s="58">
        <f t="shared" si="30"/>
        <v>100</v>
      </c>
    </row>
    <row r="322" spans="1:8" ht="57" customHeight="1">
      <c r="A322" s="16" t="s">
        <v>143</v>
      </c>
      <c r="B322" s="16" t="s">
        <v>137</v>
      </c>
      <c r="C322" s="74" t="s">
        <v>237</v>
      </c>
      <c r="D322" s="16"/>
      <c r="E322" s="102" t="s">
        <v>242</v>
      </c>
      <c r="F322" s="41">
        <f t="shared" si="31"/>
        <v>4082.2</v>
      </c>
      <c r="G322" s="41">
        <f t="shared" si="31"/>
        <v>4081.9</v>
      </c>
      <c r="H322" s="99">
        <f t="shared" si="30"/>
        <v>100</v>
      </c>
    </row>
    <row r="323" spans="1:8" ht="68.25" customHeight="1">
      <c r="A323" s="16" t="s">
        <v>143</v>
      </c>
      <c r="B323" s="16" t="s">
        <v>137</v>
      </c>
      <c r="C323" s="74" t="s">
        <v>237</v>
      </c>
      <c r="D323" s="16" t="s">
        <v>15</v>
      </c>
      <c r="E323" s="102" t="s">
        <v>696</v>
      </c>
      <c r="F323" s="41">
        <f>2800+1100+182.2</f>
        <v>4082.2</v>
      </c>
      <c r="G323" s="39">
        <v>4081.9</v>
      </c>
      <c r="H323" s="99">
        <f t="shared" si="30"/>
        <v>100</v>
      </c>
    </row>
    <row r="324" spans="1:8" ht="64.5" customHeight="1">
      <c r="A324" s="5" t="s">
        <v>143</v>
      </c>
      <c r="B324" s="5" t="s">
        <v>137</v>
      </c>
      <c r="C324" s="83" t="s">
        <v>42</v>
      </c>
      <c r="D324" s="16"/>
      <c r="E324" s="53" t="s">
        <v>534</v>
      </c>
      <c r="F324" s="100">
        <f>F325+F332+F343</f>
        <v>41441.899999999994</v>
      </c>
      <c r="G324" s="100">
        <f>G325+G332+G343</f>
        <v>33710</v>
      </c>
      <c r="H324" s="62">
        <f t="shared" si="30"/>
        <v>81.3</v>
      </c>
    </row>
    <row r="325" spans="1:8" ht="26.25" customHeight="1">
      <c r="A325" s="16" t="s">
        <v>143</v>
      </c>
      <c r="B325" s="16" t="s">
        <v>137</v>
      </c>
      <c r="C325" s="52" t="s">
        <v>43</v>
      </c>
      <c r="D325" s="16"/>
      <c r="E325" s="48" t="s">
        <v>267</v>
      </c>
      <c r="F325" s="98">
        <f>F326+F328+F330</f>
        <v>492</v>
      </c>
      <c r="G325" s="98">
        <f>G326+G328+G330</f>
        <v>456.5</v>
      </c>
      <c r="H325" s="58">
        <f t="shared" si="30"/>
        <v>92.8</v>
      </c>
    </row>
    <row r="326" spans="1:8" ht="25.5">
      <c r="A326" s="16" t="s">
        <v>143</v>
      </c>
      <c r="B326" s="16" t="s">
        <v>137</v>
      </c>
      <c r="C326" s="21" t="s">
        <v>295</v>
      </c>
      <c r="D326" s="16"/>
      <c r="E326" s="102" t="s">
        <v>268</v>
      </c>
      <c r="F326" s="41">
        <f>F327</f>
        <v>400</v>
      </c>
      <c r="G326" s="41">
        <f>G327</f>
        <v>391.3</v>
      </c>
      <c r="H326" s="99">
        <f t="shared" si="30"/>
        <v>97.8</v>
      </c>
    </row>
    <row r="327" spans="1:8" ht="38.25">
      <c r="A327" s="16" t="s">
        <v>143</v>
      </c>
      <c r="B327" s="16" t="s">
        <v>137</v>
      </c>
      <c r="C327" s="21" t="s">
        <v>295</v>
      </c>
      <c r="D327" s="85" t="s">
        <v>314</v>
      </c>
      <c r="E327" s="102" t="s">
        <v>315</v>
      </c>
      <c r="F327" s="41">
        <v>400</v>
      </c>
      <c r="G327" s="41">
        <v>391.3</v>
      </c>
      <c r="H327" s="99">
        <f t="shared" si="30"/>
        <v>97.8</v>
      </c>
    </row>
    <row r="328" spans="1:8" ht="25.5">
      <c r="A328" s="16" t="s">
        <v>143</v>
      </c>
      <c r="B328" s="16" t="s">
        <v>137</v>
      </c>
      <c r="C328" s="21" t="s">
        <v>574</v>
      </c>
      <c r="D328" s="16"/>
      <c r="E328" s="102" t="s">
        <v>575</v>
      </c>
      <c r="F328" s="41">
        <f>F329</f>
        <v>40</v>
      </c>
      <c r="G328" s="41">
        <f>G329</f>
        <v>13.2</v>
      </c>
      <c r="H328" s="99">
        <f t="shared" si="30"/>
        <v>33</v>
      </c>
    </row>
    <row r="329" spans="1:8" ht="38.25">
      <c r="A329" s="16" t="s">
        <v>143</v>
      </c>
      <c r="B329" s="16" t="s">
        <v>137</v>
      </c>
      <c r="C329" s="21" t="s">
        <v>574</v>
      </c>
      <c r="D329" s="85" t="s">
        <v>314</v>
      </c>
      <c r="E329" s="102" t="s">
        <v>315</v>
      </c>
      <c r="F329" s="41">
        <v>40</v>
      </c>
      <c r="G329" s="41">
        <v>13.2</v>
      </c>
      <c r="H329" s="99">
        <f t="shared" si="30"/>
        <v>33</v>
      </c>
    </row>
    <row r="330" spans="1:8" ht="38.25">
      <c r="A330" s="16" t="s">
        <v>143</v>
      </c>
      <c r="B330" s="16" t="s">
        <v>137</v>
      </c>
      <c r="C330" s="21" t="s">
        <v>648</v>
      </c>
      <c r="D330" s="85"/>
      <c r="E330" s="102" t="s">
        <v>649</v>
      </c>
      <c r="F330" s="41">
        <f>F331</f>
        <v>52</v>
      </c>
      <c r="G330" s="41">
        <f>G331</f>
        <v>52</v>
      </c>
      <c r="H330" s="99">
        <f t="shared" si="30"/>
        <v>100</v>
      </c>
    </row>
    <row r="331" spans="1:8" ht="38.25">
      <c r="A331" s="16" t="s">
        <v>143</v>
      </c>
      <c r="B331" s="16" t="s">
        <v>137</v>
      </c>
      <c r="C331" s="21" t="s">
        <v>648</v>
      </c>
      <c r="D331" s="85" t="s">
        <v>314</v>
      </c>
      <c r="E331" s="102" t="s">
        <v>315</v>
      </c>
      <c r="F331" s="41">
        <f>60-8</f>
        <v>52</v>
      </c>
      <c r="G331" s="41">
        <v>52</v>
      </c>
      <c r="H331" s="99">
        <f t="shared" si="30"/>
        <v>100</v>
      </c>
    </row>
    <row r="332" spans="1:8" ht="25.5">
      <c r="A332" s="16" t="s">
        <v>143</v>
      </c>
      <c r="B332" s="16" t="s">
        <v>137</v>
      </c>
      <c r="C332" s="52" t="s">
        <v>44</v>
      </c>
      <c r="D332" s="16"/>
      <c r="E332" s="46" t="s">
        <v>617</v>
      </c>
      <c r="F332" s="98">
        <f>F333+F335+F337+F339+F341</f>
        <v>23884.6</v>
      </c>
      <c r="G332" s="98">
        <f>G333+G335+G337+G339+G341</f>
        <v>16906.7</v>
      </c>
      <c r="H332" s="58">
        <f t="shared" si="30"/>
        <v>70.8</v>
      </c>
    </row>
    <row r="333" spans="1:8" ht="25.5">
      <c r="A333" s="16" t="s">
        <v>143</v>
      </c>
      <c r="B333" s="16" t="s">
        <v>137</v>
      </c>
      <c r="C333" s="21" t="s">
        <v>441</v>
      </c>
      <c r="D333" s="16"/>
      <c r="E333" s="102" t="s">
        <v>322</v>
      </c>
      <c r="F333" s="41">
        <f>F334</f>
        <v>7352.5999999999985</v>
      </c>
      <c r="G333" s="41">
        <f>G334</f>
        <v>3155.6</v>
      </c>
      <c r="H333" s="99">
        <f t="shared" si="30"/>
        <v>42.9</v>
      </c>
    </row>
    <row r="334" spans="1:8" ht="38.25">
      <c r="A334" s="16" t="s">
        <v>143</v>
      </c>
      <c r="B334" s="16" t="s">
        <v>137</v>
      </c>
      <c r="C334" s="21" t="s">
        <v>441</v>
      </c>
      <c r="D334" s="85" t="s">
        <v>314</v>
      </c>
      <c r="E334" s="102" t="s">
        <v>315</v>
      </c>
      <c r="F334" s="41">
        <f>265+1800-550+2663.4+3569.9-100-1560-71.3-740.1+185+2190.7-300</f>
        <v>7352.5999999999985</v>
      </c>
      <c r="G334" s="39">
        <v>3155.6</v>
      </c>
      <c r="H334" s="99">
        <f t="shared" si="30"/>
        <v>42.9</v>
      </c>
    </row>
    <row r="335" spans="1:8" ht="25.5">
      <c r="A335" s="16" t="s">
        <v>143</v>
      </c>
      <c r="B335" s="16" t="s">
        <v>137</v>
      </c>
      <c r="C335" s="21" t="s">
        <v>710</v>
      </c>
      <c r="D335" s="16"/>
      <c r="E335" s="102" t="s">
        <v>711</v>
      </c>
      <c r="F335" s="41">
        <f>F336</f>
        <v>1614.6</v>
      </c>
      <c r="G335" s="41">
        <f>G336</f>
        <v>1614.6</v>
      </c>
      <c r="H335" s="99">
        <f t="shared" si="30"/>
        <v>100</v>
      </c>
    </row>
    <row r="336" spans="1:8" ht="38.25">
      <c r="A336" s="16" t="s">
        <v>143</v>
      </c>
      <c r="B336" s="16" t="s">
        <v>137</v>
      </c>
      <c r="C336" s="21" t="s">
        <v>710</v>
      </c>
      <c r="D336" s="85" t="s">
        <v>314</v>
      </c>
      <c r="E336" s="102" t="s">
        <v>315</v>
      </c>
      <c r="F336" s="41">
        <f>4926.7-2646-666.1</f>
        <v>1614.6</v>
      </c>
      <c r="G336" s="41">
        <f>4926.7-2646-666.1</f>
        <v>1614.6</v>
      </c>
      <c r="H336" s="99">
        <f t="shared" si="30"/>
        <v>100</v>
      </c>
    </row>
    <row r="337" spans="1:10" ht="42.75" customHeight="1">
      <c r="A337" s="16" t="s">
        <v>143</v>
      </c>
      <c r="B337" s="16" t="s">
        <v>137</v>
      </c>
      <c r="C337" s="21" t="s">
        <v>740</v>
      </c>
      <c r="D337" s="16"/>
      <c r="E337" s="102" t="s">
        <v>741</v>
      </c>
      <c r="F337" s="41">
        <f>F338</f>
        <v>9122.9</v>
      </c>
      <c r="G337" s="41">
        <f>G338</f>
        <v>6382</v>
      </c>
      <c r="H337" s="99">
        <f t="shared" si="30"/>
        <v>70</v>
      </c>
    </row>
    <row r="338" spans="1:10" ht="38.25">
      <c r="A338" s="16" t="s">
        <v>143</v>
      </c>
      <c r="B338" s="16" t="s">
        <v>137</v>
      </c>
      <c r="C338" s="21" t="s">
        <v>740</v>
      </c>
      <c r="D338" s="85" t="s">
        <v>314</v>
      </c>
      <c r="E338" s="102" t="s">
        <v>315</v>
      </c>
      <c r="F338" s="41">
        <v>9122.9</v>
      </c>
      <c r="G338" s="41">
        <v>6382</v>
      </c>
      <c r="H338" s="99">
        <f t="shared" si="30"/>
        <v>70</v>
      </c>
    </row>
    <row r="339" spans="1:10" ht="52.5" customHeight="1">
      <c r="A339" s="16" t="s">
        <v>143</v>
      </c>
      <c r="B339" s="16" t="s">
        <v>137</v>
      </c>
      <c r="C339" s="21" t="s">
        <v>667</v>
      </c>
      <c r="D339" s="85"/>
      <c r="E339" s="102" t="s">
        <v>668</v>
      </c>
      <c r="F339" s="41">
        <f>F340</f>
        <v>210</v>
      </c>
      <c r="G339" s="41">
        <f>G340</f>
        <v>170</v>
      </c>
      <c r="H339" s="99">
        <f t="shared" si="30"/>
        <v>81</v>
      </c>
    </row>
    <row r="340" spans="1:10" ht="38.25">
      <c r="A340" s="16" t="s">
        <v>143</v>
      </c>
      <c r="B340" s="16" t="s">
        <v>137</v>
      </c>
      <c r="C340" s="21" t="s">
        <v>667</v>
      </c>
      <c r="D340" s="85" t="s">
        <v>314</v>
      </c>
      <c r="E340" s="102" t="s">
        <v>315</v>
      </c>
      <c r="F340" s="41">
        <f>210+300+773.2-1073.2</f>
        <v>210</v>
      </c>
      <c r="G340" s="41">
        <v>170</v>
      </c>
      <c r="H340" s="99">
        <f t="shared" si="30"/>
        <v>81</v>
      </c>
    </row>
    <row r="341" spans="1:10" ht="25.5">
      <c r="A341" s="16" t="s">
        <v>143</v>
      </c>
      <c r="B341" s="16" t="s">
        <v>137</v>
      </c>
      <c r="C341" s="162" t="s">
        <v>721</v>
      </c>
      <c r="D341" s="85"/>
      <c r="E341" s="161" t="s">
        <v>722</v>
      </c>
      <c r="F341" s="41">
        <f>F342</f>
        <v>5584.5</v>
      </c>
      <c r="G341" s="41">
        <f>G342</f>
        <v>5584.5</v>
      </c>
      <c r="H341" s="99">
        <f t="shared" si="30"/>
        <v>100</v>
      </c>
    </row>
    <row r="342" spans="1:10">
      <c r="A342" s="16" t="s">
        <v>143</v>
      </c>
      <c r="B342" s="16" t="s">
        <v>137</v>
      </c>
      <c r="C342" s="51" t="s">
        <v>721</v>
      </c>
      <c r="D342" s="114" t="s">
        <v>372</v>
      </c>
      <c r="E342" s="111" t="s">
        <v>401</v>
      </c>
      <c r="F342" s="41">
        <f>5584.6-0.1</f>
        <v>5584.5</v>
      </c>
      <c r="G342" s="41">
        <f>5584.6-0.1</f>
        <v>5584.5</v>
      </c>
      <c r="H342" s="99">
        <f t="shared" si="30"/>
        <v>100</v>
      </c>
      <c r="I342" s="170"/>
      <c r="J342" s="171"/>
    </row>
    <row r="343" spans="1:10" ht="51">
      <c r="A343" s="16" t="s">
        <v>143</v>
      </c>
      <c r="B343" s="16" t="s">
        <v>137</v>
      </c>
      <c r="C343" s="52" t="s">
        <v>269</v>
      </c>
      <c r="D343" s="16"/>
      <c r="E343" s="60" t="s">
        <v>296</v>
      </c>
      <c r="F343" s="98">
        <f>F344+F346</f>
        <v>17065.3</v>
      </c>
      <c r="G343" s="98">
        <f>G344+G346</f>
        <v>16346.8</v>
      </c>
      <c r="H343" s="58">
        <f t="shared" si="30"/>
        <v>95.8</v>
      </c>
    </row>
    <row r="344" spans="1:10" ht="42" customHeight="1">
      <c r="A344" s="16" t="s">
        <v>143</v>
      </c>
      <c r="B344" s="16" t="s">
        <v>137</v>
      </c>
      <c r="C344" s="21" t="s">
        <v>272</v>
      </c>
      <c r="D344" s="85"/>
      <c r="E344" s="102" t="s">
        <v>606</v>
      </c>
      <c r="F344" s="41">
        <f>F345</f>
        <v>7586.4000000000005</v>
      </c>
      <c r="G344" s="41">
        <f>G345</f>
        <v>7512.8</v>
      </c>
      <c r="H344" s="99">
        <f t="shared" si="30"/>
        <v>99</v>
      </c>
    </row>
    <row r="345" spans="1:10" ht="38.25">
      <c r="A345" s="16" t="s">
        <v>143</v>
      </c>
      <c r="B345" s="16" t="s">
        <v>137</v>
      </c>
      <c r="C345" s="21" t="s">
        <v>272</v>
      </c>
      <c r="D345" s="85" t="s">
        <v>314</v>
      </c>
      <c r="E345" s="102" t="s">
        <v>315</v>
      </c>
      <c r="F345" s="41">
        <f>7778.2-53.4-12.5-125.9</f>
        <v>7586.4000000000005</v>
      </c>
      <c r="G345" s="41">
        <v>7512.8</v>
      </c>
      <c r="H345" s="99">
        <f t="shared" si="30"/>
        <v>99</v>
      </c>
    </row>
    <row r="346" spans="1:10" ht="25.5">
      <c r="A346" s="16" t="s">
        <v>143</v>
      </c>
      <c r="B346" s="16" t="s">
        <v>137</v>
      </c>
      <c r="C346" s="21" t="s">
        <v>605</v>
      </c>
      <c r="D346" s="16"/>
      <c r="E346" s="102" t="s">
        <v>273</v>
      </c>
      <c r="F346" s="41">
        <f>F347</f>
        <v>9478.9</v>
      </c>
      <c r="G346" s="41">
        <f>G347</f>
        <v>8834</v>
      </c>
      <c r="H346" s="99">
        <f t="shared" si="30"/>
        <v>93.2</v>
      </c>
    </row>
    <row r="347" spans="1:10" ht="38.25">
      <c r="A347" s="16" t="s">
        <v>143</v>
      </c>
      <c r="B347" s="16" t="s">
        <v>137</v>
      </c>
      <c r="C347" s="21" t="s">
        <v>605</v>
      </c>
      <c r="D347" s="85" t="s">
        <v>314</v>
      </c>
      <c r="E347" s="102" t="s">
        <v>315</v>
      </c>
      <c r="F347" s="41">
        <f>8470.4+300+300+508.5+400-800+300</f>
        <v>9478.9</v>
      </c>
      <c r="G347" s="41">
        <v>8834</v>
      </c>
      <c r="H347" s="99">
        <f t="shared" si="30"/>
        <v>93.2</v>
      </c>
    </row>
    <row r="348" spans="1:10" ht="25.5">
      <c r="A348" s="16" t="s">
        <v>143</v>
      </c>
      <c r="B348" s="16" t="s">
        <v>137</v>
      </c>
      <c r="C348" s="87">
        <v>9900000000</v>
      </c>
      <c r="D348" s="73"/>
      <c r="E348" s="149" t="s">
        <v>195</v>
      </c>
      <c r="F348" s="100">
        <f t="shared" ref="F348:G350" si="32">F349</f>
        <v>65.900000000000006</v>
      </c>
      <c r="G348" s="100">
        <f t="shared" si="32"/>
        <v>65.900000000000006</v>
      </c>
      <c r="H348" s="62">
        <f t="shared" si="30"/>
        <v>100</v>
      </c>
    </row>
    <row r="349" spans="1:10" ht="25.5">
      <c r="A349" s="16" t="s">
        <v>143</v>
      </c>
      <c r="B349" s="16" t="s">
        <v>137</v>
      </c>
      <c r="C349" s="85" t="s">
        <v>31</v>
      </c>
      <c r="D349" s="85"/>
      <c r="E349" s="104" t="s">
        <v>53</v>
      </c>
      <c r="F349" s="103">
        <f t="shared" si="32"/>
        <v>65.900000000000006</v>
      </c>
      <c r="G349" s="103">
        <f t="shared" si="32"/>
        <v>65.900000000000006</v>
      </c>
      <c r="H349" s="99">
        <f t="shared" si="30"/>
        <v>100</v>
      </c>
    </row>
    <row r="350" spans="1:10" ht="25.5">
      <c r="A350" s="16" t="s">
        <v>143</v>
      </c>
      <c r="B350" s="16" t="s">
        <v>137</v>
      </c>
      <c r="C350" s="85" t="s">
        <v>802</v>
      </c>
      <c r="D350" s="16"/>
      <c r="E350" s="54" t="s">
        <v>801</v>
      </c>
      <c r="F350" s="103">
        <f t="shared" si="32"/>
        <v>65.900000000000006</v>
      </c>
      <c r="G350" s="103">
        <f t="shared" si="32"/>
        <v>65.900000000000006</v>
      </c>
      <c r="H350" s="99">
        <f t="shared" si="30"/>
        <v>100</v>
      </c>
    </row>
    <row r="351" spans="1:10">
      <c r="A351" s="16" t="s">
        <v>143</v>
      </c>
      <c r="B351" s="16" t="s">
        <v>137</v>
      </c>
      <c r="C351" s="85" t="s">
        <v>802</v>
      </c>
      <c r="D351" s="85" t="s">
        <v>466</v>
      </c>
      <c r="E351" s="102" t="s">
        <v>467</v>
      </c>
      <c r="F351" s="103">
        <f>53.4+12.5</f>
        <v>65.900000000000006</v>
      </c>
      <c r="G351" s="103">
        <f>53.4+12.5</f>
        <v>65.900000000000006</v>
      </c>
      <c r="H351" s="99">
        <f t="shared" si="30"/>
        <v>100</v>
      </c>
    </row>
    <row r="352" spans="1:10" ht="14.25">
      <c r="A352" s="30" t="s">
        <v>143</v>
      </c>
      <c r="B352" s="30" t="s">
        <v>141</v>
      </c>
      <c r="C352" s="30"/>
      <c r="D352" s="30"/>
      <c r="E352" s="27" t="s">
        <v>72</v>
      </c>
      <c r="F352" s="40">
        <f>F353+F357+F370+F413+F431+F435</f>
        <v>173048.6</v>
      </c>
      <c r="G352" s="40">
        <f>G353+G357+G370+G413+G431+G435</f>
        <v>146083.29999999999</v>
      </c>
      <c r="H352" s="42">
        <f t="shared" si="30"/>
        <v>84.4</v>
      </c>
    </row>
    <row r="353" spans="1:8" ht="44.25" customHeight="1">
      <c r="A353" s="5" t="s">
        <v>143</v>
      </c>
      <c r="B353" s="5" t="s">
        <v>141</v>
      </c>
      <c r="C353" s="78" t="s">
        <v>106</v>
      </c>
      <c r="D353" s="16"/>
      <c r="E353" s="63" t="s">
        <v>516</v>
      </c>
      <c r="F353" s="100">
        <f t="shared" ref="F353:G355" si="33">F354</f>
        <v>70.599999999999994</v>
      </c>
      <c r="G353" s="100">
        <f t="shared" si="33"/>
        <v>70.599999999999994</v>
      </c>
      <c r="H353" s="62">
        <f t="shared" si="30"/>
        <v>100</v>
      </c>
    </row>
    <row r="354" spans="1:8" ht="25.5">
      <c r="A354" s="47" t="s">
        <v>143</v>
      </c>
      <c r="B354" s="47" t="s">
        <v>141</v>
      </c>
      <c r="C354" s="77" t="s">
        <v>107</v>
      </c>
      <c r="D354" s="16"/>
      <c r="E354" s="60" t="s">
        <v>105</v>
      </c>
      <c r="F354" s="98">
        <f t="shared" si="33"/>
        <v>70.599999999999994</v>
      </c>
      <c r="G354" s="98">
        <f t="shared" si="33"/>
        <v>70.599999999999994</v>
      </c>
      <c r="H354" s="58">
        <f t="shared" si="30"/>
        <v>100</v>
      </c>
    </row>
    <row r="355" spans="1:8" ht="38.25">
      <c r="A355" s="85" t="s">
        <v>143</v>
      </c>
      <c r="B355" s="85" t="s">
        <v>141</v>
      </c>
      <c r="C355" s="74" t="s">
        <v>199</v>
      </c>
      <c r="D355" s="16"/>
      <c r="E355" s="102" t="s">
        <v>200</v>
      </c>
      <c r="F355" s="41">
        <f t="shared" si="33"/>
        <v>70.599999999999994</v>
      </c>
      <c r="G355" s="41">
        <f t="shared" si="33"/>
        <v>70.599999999999994</v>
      </c>
      <c r="H355" s="99">
        <f t="shared" si="30"/>
        <v>100</v>
      </c>
    </row>
    <row r="356" spans="1:8" ht="38.25">
      <c r="A356" s="85" t="s">
        <v>143</v>
      </c>
      <c r="B356" s="85" t="s">
        <v>141</v>
      </c>
      <c r="C356" s="74" t="s">
        <v>199</v>
      </c>
      <c r="D356" s="85" t="s">
        <v>314</v>
      </c>
      <c r="E356" s="102" t="s">
        <v>315</v>
      </c>
      <c r="F356" s="41">
        <f>76-5.4</f>
        <v>70.599999999999994</v>
      </c>
      <c r="G356" s="41">
        <f>76-5.4</f>
        <v>70.599999999999994</v>
      </c>
      <c r="H356" s="99">
        <f t="shared" si="30"/>
        <v>100</v>
      </c>
    </row>
    <row r="357" spans="1:8" ht="65.25" customHeight="1">
      <c r="A357" s="5" t="s">
        <v>143</v>
      </c>
      <c r="B357" s="5" t="s">
        <v>141</v>
      </c>
      <c r="C357" s="83" t="s">
        <v>42</v>
      </c>
      <c r="D357" s="16"/>
      <c r="E357" s="53" t="s">
        <v>534</v>
      </c>
      <c r="F357" s="100">
        <f>F358+F361</f>
        <v>21525.7</v>
      </c>
      <c r="G357" s="100">
        <f>G358+G361</f>
        <v>21394.799999999999</v>
      </c>
      <c r="H357" s="62">
        <f t="shared" si="30"/>
        <v>99.4</v>
      </c>
    </row>
    <row r="358" spans="1:8" ht="42" customHeight="1">
      <c r="A358" s="85" t="s">
        <v>143</v>
      </c>
      <c r="B358" s="85" t="s">
        <v>141</v>
      </c>
      <c r="C358" s="52" t="s">
        <v>712</v>
      </c>
      <c r="D358" s="16"/>
      <c r="E358" s="60" t="s">
        <v>713</v>
      </c>
      <c r="F358" s="98">
        <f t="shared" ref="F358:G359" si="34">F359</f>
        <v>8154.3</v>
      </c>
      <c r="G358" s="98">
        <f t="shared" si="34"/>
        <v>8128.8</v>
      </c>
      <c r="H358" s="58">
        <f t="shared" si="30"/>
        <v>99.7</v>
      </c>
    </row>
    <row r="359" spans="1:8" ht="26.25" customHeight="1">
      <c r="A359" s="16" t="s">
        <v>143</v>
      </c>
      <c r="B359" s="85" t="s">
        <v>141</v>
      </c>
      <c r="C359" s="21" t="s">
        <v>714</v>
      </c>
      <c r="D359" s="16"/>
      <c r="E359" s="102" t="s">
        <v>716</v>
      </c>
      <c r="F359" s="41">
        <f t="shared" si="34"/>
        <v>8154.3</v>
      </c>
      <c r="G359" s="41">
        <f t="shared" si="34"/>
        <v>8128.8</v>
      </c>
      <c r="H359" s="99">
        <f t="shared" si="30"/>
        <v>99.7</v>
      </c>
    </row>
    <row r="360" spans="1:8" ht="39" customHeight="1">
      <c r="A360" s="85" t="s">
        <v>143</v>
      </c>
      <c r="B360" s="85" t="s">
        <v>141</v>
      </c>
      <c r="C360" s="21" t="s">
        <v>714</v>
      </c>
      <c r="D360" s="85" t="s">
        <v>314</v>
      </c>
      <c r="E360" s="102" t="s">
        <v>315</v>
      </c>
      <c r="F360" s="41">
        <f>5500+640+1751.1+263.2</f>
        <v>8154.3</v>
      </c>
      <c r="G360" s="41">
        <v>8128.8</v>
      </c>
      <c r="H360" s="99">
        <f t="shared" si="30"/>
        <v>99.7</v>
      </c>
    </row>
    <row r="361" spans="1:8" ht="38.25">
      <c r="A361" s="16" t="s">
        <v>143</v>
      </c>
      <c r="B361" s="85" t="s">
        <v>141</v>
      </c>
      <c r="C361" s="52" t="s">
        <v>270</v>
      </c>
      <c r="D361" s="16"/>
      <c r="E361" s="60" t="s">
        <v>597</v>
      </c>
      <c r="F361" s="98">
        <f>F362+F364+F366+F368</f>
        <v>13371.4</v>
      </c>
      <c r="G361" s="98">
        <f>G362+G364+G366+G368</f>
        <v>13265.999999999998</v>
      </c>
      <c r="H361" s="58">
        <f t="shared" si="30"/>
        <v>99.2</v>
      </c>
    </row>
    <row r="362" spans="1:8" ht="25.5">
      <c r="A362" s="16" t="s">
        <v>143</v>
      </c>
      <c r="B362" s="85" t="s">
        <v>141</v>
      </c>
      <c r="C362" s="21" t="s">
        <v>271</v>
      </c>
      <c r="D362" s="85"/>
      <c r="E362" s="102" t="s">
        <v>598</v>
      </c>
      <c r="F362" s="41">
        <f>F363</f>
        <v>8479.1</v>
      </c>
      <c r="G362" s="41">
        <f>G363</f>
        <v>8444.2999999999993</v>
      </c>
      <c r="H362" s="99">
        <f t="shared" si="30"/>
        <v>99.6</v>
      </c>
    </row>
    <row r="363" spans="1:8" ht="38.25">
      <c r="A363" s="16" t="s">
        <v>143</v>
      </c>
      <c r="B363" s="85" t="s">
        <v>141</v>
      </c>
      <c r="C363" s="21" t="s">
        <v>271</v>
      </c>
      <c r="D363" s="85" t="s">
        <v>314</v>
      </c>
      <c r="E363" s="102" t="s">
        <v>315</v>
      </c>
      <c r="F363" s="41">
        <f>13000-1700-2000-820.9</f>
        <v>8479.1</v>
      </c>
      <c r="G363" s="41">
        <v>8444.2999999999993</v>
      </c>
      <c r="H363" s="99">
        <f t="shared" si="30"/>
        <v>99.6</v>
      </c>
    </row>
    <row r="364" spans="1:8" ht="25.5">
      <c r="A364" s="16" t="s">
        <v>143</v>
      </c>
      <c r="B364" s="85" t="s">
        <v>141</v>
      </c>
      <c r="C364" s="21" t="s">
        <v>579</v>
      </c>
      <c r="D364" s="85"/>
      <c r="E364" s="102" t="s">
        <v>584</v>
      </c>
      <c r="F364" s="41">
        <f>F365</f>
        <v>2812.9</v>
      </c>
      <c r="G364" s="41">
        <f>G365</f>
        <v>2742.3</v>
      </c>
      <c r="H364" s="99">
        <f t="shared" ref="H364:H395" si="35">ROUND((G364/F364*100),1)</f>
        <v>97.5</v>
      </c>
    </row>
    <row r="365" spans="1:8" ht="38.25">
      <c r="A365" s="16" t="s">
        <v>143</v>
      </c>
      <c r="B365" s="85" t="s">
        <v>141</v>
      </c>
      <c r="C365" s="21" t="s">
        <v>579</v>
      </c>
      <c r="D365" s="85" t="s">
        <v>314</v>
      </c>
      <c r="E365" s="102" t="s">
        <v>315</v>
      </c>
      <c r="F365" s="41">
        <f>3000-300-287.1+400</f>
        <v>2812.9</v>
      </c>
      <c r="G365" s="41">
        <v>2742.3</v>
      </c>
      <c r="H365" s="99">
        <f t="shared" si="35"/>
        <v>97.5</v>
      </c>
    </row>
    <row r="366" spans="1:8" ht="51">
      <c r="A366" s="16" t="s">
        <v>143</v>
      </c>
      <c r="B366" s="85" t="s">
        <v>141</v>
      </c>
      <c r="C366" s="21" t="s">
        <v>582</v>
      </c>
      <c r="D366" s="16"/>
      <c r="E366" s="102" t="s">
        <v>599</v>
      </c>
      <c r="F366" s="103">
        <f>F367</f>
        <v>1300</v>
      </c>
      <c r="G366" s="103">
        <f>G367</f>
        <v>1300</v>
      </c>
      <c r="H366" s="99">
        <f t="shared" si="35"/>
        <v>100</v>
      </c>
    </row>
    <row r="367" spans="1:8" ht="38.25">
      <c r="A367" s="85" t="s">
        <v>143</v>
      </c>
      <c r="B367" s="85" t="s">
        <v>141</v>
      </c>
      <c r="C367" s="21" t="s">
        <v>582</v>
      </c>
      <c r="D367" s="85" t="s">
        <v>314</v>
      </c>
      <c r="E367" s="102" t="s">
        <v>315</v>
      </c>
      <c r="F367" s="41">
        <v>1300</v>
      </c>
      <c r="G367" s="41">
        <v>1300</v>
      </c>
      <c r="H367" s="99">
        <f t="shared" si="35"/>
        <v>100</v>
      </c>
    </row>
    <row r="368" spans="1:8" ht="51" customHeight="1">
      <c r="A368" s="16" t="s">
        <v>143</v>
      </c>
      <c r="B368" s="85" t="s">
        <v>141</v>
      </c>
      <c r="C368" s="21" t="s">
        <v>583</v>
      </c>
      <c r="D368" s="16"/>
      <c r="E368" s="102" t="s">
        <v>585</v>
      </c>
      <c r="F368" s="41">
        <f>F369</f>
        <v>779.4</v>
      </c>
      <c r="G368" s="41">
        <f>G369</f>
        <v>779.4</v>
      </c>
      <c r="H368" s="99">
        <f t="shared" si="35"/>
        <v>100</v>
      </c>
    </row>
    <row r="369" spans="1:10" ht="38.25">
      <c r="A369" s="16" t="s">
        <v>143</v>
      </c>
      <c r="B369" s="85" t="s">
        <v>141</v>
      </c>
      <c r="C369" s="21" t="s">
        <v>583</v>
      </c>
      <c r="D369" s="85" t="s">
        <v>314</v>
      </c>
      <c r="E369" s="102" t="s">
        <v>315</v>
      </c>
      <c r="F369" s="41">
        <f>500+200+79.4</f>
        <v>779.4</v>
      </c>
      <c r="G369" s="41">
        <f>500+200+79.4</f>
        <v>779.4</v>
      </c>
      <c r="H369" s="99">
        <f t="shared" si="35"/>
        <v>100</v>
      </c>
    </row>
    <row r="370" spans="1:10" ht="51">
      <c r="A370" s="5" t="s">
        <v>143</v>
      </c>
      <c r="B370" s="5" t="s">
        <v>141</v>
      </c>
      <c r="C370" s="73" t="s">
        <v>85</v>
      </c>
      <c r="D370" s="16"/>
      <c r="E370" s="53" t="s">
        <v>541</v>
      </c>
      <c r="F370" s="100">
        <f>F371+F382+F385+F392+F401+F408</f>
        <v>46470.2</v>
      </c>
      <c r="G370" s="100">
        <f>G371+G382+G385+G392+G401+G408</f>
        <v>32976.299999999996</v>
      </c>
      <c r="H370" s="62">
        <f t="shared" si="35"/>
        <v>71</v>
      </c>
    </row>
    <row r="371" spans="1:10" ht="38.25">
      <c r="A371" s="47" t="s">
        <v>143</v>
      </c>
      <c r="B371" s="47" t="s">
        <v>141</v>
      </c>
      <c r="C371" s="52" t="s">
        <v>86</v>
      </c>
      <c r="D371" s="47"/>
      <c r="E371" s="48" t="s">
        <v>274</v>
      </c>
      <c r="F371" s="98">
        <f>F372+F374+F376+F378+F380</f>
        <v>23292</v>
      </c>
      <c r="G371" s="98">
        <f>G372+G374+G376+G378+G380</f>
        <v>14232.6</v>
      </c>
      <c r="H371" s="99">
        <f t="shared" si="35"/>
        <v>61.1</v>
      </c>
    </row>
    <row r="372" spans="1:10" ht="28.5" customHeight="1">
      <c r="A372" s="16" t="s">
        <v>143</v>
      </c>
      <c r="B372" s="16" t="s">
        <v>141</v>
      </c>
      <c r="C372" s="74" t="s">
        <v>87</v>
      </c>
      <c r="D372" s="21"/>
      <c r="E372" s="102" t="s">
        <v>28</v>
      </c>
      <c r="F372" s="41">
        <f>F373</f>
        <v>12874.4</v>
      </c>
      <c r="G372" s="41">
        <f>G373</f>
        <v>4271.1000000000004</v>
      </c>
      <c r="H372" s="99">
        <f t="shared" si="35"/>
        <v>33.200000000000003</v>
      </c>
    </row>
    <row r="373" spans="1:10" ht="38.25">
      <c r="A373" s="16" t="s">
        <v>143</v>
      </c>
      <c r="B373" s="16" t="s">
        <v>141</v>
      </c>
      <c r="C373" s="74" t="s">
        <v>87</v>
      </c>
      <c r="D373" s="85" t="s">
        <v>314</v>
      </c>
      <c r="E373" s="102" t="s">
        <v>315</v>
      </c>
      <c r="F373" s="41">
        <f>13373.4-5.7-493.3</f>
        <v>12874.4</v>
      </c>
      <c r="G373" s="39">
        <v>4271.1000000000004</v>
      </c>
      <c r="H373" s="99">
        <f t="shared" si="35"/>
        <v>33.200000000000003</v>
      </c>
      <c r="I373" s="170"/>
      <c r="J373" s="169"/>
    </row>
    <row r="374" spans="1:10" ht="63.75">
      <c r="A374" s="16" t="s">
        <v>143</v>
      </c>
      <c r="B374" s="16" t="s">
        <v>141</v>
      </c>
      <c r="C374" s="74" t="s">
        <v>88</v>
      </c>
      <c r="D374" s="21"/>
      <c r="E374" s="102" t="s">
        <v>356</v>
      </c>
      <c r="F374" s="41">
        <f>F375</f>
        <v>3945</v>
      </c>
      <c r="G374" s="41">
        <f>G375</f>
        <v>3554.2</v>
      </c>
      <c r="H374" s="99">
        <f t="shared" si="35"/>
        <v>90.1</v>
      </c>
    </row>
    <row r="375" spans="1:10" ht="38.25">
      <c r="A375" s="16" t="s">
        <v>143</v>
      </c>
      <c r="B375" s="16" t="s">
        <v>141</v>
      </c>
      <c r="C375" s="74" t="s">
        <v>88</v>
      </c>
      <c r="D375" s="85" t="s">
        <v>314</v>
      </c>
      <c r="E375" s="102" t="s">
        <v>315</v>
      </c>
      <c r="F375" s="41">
        <f>920+3180-600-100+600-55</f>
        <v>3945</v>
      </c>
      <c r="G375" s="41">
        <v>3554.2</v>
      </c>
      <c r="H375" s="99">
        <f t="shared" si="35"/>
        <v>90.1</v>
      </c>
    </row>
    <row r="376" spans="1:10" ht="25.5">
      <c r="A376" s="16" t="s">
        <v>143</v>
      </c>
      <c r="B376" s="16" t="s">
        <v>141</v>
      </c>
      <c r="C376" s="74" t="s">
        <v>275</v>
      </c>
      <c r="D376" s="16"/>
      <c r="E376" s="102" t="s">
        <v>29</v>
      </c>
      <c r="F376" s="41">
        <f>F377</f>
        <v>863</v>
      </c>
      <c r="G376" s="41">
        <f>G377</f>
        <v>862.8</v>
      </c>
      <c r="H376" s="99">
        <f t="shared" si="35"/>
        <v>100</v>
      </c>
    </row>
    <row r="377" spans="1:10" ht="38.25">
      <c r="A377" s="16" t="s">
        <v>143</v>
      </c>
      <c r="B377" s="16" t="s">
        <v>141</v>
      </c>
      <c r="C377" s="74" t="s">
        <v>275</v>
      </c>
      <c r="D377" s="85" t="s">
        <v>314</v>
      </c>
      <c r="E377" s="102" t="s">
        <v>315</v>
      </c>
      <c r="F377" s="41">
        <f>100+200+163+400</f>
        <v>863</v>
      </c>
      <c r="G377" s="41">
        <v>862.8</v>
      </c>
      <c r="H377" s="99">
        <f t="shared" si="35"/>
        <v>100</v>
      </c>
    </row>
    <row r="378" spans="1:10" ht="25.5">
      <c r="A378" s="16" t="s">
        <v>143</v>
      </c>
      <c r="B378" s="16" t="s">
        <v>141</v>
      </c>
      <c r="C378" s="74" t="s">
        <v>323</v>
      </c>
      <c r="D378" s="16"/>
      <c r="E378" s="102" t="s">
        <v>357</v>
      </c>
      <c r="F378" s="41">
        <f>F379</f>
        <v>897</v>
      </c>
      <c r="G378" s="41">
        <f>G379</f>
        <v>831.9</v>
      </c>
      <c r="H378" s="99">
        <f t="shared" si="35"/>
        <v>92.7</v>
      </c>
    </row>
    <row r="379" spans="1:10" ht="38.25">
      <c r="A379" s="16" t="s">
        <v>143</v>
      </c>
      <c r="B379" s="16" t="s">
        <v>141</v>
      </c>
      <c r="C379" s="74" t="s">
        <v>323</v>
      </c>
      <c r="D379" s="85" t="s">
        <v>314</v>
      </c>
      <c r="E379" s="102" t="s">
        <v>315</v>
      </c>
      <c r="F379" s="41">
        <f>300+597</f>
        <v>897</v>
      </c>
      <c r="G379" s="41">
        <v>831.9</v>
      </c>
      <c r="H379" s="99">
        <f t="shared" si="35"/>
        <v>92.7</v>
      </c>
    </row>
    <row r="380" spans="1:10" ht="25.5">
      <c r="A380" s="16" t="s">
        <v>143</v>
      </c>
      <c r="B380" s="16" t="s">
        <v>141</v>
      </c>
      <c r="C380" s="74" t="s">
        <v>639</v>
      </c>
      <c r="D380" s="85"/>
      <c r="E380" s="102" t="s">
        <v>640</v>
      </c>
      <c r="F380" s="41">
        <f>F381</f>
        <v>4712.6000000000004</v>
      </c>
      <c r="G380" s="41">
        <f>G381</f>
        <v>4712.6000000000004</v>
      </c>
      <c r="H380" s="99">
        <f t="shared" si="35"/>
        <v>100</v>
      </c>
    </row>
    <row r="381" spans="1:10" ht="38.25">
      <c r="A381" s="16" t="s">
        <v>143</v>
      </c>
      <c r="B381" s="16" t="s">
        <v>141</v>
      </c>
      <c r="C381" s="74" t="s">
        <v>639</v>
      </c>
      <c r="D381" s="85" t="s">
        <v>314</v>
      </c>
      <c r="E381" s="102" t="s">
        <v>315</v>
      </c>
      <c r="F381" s="39">
        <f>5916.6-1204</f>
        <v>4712.6000000000004</v>
      </c>
      <c r="G381" s="39">
        <f>5916.6-1204</f>
        <v>4712.6000000000004</v>
      </c>
      <c r="H381" s="99">
        <f t="shared" si="35"/>
        <v>100</v>
      </c>
    </row>
    <row r="382" spans="1:10" ht="25.5">
      <c r="A382" s="16" t="s">
        <v>143</v>
      </c>
      <c r="B382" s="16" t="s">
        <v>141</v>
      </c>
      <c r="C382" s="52" t="s">
        <v>90</v>
      </c>
      <c r="D382" s="47"/>
      <c r="E382" s="48" t="s">
        <v>32</v>
      </c>
      <c r="F382" s="98">
        <f>F383</f>
        <v>500</v>
      </c>
      <c r="G382" s="98">
        <f>G383</f>
        <v>500</v>
      </c>
      <c r="H382" s="58">
        <f t="shared" si="35"/>
        <v>100</v>
      </c>
    </row>
    <row r="383" spans="1:10" ht="25.5">
      <c r="A383" s="16" t="s">
        <v>143</v>
      </c>
      <c r="B383" s="16" t="s">
        <v>141</v>
      </c>
      <c r="C383" s="80" t="s">
        <v>89</v>
      </c>
      <c r="D383" s="16"/>
      <c r="E383" s="102" t="s">
        <v>276</v>
      </c>
      <c r="F383" s="41">
        <f>F384</f>
        <v>500</v>
      </c>
      <c r="G383" s="41">
        <f>G384</f>
        <v>500</v>
      </c>
      <c r="H383" s="99">
        <f t="shared" si="35"/>
        <v>100</v>
      </c>
    </row>
    <row r="384" spans="1:10" ht="38.25">
      <c r="A384" s="16" t="s">
        <v>143</v>
      </c>
      <c r="B384" s="16" t="s">
        <v>141</v>
      </c>
      <c r="C384" s="80" t="s">
        <v>89</v>
      </c>
      <c r="D384" s="85" t="s">
        <v>314</v>
      </c>
      <c r="E384" s="102" t="s">
        <v>315</v>
      </c>
      <c r="F384" s="41">
        <v>500</v>
      </c>
      <c r="G384" s="41">
        <v>500</v>
      </c>
      <c r="H384" s="99">
        <f t="shared" si="35"/>
        <v>100</v>
      </c>
    </row>
    <row r="385" spans="1:8" ht="25.5">
      <c r="A385" s="16" t="s">
        <v>143</v>
      </c>
      <c r="B385" s="16" t="s">
        <v>141</v>
      </c>
      <c r="C385" s="52" t="s">
        <v>91</v>
      </c>
      <c r="D385" s="47"/>
      <c r="E385" s="48" t="s">
        <v>277</v>
      </c>
      <c r="F385" s="98">
        <f>F386+F388+F390</f>
        <v>8269.4</v>
      </c>
      <c r="G385" s="98">
        <f>G386+G388+G390</f>
        <v>8122.2</v>
      </c>
      <c r="H385" s="58">
        <f t="shared" si="35"/>
        <v>98.2</v>
      </c>
    </row>
    <row r="386" spans="1:8" ht="25.5">
      <c r="A386" s="16" t="s">
        <v>143</v>
      </c>
      <c r="B386" s="16" t="s">
        <v>141</v>
      </c>
      <c r="C386" s="21" t="s">
        <v>92</v>
      </c>
      <c r="D386" s="16"/>
      <c r="E386" s="102" t="s">
        <v>470</v>
      </c>
      <c r="F386" s="41">
        <f>F387</f>
        <v>5348.2</v>
      </c>
      <c r="G386" s="41">
        <f>G387</f>
        <v>5207</v>
      </c>
      <c r="H386" s="99">
        <f t="shared" si="35"/>
        <v>97.4</v>
      </c>
    </row>
    <row r="387" spans="1:8" ht="38.25">
      <c r="A387" s="16" t="s">
        <v>143</v>
      </c>
      <c r="B387" s="16" t="s">
        <v>141</v>
      </c>
      <c r="C387" s="21" t="s">
        <v>92</v>
      </c>
      <c r="D387" s="85" t="s">
        <v>314</v>
      </c>
      <c r="E387" s="102" t="s">
        <v>315</v>
      </c>
      <c r="F387" s="41">
        <f>2800+1500+1194.8+98.2-244.8</f>
        <v>5348.2</v>
      </c>
      <c r="G387" s="99">
        <v>5207</v>
      </c>
      <c r="H387" s="99">
        <f t="shared" si="35"/>
        <v>97.4</v>
      </c>
    </row>
    <row r="388" spans="1:8" ht="25.5">
      <c r="A388" s="16" t="s">
        <v>143</v>
      </c>
      <c r="B388" s="16" t="s">
        <v>141</v>
      </c>
      <c r="C388" s="21" t="s">
        <v>93</v>
      </c>
      <c r="D388" s="16"/>
      <c r="E388" s="102" t="s">
        <v>30</v>
      </c>
      <c r="F388" s="41">
        <f>F389</f>
        <v>2911.2</v>
      </c>
      <c r="G388" s="41">
        <f>G389</f>
        <v>2905.2</v>
      </c>
      <c r="H388" s="99">
        <f t="shared" si="35"/>
        <v>99.8</v>
      </c>
    </row>
    <row r="389" spans="1:8" ht="38.25">
      <c r="A389" s="47" t="s">
        <v>143</v>
      </c>
      <c r="B389" s="47" t="s">
        <v>141</v>
      </c>
      <c r="C389" s="21" t="s">
        <v>93</v>
      </c>
      <c r="D389" s="85" t="s">
        <v>314</v>
      </c>
      <c r="E389" s="102" t="s">
        <v>315</v>
      </c>
      <c r="F389" s="41">
        <f>5+3800-1194.8+200+101</f>
        <v>2911.2</v>
      </c>
      <c r="G389" s="41">
        <v>2905.2</v>
      </c>
      <c r="H389" s="99">
        <f t="shared" si="35"/>
        <v>99.8</v>
      </c>
    </row>
    <row r="390" spans="1:8" ht="25.5">
      <c r="A390" s="16" t="s">
        <v>143</v>
      </c>
      <c r="B390" s="16" t="s">
        <v>141</v>
      </c>
      <c r="C390" s="21" t="s">
        <v>94</v>
      </c>
      <c r="D390" s="16"/>
      <c r="E390" s="102" t="s">
        <v>280</v>
      </c>
      <c r="F390" s="41">
        <f>F391</f>
        <v>10</v>
      </c>
      <c r="G390" s="41">
        <f>G391</f>
        <v>10</v>
      </c>
      <c r="H390" s="99">
        <f t="shared" si="35"/>
        <v>100</v>
      </c>
    </row>
    <row r="391" spans="1:8" ht="38.25">
      <c r="A391" s="16" t="s">
        <v>143</v>
      </c>
      <c r="B391" s="16" t="s">
        <v>141</v>
      </c>
      <c r="C391" s="21" t="s">
        <v>94</v>
      </c>
      <c r="D391" s="85" t="s">
        <v>314</v>
      </c>
      <c r="E391" s="102" t="s">
        <v>315</v>
      </c>
      <c r="F391" s="41">
        <f>5+5</f>
        <v>10</v>
      </c>
      <c r="G391" s="41">
        <f>5+5</f>
        <v>10</v>
      </c>
      <c r="H391" s="99">
        <f t="shared" si="35"/>
        <v>100</v>
      </c>
    </row>
    <row r="392" spans="1:8" ht="38.25">
      <c r="A392" s="47" t="s">
        <v>143</v>
      </c>
      <c r="B392" s="47" t="s">
        <v>141</v>
      </c>
      <c r="C392" s="52" t="s">
        <v>95</v>
      </c>
      <c r="D392" s="47"/>
      <c r="E392" s="48" t="s">
        <v>600</v>
      </c>
      <c r="F392" s="98">
        <f>F393+F395+F397+F399</f>
        <v>1822.6</v>
      </c>
      <c r="G392" s="98">
        <f>G393+G395+G397+G399</f>
        <v>1817.6000000000001</v>
      </c>
      <c r="H392" s="58">
        <f t="shared" si="35"/>
        <v>99.7</v>
      </c>
    </row>
    <row r="393" spans="1:8" ht="40.5" customHeight="1">
      <c r="A393" s="16" t="s">
        <v>143</v>
      </c>
      <c r="B393" s="16" t="s">
        <v>141</v>
      </c>
      <c r="C393" s="80" t="s">
        <v>96</v>
      </c>
      <c r="D393" s="16"/>
      <c r="E393" s="102" t="s">
        <v>278</v>
      </c>
      <c r="F393" s="41">
        <f>F394</f>
        <v>719.69999999999993</v>
      </c>
      <c r="G393" s="41">
        <f>G394</f>
        <v>714.7</v>
      </c>
      <c r="H393" s="99">
        <f t="shared" si="35"/>
        <v>99.3</v>
      </c>
    </row>
    <row r="394" spans="1:8" ht="38.25">
      <c r="A394" s="16" t="s">
        <v>143</v>
      </c>
      <c r="B394" s="16" t="s">
        <v>141</v>
      </c>
      <c r="C394" s="80" t="s">
        <v>96</v>
      </c>
      <c r="D394" s="85" t="s">
        <v>314</v>
      </c>
      <c r="E394" s="102" t="s">
        <v>315</v>
      </c>
      <c r="F394" s="41">
        <f>683.8-19.1+55</f>
        <v>719.69999999999993</v>
      </c>
      <c r="G394" s="41">
        <v>714.7</v>
      </c>
      <c r="H394" s="99">
        <f t="shared" si="35"/>
        <v>99.3</v>
      </c>
    </row>
    <row r="395" spans="1:8" ht="76.5">
      <c r="A395" s="16" t="s">
        <v>143</v>
      </c>
      <c r="B395" s="16" t="s">
        <v>141</v>
      </c>
      <c r="C395" s="80" t="s">
        <v>97</v>
      </c>
      <c r="D395" s="16"/>
      <c r="E395" s="102" t="s">
        <v>279</v>
      </c>
      <c r="F395" s="41">
        <f>F396</f>
        <v>349.1</v>
      </c>
      <c r="G395" s="41">
        <f>G396</f>
        <v>349.1</v>
      </c>
      <c r="H395" s="99">
        <f t="shared" si="35"/>
        <v>100</v>
      </c>
    </row>
    <row r="396" spans="1:8" ht="38.25">
      <c r="A396" s="16" t="s">
        <v>143</v>
      </c>
      <c r="B396" s="16" t="s">
        <v>141</v>
      </c>
      <c r="C396" s="80" t="s">
        <v>97</v>
      </c>
      <c r="D396" s="85" t="s">
        <v>314</v>
      </c>
      <c r="E396" s="102" t="s">
        <v>315</v>
      </c>
      <c r="F396" s="41">
        <f>180+150+19.1</f>
        <v>349.1</v>
      </c>
      <c r="G396" s="41">
        <f>180+150+19.1</f>
        <v>349.1</v>
      </c>
      <c r="H396" s="99">
        <f>ROUND((прил.5!I424/F396*100),1)</f>
        <v>100</v>
      </c>
    </row>
    <row r="397" spans="1:8" ht="25.5">
      <c r="A397" s="47" t="s">
        <v>143</v>
      </c>
      <c r="B397" s="47" t="s">
        <v>141</v>
      </c>
      <c r="C397" s="80" t="s">
        <v>537</v>
      </c>
      <c r="D397" s="16"/>
      <c r="E397" s="102" t="s">
        <v>302</v>
      </c>
      <c r="F397" s="41">
        <f>F398</f>
        <v>500</v>
      </c>
      <c r="G397" s="41">
        <f>G398</f>
        <v>500</v>
      </c>
      <c r="H397" s="99">
        <f t="shared" ref="H397:H421" si="36">ROUND((G397/F397*100),1)</f>
        <v>100</v>
      </c>
    </row>
    <row r="398" spans="1:8" ht="38.25">
      <c r="A398" s="16" t="s">
        <v>143</v>
      </c>
      <c r="B398" s="16" t="s">
        <v>141</v>
      </c>
      <c r="C398" s="80" t="s">
        <v>537</v>
      </c>
      <c r="D398" s="85" t="s">
        <v>314</v>
      </c>
      <c r="E398" s="102" t="s">
        <v>315</v>
      </c>
      <c r="F398" s="41">
        <v>500</v>
      </c>
      <c r="G398" s="41">
        <v>500</v>
      </c>
      <c r="H398" s="99">
        <f t="shared" si="36"/>
        <v>100</v>
      </c>
    </row>
    <row r="399" spans="1:8" ht="38.25">
      <c r="A399" s="16" t="s">
        <v>143</v>
      </c>
      <c r="B399" s="16" t="s">
        <v>141</v>
      </c>
      <c r="C399" s="80" t="s">
        <v>540</v>
      </c>
      <c r="D399" s="16"/>
      <c r="E399" s="102" t="s">
        <v>365</v>
      </c>
      <c r="F399" s="41">
        <f>F400</f>
        <v>253.8</v>
      </c>
      <c r="G399" s="41">
        <f>G400</f>
        <v>253.8</v>
      </c>
      <c r="H399" s="99">
        <f t="shared" si="36"/>
        <v>100</v>
      </c>
    </row>
    <row r="400" spans="1:8" ht="38.25">
      <c r="A400" s="16" t="s">
        <v>143</v>
      </c>
      <c r="B400" s="16" t="s">
        <v>141</v>
      </c>
      <c r="C400" s="80" t="s">
        <v>540</v>
      </c>
      <c r="D400" s="85" t="s">
        <v>314</v>
      </c>
      <c r="E400" s="102" t="s">
        <v>315</v>
      </c>
      <c r="F400" s="41">
        <f>270-5-11.2</f>
        <v>253.8</v>
      </c>
      <c r="G400" s="41">
        <f>270-5-11.2</f>
        <v>253.8</v>
      </c>
      <c r="H400" s="99">
        <f t="shared" si="36"/>
        <v>100</v>
      </c>
    </row>
    <row r="401" spans="1:10" ht="48.75" customHeight="1">
      <c r="A401" s="16" t="s">
        <v>143</v>
      </c>
      <c r="B401" s="85" t="s">
        <v>141</v>
      </c>
      <c r="C401" s="52" t="s">
        <v>671</v>
      </c>
      <c r="D401" s="16"/>
      <c r="E401" s="60" t="s">
        <v>672</v>
      </c>
      <c r="F401" s="98">
        <f>F402+F404+F406</f>
        <v>8040.2</v>
      </c>
      <c r="G401" s="98">
        <f>G402+G404+G406</f>
        <v>7369.2</v>
      </c>
      <c r="H401" s="58">
        <f t="shared" si="36"/>
        <v>91.7</v>
      </c>
    </row>
    <row r="402" spans="1:10" ht="51.75" customHeight="1">
      <c r="A402" s="16" t="s">
        <v>143</v>
      </c>
      <c r="B402" s="85" t="s">
        <v>141</v>
      </c>
      <c r="C402" s="21" t="s">
        <v>673</v>
      </c>
      <c r="D402" s="85"/>
      <c r="E402" s="102" t="s">
        <v>668</v>
      </c>
      <c r="F402" s="41">
        <f>F403</f>
        <v>4388.8999999999996</v>
      </c>
      <c r="G402" s="41">
        <f>G403</f>
        <v>4059.7</v>
      </c>
      <c r="H402" s="99">
        <f t="shared" si="36"/>
        <v>92.5</v>
      </c>
    </row>
    <row r="403" spans="1:10" ht="38.25">
      <c r="A403" s="16" t="s">
        <v>143</v>
      </c>
      <c r="B403" s="85" t="s">
        <v>141</v>
      </c>
      <c r="C403" s="21" t="s">
        <v>673</v>
      </c>
      <c r="D403" s="85" t="s">
        <v>314</v>
      </c>
      <c r="E403" s="102" t="s">
        <v>315</v>
      </c>
      <c r="F403" s="41">
        <f>765+8998.1-113+70-5488.6+0.7+156.7</f>
        <v>4388.8999999999996</v>
      </c>
      <c r="G403" s="99">
        <v>4059.7</v>
      </c>
      <c r="H403" s="99">
        <f t="shared" si="36"/>
        <v>92.5</v>
      </c>
    </row>
    <row r="404" spans="1:10" ht="38.25">
      <c r="A404" s="16" t="s">
        <v>143</v>
      </c>
      <c r="B404" s="85" t="s">
        <v>141</v>
      </c>
      <c r="C404" s="21" t="s">
        <v>767</v>
      </c>
      <c r="D404" s="85"/>
      <c r="E404" s="160" t="s">
        <v>758</v>
      </c>
      <c r="F404" s="41">
        <f>F405</f>
        <v>3601.3</v>
      </c>
      <c r="G404" s="41">
        <f>G405</f>
        <v>3266.8</v>
      </c>
      <c r="H404" s="99">
        <f t="shared" si="36"/>
        <v>90.7</v>
      </c>
    </row>
    <row r="405" spans="1:10" ht="38.25">
      <c r="A405" s="16" t="s">
        <v>143</v>
      </c>
      <c r="B405" s="85" t="s">
        <v>141</v>
      </c>
      <c r="C405" s="21" t="s">
        <v>767</v>
      </c>
      <c r="D405" s="85" t="s">
        <v>314</v>
      </c>
      <c r="E405" s="102" t="s">
        <v>315</v>
      </c>
      <c r="F405" s="41">
        <f>3726-124.7</f>
        <v>3601.3</v>
      </c>
      <c r="G405" s="99">
        <v>3266.8</v>
      </c>
      <c r="H405" s="99">
        <f t="shared" si="36"/>
        <v>90.7</v>
      </c>
      <c r="I405" s="169"/>
      <c r="J405" s="169"/>
    </row>
    <row r="406" spans="1:10" ht="66.75" customHeight="1">
      <c r="A406" s="16" t="s">
        <v>143</v>
      </c>
      <c r="B406" s="85" t="s">
        <v>141</v>
      </c>
      <c r="C406" s="21" t="s">
        <v>748</v>
      </c>
      <c r="D406" s="85"/>
      <c r="E406" s="102" t="s">
        <v>747</v>
      </c>
      <c r="F406" s="41">
        <f>F407</f>
        <v>50</v>
      </c>
      <c r="G406" s="41">
        <f>G407</f>
        <v>42.7</v>
      </c>
      <c r="H406" s="99">
        <f t="shared" si="36"/>
        <v>85.4</v>
      </c>
    </row>
    <row r="407" spans="1:10" ht="38.25">
      <c r="A407" s="16" t="s">
        <v>143</v>
      </c>
      <c r="B407" s="85" t="s">
        <v>141</v>
      </c>
      <c r="C407" s="21" t="s">
        <v>748</v>
      </c>
      <c r="D407" s="85" t="s">
        <v>314</v>
      </c>
      <c r="E407" s="102" t="s">
        <v>315</v>
      </c>
      <c r="F407" s="41">
        <f>43+7</f>
        <v>50</v>
      </c>
      <c r="G407" s="99">
        <v>42.7</v>
      </c>
      <c r="H407" s="99">
        <f t="shared" si="36"/>
        <v>85.4</v>
      </c>
    </row>
    <row r="408" spans="1:10" ht="51">
      <c r="A408" s="16" t="s">
        <v>143</v>
      </c>
      <c r="B408" s="85" t="s">
        <v>141</v>
      </c>
      <c r="C408" s="52" t="s">
        <v>768</v>
      </c>
      <c r="D408" s="16"/>
      <c r="E408" s="60" t="s">
        <v>773</v>
      </c>
      <c r="F408" s="98">
        <f>F409+F411</f>
        <v>4546</v>
      </c>
      <c r="G408" s="98">
        <f>G409+G411</f>
        <v>934.69999999999993</v>
      </c>
      <c r="H408" s="58">
        <f t="shared" si="36"/>
        <v>20.6</v>
      </c>
    </row>
    <row r="409" spans="1:10" ht="39" customHeight="1">
      <c r="A409" s="16" t="s">
        <v>143</v>
      </c>
      <c r="B409" s="85" t="s">
        <v>141</v>
      </c>
      <c r="C409" s="21" t="s">
        <v>775</v>
      </c>
      <c r="D409" s="85"/>
      <c r="E409" s="102" t="s">
        <v>782</v>
      </c>
      <c r="F409" s="41">
        <f>F410</f>
        <v>3990.2999999999997</v>
      </c>
      <c r="G409" s="41">
        <f>G410</f>
        <v>831.3</v>
      </c>
      <c r="H409" s="99">
        <f t="shared" si="36"/>
        <v>20.8</v>
      </c>
    </row>
    <row r="410" spans="1:10" ht="38.25">
      <c r="A410" s="16" t="s">
        <v>143</v>
      </c>
      <c r="B410" s="85" t="s">
        <v>141</v>
      </c>
      <c r="C410" s="21" t="s">
        <v>775</v>
      </c>
      <c r="D410" s="85" t="s">
        <v>314</v>
      </c>
      <c r="E410" s="102" t="s">
        <v>315</v>
      </c>
      <c r="F410" s="41">
        <f>4152.7-320.9+158.5</f>
        <v>3990.2999999999997</v>
      </c>
      <c r="G410" s="41">
        <v>831.3</v>
      </c>
      <c r="H410" s="99">
        <f t="shared" si="36"/>
        <v>20.8</v>
      </c>
    </row>
    <row r="411" spans="1:10" ht="51">
      <c r="A411" s="16" t="s">
        <v>143</v>
      </c>
      <c r="B411" s="85" t="s">
        <v>141</v>
      </c>
      <c r="C411" s="21" t="s">
        <v>776</v>
      </c>
      <c r="D411" s="85"/>
      <c r="E411" s="102" t="s">
        <v>781</v>
      </c>
      <c r="F411" s="41">
        <f>F412</f>
        <v>555.70000000000005</v>
      </c>
      <c r="G411" s="41">
        <f>G412</f>
        <v>103.4</v>
      </c>
      <c r="H411" s="99">
        <f t="shared" si="36"/>
        <v>18.600000000000001</v>
      </c>
    </row>
    <row r="412" spans="1:10" ht="38.25">
      <c r="A412" s="16" t="s">
        <v>143</v>
      </c>
      <c r="B412" s="85" t="s">
        <v>141</v>
      </c>
      <c r="C412" s="21" t="s">
        <v>776</v>
      </c>
      <c r="D412" s="85" t="s">
        <v>314</v>
      </c>
      <c r="E412" s="102" t="s">
        <v>315</v>
      </c>
      <c r="F412" s="41">
        <v>555.70000000000005</v>
      </c>
      <c r="G412" s="99">
        <v>103.4</v>
      </c>
      <c r="H412" s="99">
        <f t="shared" si="36"/>
        <v>18.600000000000001</v>
      </c>
    </row>
    <row r="413" spans="1:10" ht="51">
      <c r="A413" s="5" t="s">
        <v>143</v>
      </c>
      <c r="B413" s="5" t="s">
        <v>141</v>
      </c>
      <c r="C413" s="76">
        <v>1400000000</v>
      </c>
      <c r="D413" s="16"/>
      <c r="E413" s="53" t="s">
        <v>789</v>
      </c>
      <c r="F413" s="100">
        <f>F414</f>
        <v>104554.5</v>
      </c>
      <c r="G413" s="100">
        <f>G414</f>
        <v>91236.800000000003</v>
      </c>
      <c r="H413" s="62">
        <f t="shared" si="36"/>
        <v>87.3</v>
      </c>
    </row>
    <row r="414" spans="1:10" ht="76.5">
      <c r="A414" s="47" t="s">
        <v>143</v>
      </c>
      <c r="B414" s="47" t="s">
        <v>141</v>
      </c>
      <c r="C414" s="75">
        <v>1410000000</v>
      </c>
      <c r="D414" s="16"/>
      <c r="E414" s="48" t="s">
        <v>324</v>
      </c>
      <c r="F414" s="98">
        <f>F415+F417+F419+F421+F423+F425+F427+F429</f>
        <v>104554.5</v>
      </c>
      <c r="G414" s="98">
        <f>G415+G417+G419+G421+G423+G425+G427+G429</f>
        <v>91236.800000000003</v>
      </c>
      <c r="H414" s="58">
        <f t="shared" si="36"/>
        <v>87.3</v>
      </c>
    </row>
    <row r="415" spans="1:10" ht="39.75" customHeight="1">
      <c r="A415" s="16" t="s">
        <v>143</v>
      </c>
      <c r="B415" s="16" t="s">
        <v>141</v>
      </c>
      <c r="C415" s="74" t="s">
        <v>627</v>
      </c>
      <c r="D415" s="16"/>
      <c r="E415" s="102" t="s">
        <v>497</v>
      </c>
      <c r="F415" s="41">
        <f>F416</f>
        <v>5265.2</v>
      </c>
      <c r="G415" s="41">
        <f>G416</f>
        <v>5265.2</v>
      </c>
      <c r="H415" s="99">
        <f t="shared" si="36"/>
        <v>100</v>
      </c>
    </row>
    <row r="416" spans="1:10" ht="38.25">
      <c r="A416" s="16" t="s">
        <v>143</v>
      </c>
      <c r="B416" s="16" t="s">
        <v>141</v>
      </c>
      <c r="C416" s="74" t="s">
        <v>627</v>
      </c>
      <c r="D416" s="85" t="s">
        <v>314</v>
      </c>
      <c r="E416" s="102" t="s">
        <v>315</v>
      </c>
      <c r="F416" s="41">
        <f>478.3+4711.2+75.7</f>
        <v>5265.2</v>
      </c>
      <c r="G416" s="41">
        <f>478.3+4711.2+75.7</f>
        <v>5265.2</v>
      </c>
      <c r="H416" s="99">
        <f t="shared" si="36"/>
        <v>100</v>
      </c>
    </row>
    <row r="417" spans="1:8" ht="25.5">
      <c r="A417" s="16" t="s">
        <v>143</v>
      </c>
      <c r="B417" s="16" t="s">
        <v>141</v>
      </c>
      <c r="C417" s="74" t="s">
        <v>702</v>
      </c>
      <c r="D417" s="85"/>
      <c r="E417" s="102" t="s">
        <v>703</v>
      </c>
      <c r="F417" s="41">
        <f>F418</f>
        <v>808.7</v>
      </c>
      <c r="G417" s="41">
        <f>G418</f>
        <v>791.9</v>
      </c>
      <c r="H417" s="99">
        <f t="shared" si="36"/>
        <v>97.9</v>
      </c>
    </row>
    <row r="418" spans="1:8" ht="38.25">
      <c r="A418" s="16" t="s">
        <v>143</v>
      </c>
      <c r="B418" s="16" t="s">
        <v>141</v>
      </c>
      <c r="C418" s="74" t="s">
        <v>702</v>
      </c>
      <c r="D418" s="85" t="s">
        <v>314</v>
      </c>
      <c r="E418" s="102" t="s">
        <v>315</v>
      </c>
      <c r="F418" s="41">
        <f>5.7+573+230</f>
        <v>808.7</v>
      </c>
      <c r="G418" s="99">
        <v>791.9</v>
      </c>
      <c r="H418" s="99">
        <f t="shared" si="36"/>
        <v>97.9</v>
      </c>
    </row>
    <row r="419" spans="1:8" ht="51">
      <c r="A419" s="85" t="s">
        <v>143</v>
      </c>
      <c r="B419" s="85" t="s">
        <v>141</v>
      </c>
      <c r="C419" s="74" t="s">
        <v>733</v>
      </c>
      <c r="D419" s="85"/>
      <c r="E419" s="102" t="s">
        <v>734</v>
      </c>
      <c r="F419" s="41">
        <f>F420</f>
        <v>546.6</v>
      </c>
      <c r="G419" s="41">
        <f>G420</f>
        <v>546.6</v>
      </c>
      <c r="H419" s="99">
        <f t="shared" si="36"/>
        <v>100</v>
      </c>
    </row>
    <row r="420" spans="1:8" ht="38.25">
      <c r="A420" s="85" t="s">
        <v>143</v>
      </c>
      <c r="B420" s="85" t="s">
        <v>141</v>
      </c>
      <c r="C420" s="74" t="s">
        <v>733</v>
      </c>
      <c r="D420" s="85" t="s">
        <v>314</v>
      </c>
      <c r="E420" s="102" t="s">
        <v>315</v>
      </c>
      <c r="F420" s="41">
        <f>538+8.6</f>
        <v>546.6</v>
      </c>
      <c r="G420" s="41">
        <f>538+8.6</f>
        <v>546.6</v>
      </c>
      <c r="H420" s="99">
        <f t="shared" si="36"/>
        <v>100</v>
      </c>
    </row>
    <row r="421" spans="1:8" ht="25.5">
      <c r="A421" s="16" t="s">
        <v>143</v>
      </c>
      <c r="B421" s="16" t="s">
        <v>141</v>
      </c>
      <c r="C421" s="74" t="s">
        <v>628</v>
      </c>
      <c r="D421" s="16"/>
      <c r="E421" s="102" t="s">
        <v>498</v>
      </c>
      <c r="F421" s="41">
        <f>F422</f>
        <v>4921.8</v>
      </c>
      <c r="G421" s="41">
        <f>G422</f>
        <v>4921.8</v>
      </c>
      <c r="H421" s="99">
        <f t="shared" si="36"/>
        <v>100</v>
      </c>
    </row>
    <row r="422" spans="1:8" ht="42.75" customHeight="1">
      <c r="A422" s="16" t="s">
        <v>143</v>
      </c>
      <c r="B422" s="16" t="s">
        <v>141</v>
      </c>
      <c r="C422" s="74" t="s">
        <v>628</v>
      </c>
      <c r="D422" s="85" t="s">
        <v>314</v>
      </c>
      <c r="E422" s="102" t="s">
        <v>315</v>
      </c>
      <c r="F422" s="41">
        <f>239.1+4758.4-75.7</f>
        <v>4921.8</v>
      </c>
      <c r="G422" s="41">
        <f>239.1+4758.4-75.7</f>
        <v>4921.8</v>
      </c>
      <c r="H422" s="99">
        <f t="shared" ref="H422:H482" si="37">ROUND((G422/F422*100),1)</f>
        <v>100</v>
      </c>
    </row>
    <row r="423" spans="1:8" ht="27" customHeight="1">
      <c r="A423" s="85" t="s">
        <v>143</v>
      </c>
      <c r="B423" s="85" t="s">
        <v>141</v>
      </c>
      <c r="C423" s="74" t="s">
        <v>735</v>
      </c>
      <c r="D423" s="85"/>
      <c r="E423" s="102" t="s">
        <v>703</v>
      </c>
      <c r="F423" s="41">
        <f>F424</f>
        <v>721.7</v>
      </c>
      <c r="G423" s="41">
        <f>G424</f>
        <v>390.5</v>
      </c>
      <c r="H423" s="99">
        <f t="shared" si="37"/>
        <v>54.1</v>
      </c>
    </row>
    <row r="424" spans="1:8" ht="42.75" customHeight="1">
      <c r="A424" s="85" t="s">
        <v>143</v>
      </c>
      <c r="B424" s="85" t="s">
        <v>141</v>
      </c>
      <c r="C424" s="74" t="s">
        <v>735</v>
      </c>
      <c r="D424" s="85" t="s">
        <v>314</v>
      </c>
      <c r="E424" s="102" t="s">
        <v>315</v>
      </c>
      <c r="F424" s="41">
        <f>107-107+721.7</f>
        <v>721.7</v>
      </c>
      <c r="G424" s="99">
        <v>390.5</v>
      </c>
      <c r="H424" s="99">
        <f t="shared" si="37"/>
        <v>54.1</v>
      </c>
    </row>
    <row r="425" spans="1:8" ht="54.75" customHeight="1">
      <c r="A425" s="16" t="s">
        <v>143</v>
      </c>
      <c r="B425" s="16" t="s">
        <v>141</v>
      </c>
      <c r="C425" s="74" t="s">
        <v>635</v>
      </c>
      <c r="D425" s="16"/>
      <c r="E425" s="102" t="s">
        <v>636</v>
      </c>
      <c r="F425" s="41">
        <f>F426</f>
        <v>74810</v>
      </c>
      <c r="G425" s="41">
        <f>G426</f>
        <v>74810</v>
      </c>
      <c r="H425" s="99">
        <f t="shared" si="37"/>
        <v>100</v>
      </c>
    </row>
    <row r="426" spans="1:8" ht="42.75" customHeight="1">
      <c r="A426" s="16" t="s">
        <v>143</v>
      </c>
      <c r="B426" s="16" t="s">
        <v>141</v>
      </c>
      <c r="C426" s="74" t="s">
        <v>635</v>
      </c>
      <c r="D426" s="85" t="s">
        <v>314</v>
      </c>
      <c r="E426" s="102" t="s">
        <v>315</v>
      </c>
      <c r="F426" s="41">
        <v>74810</v>
      </c>
      <c r="G426" s="41">
        <v>74810</v>
      </c>
      <c r="H426" s="99">
        <f t="shared" si="37"/>
        <v>100</v>
      </c>
    </row>
    <row r="427" spans="1:8" ht="28.5" customHeight="1">
      <c r="A427" s="85" t="s">
        <v>143</v>
      </c>
      <c r="B427" s="85" t="s">
        <v>141</v>
      </c>
      <c r="C427" s="74">
        <v>1410211180</v>
      </c>
      <c r="D427" s="85"/>
      <c r="E427" s="102" t="s">
        <v>664</v>
      </c>
      <c r="F427" s="41">
        <f>F428</f>
        <v>1000</v>
      </c>
      <c r="G427" s="41">
        <f>G428</f>
        <v>955</v>
      </c>
      <c r="H427" s="99">
        <f t="shared" si="37"/>
        <v>95.5</v>
      </c>
    </row>
    <row r="428" spans="1:8" ht="42.75" customHeight="1">
      <c r="A428" s="85" t="s">
        <v>143</v>
      </c>
      <c r="B428" s="85" t="s">
        <v>141</v>
      </c>
      <c r="C428" s="74">
        <v>1410211180</v>
      </c>
      <c r="D428" s="85" t="s">
        <v>314</v>
      </c>
      <c r="E428" s="102" t="s">
        <v>315</v>
      </c>
      <c r="F428" s="41">
        <v>1000</v>
      </c>
      <c r="G428" s="41">
        <v>955</v>
      </c>
      <c r="H428" s="99">
        <f t="shared" si="37"/>
        <v>95.5</v>
      </c>
    </row>
    <row r="429" spans="1:8" ht="25.5" customHeight="1">
      <c r="A429" s="85" t="s">
        <v>143</v>
      </c>
      <c r="B429" s="85" t="s">
        <v>141</v>
      </c>
      <c r="C429" s="74" t="s">
        <v>691</v>
      </c>
      <c r="D429" s="85"/>
      <c r="E429" s="102" t="s">
        <v>692</v>
      </c>
      <c r="F429" s="41">
        <f>F430</f>
        <v>16480.5</v>
      </c>
      <c r="G429" s="41">
        <f>G430</f>
        <v>3555.8</v>
      </c>
      <c r="H429" s="99">
        <f t="shared" si="37"/>
        <v>21.6</v>
      </c>
    </row>
    <row r="430" spans="1:8" ht="42.75" customHeight="1">
      <c r="A430" s="85" t="s">
        <v>143</v>
      </c>
      <c r="B430" s="85" t="s">
        <v>141</v>
      </c>
      <c r="C430" s="74" t="s">
        <v>691</v>
      </c>
      <c r="D430" s="85" t="s">
        <v>314</v>
      </c>
      <c r="E430" s="102" t="s">
        <v>315</v>
      </c>
      <c r="F430" s="41">
        <f>1943.3-5.7-1833.1+16000+376</f>
        <v>16480.5</v>
      </c>
      <c r="G430" s="41">
        <v>3555.8</v>
      </c>
      <c r="H430" s="99">
        <f t="shared" si="37"/>
        <v>21.6</v>
      </c>
    </row>
    <row r="431" spans="1:8" ht="54.75" customHeight="1">
      <c r="A431" s="5" t="s">
        <v>143</v>
      </c>
      <c r="B431" s="5" t="s">
        <v>141</v>
      </c>
      <c r="C431" s="73" t="s">
        <v>337</v>
      </c>
      <c r="D431" s="5"/>
      <c r="E431" s="63" t="s">
        <v>517</v>
      </c>
      <c r="F431" s="100">
        <f t="shared" ref="F431:G433" si="38">F432</f>
        <v>249.99999999999997</v>
      </c>
      <c r="G431" s="100">
        <f t="shared" si="38"/>
        <v>227.4</v>
      </c>
      <c r="H431" s="62">
        <f t="shared" si="37"/>
        <v>91</v>
      </c>
    </row>
    <row r="432" spans="1:8" ht="38.25">
      <c r="A432" s="16" t="s">
        <v>143</v>
      </c>
      <c r="B432" s="16" t="s">
        <v>141</v>
      </c>
      <c r="C432" s="52" t="s">
        <v>338</v>
      </c>
      <c r="D432" s="16"/>
      <c r="E432" s="48" t="s">
        <v>339</v>
      </c>
      <c r="F432" s="98">
        <f t="shared" si="38"/>
        <v>249.99999999999997</v>
      </c>
      <c r="G432" s="98">
        <f t="shared" si="38"/>
        <v>227.4</v>
      </c>
      <c r="H432" s="58">
        <f t="shared" si="37"/>
        <v>91</v>
      </c>
    </row>
    <row r="433" spans="1:8">
      <c r="A433" s="16" t="s">
        <v>143</v>
      </c>
      <c r="B433" s="16" t="s">
        <v>141</v>
      </c>
      <c r="C433" s="21" t="s">
        <v>518</v>
      </c>
      <c r="D433" s="16"/>
      <c r="E433" s="102" t="s">
        <v>519</v>
      </c>
      <c r="F433" s="41">
        <f t="shared" si="38"/>
        <v>249.99999999999997</v>
      </c>
      <c r="G433" s="41">
        <f t="shared" si="38"/>
        <v>227.4</v>
      </c>
      <c r="H433" s="99">
        <f t="shared" si="37"/>
        <v>91</v>
      </c>
    </row>
    <row r="434" spans="1:8" ht="38.25">
      <c r="A434" s="16" t="s">
        <v>143</v>
      </c>
      <c r="B434" s="16" t="s">
        <v>141</v>
      </c>
      <c r="C434" s="21" t="s">
        <v>518</v>
      </c>
      <c r="D434" s="85" t="s">
        <v>314</v>
      </c>
      <c r="E434" s="102" t="s">
        <v>315</v>
      </c>
      <c r="F434" s="41">
        <f>300-22.1-27.9</f>
        <v>249.99999999999997</v>
      </c>
      <c r="G434" s="99">
        <v>227.4</v>
      </c>
      <c r="H434" s="99">
        <f t="shared" si="37"/>
        <v>91</v>
      </c>
    </row>
    <row r="435" spans="1:8" ht="25.5">
      <c r="A435" s="5" t="s">
        <v>143</v>
      </c>
      <c r="B435" s="5" t="s">
        <v>141</v>
      </c>
      <c r="C435" s="87">
        <v>9900000000</v>
      </c>
      <c r="D435" s="73"/>
      <c r="E435" s="149" t="s">
        <v>195</v>
      </c>
      <c r="F435" s="100">
        <f>F436</f>
        <v>177.60000000000002</v>
      </c>
      <c r="G435" s="100">
        <f>G436</f>
        <v>177.4</v>
      </c>
      <c r="H435" s="62">
        <f t="shared" si="37"/>
        <v>99.9</v>
      </c>
    </row>
    <row r="436" spans="1:8" ht="25.5">
      <c r="A436" s="16" t="s">
        <v>143</v>
      </c>
      <c r="B436" s="85" t="s">
        <v>141</v>
      </c>
      <c r="C436" s="85" t="s">
        <v>31</v>
      </c>
      <c r="D436" s="85"/>
      <c r="E436" s="104" t="s">
        <v>53</v>
      </c>
      <c r="F436" s="103">
        <f>F437+F440</f>
        <v>177.60000000000002</v>
      </c>
      <c r="G436" s="103">
        <f>G437+G440</f>
        <v>177.4</v>
      </c>
      <c r="H436" s="99">
        <f t="shared" si="37"/>
        <v>99.9</v>
      </c>
    </row>
    <row r="437" spans="1:8" ht="25.5">
      <c r="A437" s="16" t="s">
        <v>143</v>
      </c>
      <c r="B437" s="85" t="s">
        <v>141</v>
      </c>
      <c r="C437" s="85" t="s">
        <v>488</v>
      </c>
      <c r="D437" s="85"/>
      <c r="E437" s="54" t="s">
        <v>468</v>
      </c>
      <c r="F437" s="103">
        <f>SUM(F438:F439)</f>
        <v>117.60000000000001</v>
      </c>
      <c r="G437" s="103">
        <f>SUM(G438:G439)</f>
        <v>117.60000000000001</v>
      </c>
      <c r="H437" s="99">
        <f t="shared" si="37"/>
        <v>100</v>
      </c>
    </row>
    <row r="438" spans="1:8">
      <c r="A438" s="16" t="s">
        <v>143</v>
      </c>
      <c r="B438" s="85" t="s">
        <v>141</v>
      </c>
      <c r="C438" s="85" t="s">
        <v>488</v>
      </c>
      <c r="D438" s="85" t="s">
        <v>466</v>
      </c>
      <c r="E438" s="102" t="s">
        <v>467</v>
      </c>
      <c r="F438" s="39">
        <f>77.3+22.1</f>
        <v>99.4</v>
      </c>
      <c r="G438" s="39">
        <f>77.3+22.1</f>
        <v>99.4</v>
      </c>
      <c r="H438" s="99">
        <f t="shared" si="37"/>
        <v>100</v>
      </c>
    </row>
    <row r="439" spans="1:8" ht="15.75" customHeight="1">
      <c r="A439" s="16" t="s">
        <v>143</v>
      </c>
      <c r="B439" s="85" t="s">
        <v>141</v>
      </c>
      <c r="C439" s="85" t="s">
        <v>488</v>
      </c>
      <c r="D439" s="84" t="s">
        <v>180</v>
      </c>
      <c r="E439" s="102" t="s">
        <v>181</v>
      </c>
      <c r="F439" s="39">
        <v>18.2</v>
      </c>
      <c r="G439" s="39">
        <v>18.2</v>
      </c>
      <c r="H439" s="99">
        <f t="shared" si="37"/>
        <v>100</v>
      </c>
    </row>
    <row r="440" spans="1:8" ht="38.25">
      <c r="A440" s="16" t="s">
        <v>143</v>
      </c>
      <c r="B440" s="85" t="s">
        <v>141</v>
      </c>
      <c r="C440" s="85" t="s">
        <v>589</v>
      </c>
      <c r="D440" s="16"/>
      <c r="E440" s="54" t="s">
        <v>590</v>
      </c>
      <c r="F440" s="41">
        <f>SUM(F441:F441)</f>
        <v>60</v>
      </c>
      <c r="G440" s="41">
        <f>SUM(G441:G441)</f>
        <v>59.8</v>
      </c>
      <c r="H440" s="99">
        <f t="shared" si="37"/>
        <v>99.7</v>
      </c>
    </row>
    <row r="441" spans="1:8" ht="38.25">
      <c r="A441" s="16" t="s">
        <v>143</v>
      </c>
      <c r="B441" s="85" t="s">
        <v>141</v>
      </c>
      <c r="C441" s="85" t="s">
        <v>589</v>
      </c>
      <c r="D441" s="85" t="s">
        <v>314</v>
      </c>
      <c r="E441" s="102" t="s">
        <v>315</v>
      </c>
      <c r="F441" s="41">
        <f>10+50</f>
        <v>60</v>
      </c>
      <c r="G441" s="41">
        <v>59.8</v>
      </c>
      <c r="H441" s="99">
        <f t="shared" si="37"/>
        <v>99.7</v>
      </c>
    </row>
    <row r="442" spans="1:8" ht="15.75">
      <c r="A442" s="4" t="s">
        <v>152</v>
      </c>
      <c r="B442" s="3"/>
      <c r="C442" s="3"/>
      <c r="D442" s="3"/>
      <c r="E442" s="10" t="s">
        <v>153</v>
      </c>
      <c r="F442" s="97">
        <f>F443+F468+F505+F534+F540+F565</f>
        <v>512271.49999999994</v>
      </c>
      <c r="G442" s="97">
        <f>G443+G468+G505+G534+G540+G565</f>
        <v>501535.4</v>
      </c>
      <c r="H442" s="65">
        <f t="shared" si="37"/>
        <v>97.9</v>
      </c>
    </row>
    <row r="443" spans="1:8" s="37" customFormat="1" ht="14.25">
      <c r="A443" s="35" t="s">
        <v>152</v>
      </c>
      <c r="B443" s="35" t="s">
        <v>136</v>
      </c>
      <c r="C443" s="35"/>
      <c r="D443" s="35"/>
      <c r="E443" s="45" t="s">
        <v>155</v>
      </c>
      <c r="F443" s="58">
        <f>F444+F462</f>
        <v>137749.29999999999</v>
      </c>
      <c r="G443" s="58">
        <f>G444+G462</f>
        <v>134002.5</v>
      </c>
      <c r="H443" s="58">
        <f t="shared" si="37"/>
        <v>97.3</v>
      </c>
    </row>
    <row r="444" spans="1:8" ht="38.25">
      <c r="A444" s="16" t="s">
        <v>152</v>
      </c>
      <c r="B444" s="16" t="s">
        <v>136</v>
      </c>
      <c r="C444" s="21" t="s">
        <v>118</v>
      </c>
      <c r="D444" s="35"/>
      <c r="E444" s="64" t="s">
        <v>543</v>
      </c>
      <c r="F444" s="62">
        <f t="shared" ref="F444:G444" si="39">F445</f>
        <v>137315</v>
      </c>
      <c r="G444" s="62">
        <f t="shared" si="39"/>
        <v>133568.20000000001</v>
      </c>
      <c r="H444" s="62">
        <f t="shared" si="37"/>
        <v>97.3</v>
      </c>
    </row>
    <row r="445" spans="1:8" ht="25.5">
      <c r="A445" s="16" t="s">
        <v>152</v>
      </c>
      <c r="B445" s="16" t="s">
        <v>136</v>
      </c>
      <c r="C445" s="52" t="s">
        <v>119</v>
      </c>
      <c r="D445" s="35"/>
      <c r="E445" s="46" t="s">
        <v>59</v>
      </c>
      <c r="F445" s="58">
        <f>F446+F448+F450+F452+F454+F456+F460+F458</f>
        <v>137315</v>
      </c>
      <c r="G445" s="58">
        <f>G446+G448+G450+G452+G454+G456+G460+G458</f>
        <v>133568.20000000001</v>
      </c>
      <c r="H445" s="58">
        <f t="shared" si="37"/>
        <v>97.3</v>
      </c>
    </row>
    <row r="446" spans="1:8" ht="63.75">
      <c r="A446" s="56" t="s">
        <v>152</v>
      </c>
      <c r="B446" s="56" t="s">
        <v>136</v>
      </c>
      <c r="C446" s="57" t="s">
        <v>554</v>
      </c>
      <c r="D446" s="21"/>
      <c r="E446" s="102" t="s">
        <v>423</v>
      </c>
      <c r="F446" s="99">
        <f>F447</f>
        <v>56537.599999999999</v>
      </c>
      <c r="G446" s="99">
        <f>G447</f>
        <v>56537.599999999999</v>
      </c>
      <c r="H446" s="99">
        <f t="shared" si="37"/>
        <v>100</v>
      </c>
    </row>
    <row r="447" spans="1:8">
      <c r="A447" s="56" t="s">
        <v>152</v>
      </c>
      <c r="B447" s="56" t="s">
        <v>136</v>
      </c>
      <c r="C447" s="57" t="s">
        <v>554</v>
      </c>
      <c r="D447" s="21" t="s">
        <v>334</v>
      </c>
      <c r="E447" s="102" t="s">
        <v>333</v>
      </c>
      <c r="F447" s="99">
        <f>57777.4-209.3-280-108.3-37.5-150-19.6-555.1+120</f>
        <v>56537.599999999999</v>
      </c>
      <c r="G447" s="99">
        <f>57777.4-209.3-280-108.3-37.5-150-19.6-555.1+120</f>
        <v>56537.599999999999</v>
      </c>
      <c r="H447" s="99">
        <f t="shared" si="37"/>
        <v>100</v>
      </c>
    </row>
    <row r="448" spans="1:8" ht="63.75">
      <c r="A448" s="56" t="s">
        <v>152</v>
      </c>
      <c r="B448" s="56" t="s">
        <v>136</v>
      </c>
      <c r="C448" s="57" t="s">
        <v>555</v>
      </c>
      <c r="D448" s="57"/>
      <c r="E448" s="102" t="s">
        <v>58</v>
      </c>
      <c r="F448" s="99">
        <f>F449</f>
        <v>75349.299999999988</v>
      </c>
      <c r="G448" s="99">
        <f t="shared" ref="G448" si="40">G449</f>
        <v>75558.899999999994</v>
      </c>
      <c r="H448" s="99">
        <f t="shared" si="37"/>
        <v>100.3</v>
      </c>
    </row>
    <row r="449" spans="1:9">
      <c r="A449" s="56" t="s">
        <v>152</v>
      </c>
      <c r="B449" s="56" t="s">
        <v>136</v>
      </c>
      <c r="C449" s="57" t="s">
        <v>555</v>
      </c>
      <c r="D449" s="85" t="s">
        <v>334</v>
      </c>
      <c r="E449" s="102" t="s">
        <v>333</v>
      </c>
      <c r="F449" s="200">
        <f>75558.9-209.6</f>
        <v>75349.299999999988</v>
      </c>
      <c r="G449" s="200">
        <v>75558.899999999994</v>
      </c>
      <c r="H449" s="200">
        <f t="shared" si="37"/>
        <v>100.3</v>
      </c>
      <c r="I449" s="108"/>
    </row>
    <row r="450" spans="1:9" ht="54.75" customHeight="1">
      <c r="A450" s="56" t="s">
        <v>152</v>
      </c>
      <c r="B450" s="56" t="s">
        <v>136</v>
      </c>
      <c r="C450" s="57" t="s">
        <v>559</v>
      </c>
      <c r="D450" s="35"/>
      <c r="E450" s="102" t="s">
        <v>503</v>
      </c>
      <c r="F450" s="99">
        <f>F451</f>
        <v>798.5</v>
      </c>
      <c r="G450" s="99">
        <f t="shared" ref="G450" si="41">G451</f>
        <v>798.5</v>
      </c>
      <c r="H450" s="99">
        <f t="shared" si="37"/>
        <v>100</v>
      </c>
    </row>
    <row r="451" spans="1:9">
      <c r="A451" s="56" t="s">
        <v>152</v>
      </c>
      <c r="B451" s="56" t="s">
        <v>136</v>
      </c>
      <c r="C451" s="57" t="s">
        <v>559</v>
      </c>
      <c r="D451" s="21" t="s">
        <v>334</v>
      </c>
      <c r="E451" s="102" t="s">
        <v>333</v>
      </c>
      <c r="F451" s="99">
        <f>30+768.5</f>
        <v>798.5</v>
      </c>
      <c r="G451" s="99">
        <f>30+768.5</f>
        <v>798.5</v>
      </c>
      <c r="H451" s="99">
        <f t="shared" si="37"/>
        <v>100</v>
      </c>
    </row>
    <row r="452" spans="1:9" ht="52.5" customHeight="1">
      <c r="A452" s="56" t="s">
        <v>152</v>
      </c>
      <c r="B452" s="56" t="s">
        <v>136</v>
      </c>
      <c r="C452" s="57" t="s">
        <v>725</v>
      </c>
      <c r="D452" s="21"/>
      <c r="E452" s="160" t="s">
        <v>726</v>
      </c>
      <c r="F452" s="99">
        <f>F453</f>
        <v>473.2</v>
      </c>
      <c r="G452" s="99">
        <f>G453</f>
        <v>473.2</v>
      </c>
      <c r="H452" s="99">
        <f t="shared" si="37"/>
        <v>100</v>
      </c>
    </row>
    <row r="453" spans="1:9">
      <c r="A453" s="56" t="s">
        <v>152</v>
      </c>
      <c r="B453" s="56" t="s">
        <v>136</v>
      </c>
      <c r="C453" s="57" t="s">
        <v>725</v>
      </c>
      <c r="D453" s="21" t="s">
        <v>334</v>
      </c>
      <c r="E453" s="102" t="s">
        <v>333</v>
      </c>
      <c r="F453" s="99">
        <f>280+84.9+108.3</f>
        <v>473.2</v>
      </c>
      <c r="G453" s="99">
        <f>280+84.9+108.3</f>
        <v>473.2</v>
      </c>
      <c r="H453" s="99">
        <f t="shared" si="37"/>
        <v>100</v>
      </c>
    </row>
    <row r="454" spans="1:9" ht="38.25">
      <c r="A454" s="56" t="s">
        <v>152</v>
      </c>
      <c r="B454" s="56" t="s">
        <v>136</v>
      </c>
      <c r="C454" s="21" t="s">
        <v>744</v>
      </c>
      <c r="D454" s="35"/>
      <c r="E454" s="119" t="s">
        <v>745</v>
      </c>
      <c r="F454" s="99">
        <f>F455</f>
        <v>791.3</v>
      </c>
      <c r="G454" s="99">
        <f>G455</f>
        <v>0</v>
      </c>
      <c r="H454" s="99">
        <f t="shared" si="37"/>
        <v>0</v>
      </c>
    </row>
    <row r="455" spans="1:9">
      <c r="A455" s="56" t="s">
        <v>152</v>
      </c>
      <c r="B455" s="56" t="s">
        <v>136</v>
      </c>
      <c r="C455" s="21" t="s">
        <v>744</v>
      </c>
      <c r="D455" s="21" t="s">
        <v>334</v>
      </c>
      <c r="E455" s="102" t="s">
        <v>333</v>
      </c>
      <c r="F455" s="99">
        <v>791.3</v>
      </c>
      <c r="G455" s="39">
        <v>0</v>
      </c>
      <c r="H455" s="99">
        <f t="shared" si="37"/>
        <v>0</v>
      </c>
    </row>
    <row r="456" spans="1:9" ht="51">
      <c r="A456" s="56" t="s">
        <v>152</v>
      </c>
      <c r="B456" s="56" t="s">
        <v>136</v>
      </c>
      <c r="C456" s="21" t="s">
        <v>786</v>
      </c>
      <c r="D456" s="21"/>
      <c r="E456" s="160" t="s">
        <v>787</v>
      </c>
      <c r="F456" s="99">
        <f>F457</f>
        <v>3165.1</v>
      </c>
      <c r="G456" s="99">
        <f>G457</f>
        <v>0</v>
      </c>
      <c r="H456" s="99">
        <f t="shared" si="37"/>
        <v>0</v>
      </c>
    </row>
    <row r="457" spans="1:9">
      <c r="A457" s="56" t="s">
        <v>152</v>
      </c>
      <c r="B457" s="56" t="s">
        <v>136</v>
      </c>
      <c r="C457" s="21" t="s">
        <v>786</v>
      </c>
      <c r="D457" s="21" t="s">
        <v>334</v>
      </c>
      <c r="E457" s="102" t="s">
        <v>333</v>
      </c>
      <c r="F457" s="99">
        <v>3165.1</v>
      </c>
      <c r="G457" s="39">
        <v>0</v>
      </c>
      <c r="H457" s="99">
        <f t="shared" si="37"/>
        <v>0</v>
      </c>
    </row>
    <row r="458" spans="1:9" ht="38.25">
      <c r="A458" s="94" t="s">
        <v>152</v>
      </c>
      <c r="B458" s="94" t="s">
        <v>136</v>
      </c>
      <c r="C458" s="57" t="s">
        <v>749</v>
      </c>
      <c r="D458" s="21"/>
      <c r="E458" s="102" t="s">
        <v>750</v>
      </c>
      <c r="F458" s="99">
        <f>F459</f>
        <v>50</v>
      </c>
      <c r="G458" s="39">
        <f>G459</f>
        <v>50</v>
      </c>
      <c r="H458" s="99">
        <f t="shared" si="37"/>
        <v>100</v>
      </c>
    </row>
    <row r="459" spans="1:9">
      <c r="A459" s="94" t="s">
        <v>152</v>
      </c>
      <c r="B459" s="94" t="s">
        <v>136</v>
      </c>
      <c r="C459" s="57" t="s">
        <v>749</v>
      </c>
      <c r="D459" s="21" t="s">
        <v>334</v>
      </c>
      <c r="E459" s="102" t="s">
        <v>333</v>
      </c>
      <c r="F459" s="99">
        <v>50</v>
      </c>
      <c r="G459" s="99">
        <v>50</v>
      </c>
      <c r="H459" s="99">
        <f t="shared" si="37"/>
        <v>100</v>
      </c>
    </row>
    <row r="460" spans="1:9" ht="51">
      <c r="A460" s="56" t="s">
        <v>152</v>
      </c>
      <c r="B460" s="56" t="s">
        <v>136</v>
      </c>
      <c r="C460" s="57" t="s">
        <v>756</v>
      </c>
      <c r="D460" s="21"/>
      <c r="E460" s="119" t="s">
        <v>757</v>
      </c>
      <c r="F460" s="99">
        <f>F461</f>
        <v>150</v>
      </c>
      <c r="G460" s="39">
        <f>G461</f>
        <v>150</v>
      </c>
      <c r="H460" s="99">
        <f t="shared" si="37"/>
        <v>100</v>
      </c>
    </row>
    <row r="461" spans="1:9">
      <c r="A461" s="56" t="s">
        <v>152</v>
      </c>
      <c r="B461" s="56" t="s">
        <v>136</v>
      </c>
      <c r="C461" s="57" t="s">
        <v>756</v>
      </c>
      <c r="D461" s="21" t="s">
        <v>334</v>
      </c>
      <c r="E461" s="102" t="s">
        <v>333</v>
      </c>
      <c r="F461" s="99">
        <v>150</v>
      </c>
      <c r="G461" s="99">
        <v>150</v>
      </c>
      <c r="H461" s="99">
        <f t="shared" si="37"/>
        <v>100</v>
      </c>
    </row>
    <row r="462" spans="1:9" ht="25.5">
      <c r="A462" s="56" t="s">
        <v>152</v>
      </c>
      <c r="B462" s="56" t="s">
        <v>136</v>
      </c>
      <c r="C462" s="87">
        <v>9900000000</v>
      </c>
      <c r="D462" s="73"/>
      <c r="E462" s="149" t="s">
        <v>195</v>
      </c>
      <c r="F462" s="100">
        <f>F463</f>
        <v>434.3</v>
      </c>
      <c r="G462" s="100">
        <f>G463</f>
        <v>434.3</v>
      </c>
      <c r="H462" s="62">
        <f t="shared" si="37"/>
        <v>100</v>
      </c>
    </row>
    <row r="463" spans="1:9" ht="25.5">
      <c r="A463" s="56" t="s">
        <v>152</v>
      </c>
      <c r="B463" s="56" t="s">
        <v>136</v>
      </c>
      <c r="C463" s="85" t="s">
        <v>31</v>
      </c>
      <c r="D463" s="85"/>
      <c r="E463" s="104" t="s">
        <v>53</v>
      </c>
      <c r="F463" s="103">
        <f>F464+F466</f>
        <v>434.3</v>
      </c>
      <c r="G463" s="103">
        <f>G464+G466</f>
        <v>434.3</v>
      </c>
      <c r="H463" s="99">
        <f t="shared" si="37"/>
        <v>100</v>
      </c>
    </row>
    <row r="464" spans="1:9" ht="25.5">
      <c r="A464" s="56" t="s">
        <v>152</v>
      </c>
      <c r="B464" s="56" t="s">
        <v>136</v>
      </c>
      <c r="C464" s="85" t="s">
        <v>797</v>
      </c>
      <c r="D464" s="16"/>
      <c r="E464" s="54" t="s">
        <v>798</v>
      </c>
      <c r="F464" s="103">
        <f>F465</f>
        <v>217.10000000000002</v>
      </c>
      <c r="G464" s="103">
        <f>G465</f>
        <v>217.10000000000002</v>
      </c>
      <c r="H464" s="99">
        <f t="shared" si="37"/>
        <v>100</v>
      </c>
    </row>
    <row r="465" spans="1:10">
      <c r="A465" s="56" t="s">
        <v>152</v>
      </c>
      <c r="B465" s="56" t="s">
        <v>136</v>
      </c>
      <c r="C465" s="85" t="s">
        <v>797</v>
      </c>
      <c r="D465" s="85" t="s">
        <v>334</v>
      </c>
      <c r="E465" s="102" t="s">
        <v>333</v>
      </c>
      <c r="F465" s="103">
        <f>68.8+148.3</f>
        <v>217.10000000000002</v>
      </c>
      <c r="G465" s="103">
        <f>68.8+148.3</f>
        <v>217.10000000000002</v>
      </c>
      <c r="H465" s="99">
        <f t="shared" si="37"/>
        <v>100</v>
      </c>
    </row>
    <row r="466" spans="1:10" ht="25.5">
      <c r="A466" s="56" t="s">
        <v>152</v>
      </c>
      <c r="B466" s="56" t="s">
        <v>136</v>
      </c>
      <c r="C466" s="85" t="s">
        <v>729</v>
      </c>
      <c r="D466" s="16"/>
      <c r="E466" s="54" t="s">
        <v>468</v>
      </c>
      <c r="F466" s="41">
        <f>SUM(F467:F467)</f>
        <v>217.2</v>
      </c>
      <c r="G466" s="41">
        <f>SUM(G467:G467)</f>
        <v>217.2</v>
      </c>
      <c r="H466" s="99">
        <f t="shared" si="37"/>
        <v>100</v>
      </c>
    </row>
    <row r="467" spans="1:10">
      <c r="A467" s="56" t="s">
        <v>152</v>
      </c>
      <c r="B467" s="56" t="s">
        <v>136</v>
      </c>
      <c r="C467" s="85" t="s">
        <v>729</v>
      </c>
      <c r="D467" s="85" t="s">
        <v>334</v>
      </c>
      <c r="E467" s="102" t="s">
        <v>333</v>
      </c>
      <c r="F467" s="41">
        <f>10.9+37.5+19.6+149.2</f>
        <v>217.2</v>
      </c>
      <c r="G467" s="41">
        <f>10.9+37.5+19.6+149.2</f>
        <v>217.2</v>
      </c>
      <c r="H467" s="99">
        <f t="shared" si="37"/>
        <v>100</v>
      </c>
    </row>
    <row r="468" spans="1:10" s="37" customFormat="1" ht="14.25">
      <c r="A468" s="35" t="s">
        <v>152</v>
      </c>
      <c r="B468" s="35" t="s">
        <v>137</v>
      </c>
      <c r="C468" s="35"/>
      <c r="D468" s="35"/>
      <c r="E468" s="45" t="s">
        <v>156</v>
      </c>
      <c r="F468" s="42">
        <f>F469+F497</f>
        <v>311525.89999999997</v>
      </c>
      <c r="G468" s="42">
        <f>G469+G497</f>
        <v>307308.09999999998</v>
      </c>
      <c r="H468" s="42">
        <f t="shared" si="37"/>
        <v>98.6</v>
      </c>
    </row>
    <row r="469" spans="1:10" s="37" customFormat="1" ht="39">
      <c r="A469" s="16" t="s">
        <v>152</v>
      </c>
      <c r="B469" s="16" t="s">
        <v>137</v>
      </c>
      <c r="C469" s="21" t="s">
        <v>118</v>
      </c>
      <c r="D469" s="35"/>
      <c r="E469" s="64" t="s">
        <v>543</v>
      </c>
      <c r="F469" s="65">
        <f>F470</f>
        <v>310503.39999999997</v>
      </c>
      <c r="G469" s="65">
        <f>G470</f>
        <v>306294.89999999997</v>
      </c>
      <c r="H469" s="65">
        <f t="shared" si="37"/>
        <v>98.6</v>
      </c>
    </row>
    <row r="470" spans="1:10" s="37" customFormat="1" ht="25.5">
      <c r="A470" s="16" t="s">
        <v>152</v>
      </c>
      <c r="B470" s="16" t="s">
        <v>137</v>
      </c>
      <c r="C470" s="52" t="s">
        <v>119</v>
      </c>
      <c r="D470" s="35"/>
      <c r="E470" s="46" t="s">
        <v>59</v>
      </c>
      <c r="F470" s="58">
        <f>F471+F473+F475+F477+F479+F481+F483+F485+F487+F489+F491+F493+F495</f>
        <v>310503.39999999997</v>
      </c>
      <c r="G470" s="58">
        <f>G471+G473+G475+G477+G479+G481+G483+G485+G487+G489+G491+G493+G495</f>
        <v>306294.89999999997</v>
      </c>
      <c r="H470" s="42">
        <f t="shared" si="37"/>
        <v>98.6</v>
      </c>
    </row>
    <row r="471" spans="1:10" s="37" customFormat="1" ht="53.25" customHeight="1">
      <c r="A471" s="56" t="s">
        <v>152</v>
      </c>
      <c r="B471" s="94" t="s">
        <v>137</v>
      </c>
      <c r="C471" s="57" t="s">
        <v>793</v>
      </c>
      <c r="D471" s="21"/>
      <c r="E471" s="102" t="s">
        <v>794</v>
      </c>
      <c r="F471" s="99">
        <f>F472</f>
        <v>5364.2</v>
      </c>
      <c r="G471" s="41">
        <f t="shared" ref="G471" si="42">G472</f>
        <v>4865.3999999999996</v>
      </c>
      <c r="H471" s="99">
        <f t="shared" si="37"/>
        <v>90.7</v>
      </c>
    </row>
    <row r="472" spans="1:10" s="37" customFormat="1" ht="14.25">
      <c r="A472" s="56" t="s">
        <v>152</v>
      </c>
      <c r="B472" s="94" t="s">
        <v>137</v>
      </c>
      <c r="C472" s="57" t="s">
        <v>793</v>
      </c>
      <c r="D472" s="21" t="s">
        <v>334</v>
      </c>
      <c r="E472" s="102" t="s">
        <v>333</v>
      </c>
      <c r="F472" s="99">
        <f>5338.2+26</f>
        <v>5364.2</v>
      </c>
      <c r="G472" s="41">
        <v>4865.3999999999996</v>
      </c>
      <c r="H472" s="99">
        <f t="shared" si="37"/>
        <v>90.7</v>
      </c>
    </row>
    <row r="473" spans="1:10" s="37" customFormat="1" ht="63.75">
      <c r="A473" s="56" t="s">
        <v>152</v>
      </c>
      <c r="B473" s="94" t="s">
        <v>137</v>
      </c>
      <c r="C473" s="21" t="s">
        <v>551</v>
      </c>
      <c r="D473" s="35"/>
      <c r="E473" s="119" t="s">
        <v>422</v>
      </c>
      <c r="F473" s="99">
        <f>F474</f>
        <v>961.09999999999991</v>
      </c>
      <c r="G473" s="99">
        <f>G474</f>
        <v>527.1</v>
      </c>
      <c r="H473" s="99">
        <f t="shared" si="37"/>
        <v>54.8</v>
      </c>
    </row>
    <row r="474" spans="1:10" s="37" customFormat="1" ht="14.25">
      <c r="A474" s="56" t="s">
        <v>152</v>
      </c>
      <c r="B474" s="94" t="s">
        <v>137</v>
      </c>
      <c r="C474" s="21" t="s">
        <v>551</v>
      </c>
      <c r="D474" s="21" t="s">
        <v>334</v>
      </c>
      <c r="E474" s="102" t="s">
        <v>333</v>
      </c>
      <c r="F474" s="99">
        <f>224+0.1+311.2+1790.3-1364.5</f>
        <v>961.09999999999991</v>
      </c>
      <c r="G474" s="99">
        <v>527.1</v>
      </c>
      <c r="H474" s="99">
        <f t="shared" si="37"/>
        <v>54.8</v>
      </c>
    </row>
    <row r="475" spans="1:10" s="37" customFormat="1" ht="51">
      <c r="A475" s="16" t="s">
        <v>152</v>
      </c>
      <c r="B475" s="16" t="s">
        <v>137</v>
      </c>
      <c r="C475" s="21" t="s">
        <v>704</v>
      </c>
      <c r="D475" s="57"/>
      <c r="E475" s="119" t="s">
        <v>705</v>
      </c>
      <c r="F475" s="99">
        <f>F476</f>
        <v>2598.8000000000002</v>
      </c>
      <c r="G475" s="99">
        <f>G476</f>
        <v>2108.4</v>
      </c>
      <c r="H475" s="99">
        <f t="shared" si="37"/>
        <v>81.099999999999994</v>
      </c>
    </row>
    <row r="476" spans="1:10" s="37" customFormat="1" ht="14.25">
      <c r="A476" s="16" t="s">
        <v>152</v>
      </c>
      <c r="B476" s="16" t="s">
        <v>137</v>
      </c>
      <c r="C476" s="21" t="s">
        <v>704</v>
      </c>
      <c r="D476" s="21" t="s">
        <v>334</v>
      </c>
      <c r="E476" s="102" t="s">
        <v>333</v>
      </c>
      <c r="F476" s="99">
        <f>896+1702.8</f>
        <v>2598.8000000000002</v>
      </c>
      <c r="G476" s="41">
        <v>2108.4</v>
      </c>
      <c r="H476" s="99">
        <f t="shared" si="37"/>
        <v>81.099999999999994</v>
      </c>
    </row>
    <row r="477" spans="1:10" s="37" customFormat="1" ht="63.75">
      <c r="A477" s="16" t="s">
        <v>152</v>
      </c>
      <c r="B477" s="16" t="s">
        <v>137</v>
      </c>
      <c r="C477" s="57" t="s">
        <v>552</v>
      </c>
      <c r="D477" s="21"/>
      <c r="E477" s="102" t="s">
        <v>185</v>
      </c>
      <c r="F477" s="99">
        <f>F478</f>
        <v>13082.199999999999</v>
      </c>
      <c r="G477" s="99">
        <f>G478</f>
        <v>11817.4</v>
      </c>
      <c r="H477" s="99">
        <f t="shared" si="37"/>
        <v>90.3</v>
      </c>
    </row>
    <row r="478" spans="1:10" s="37" customFormat="1" ht="14.25">
      <c r="A478" s="16" t="s">
        <v>152</v>
      </c>
      <c r="B478" s="16" t="s">
        <v>137</v>
      </c>
      <c r="C478" s="57" t="s">
        <v>552</v>
      </c>
      <c r="D478" s="21" t="s">
        <v>334</v>
      </c>
      <c r="E478" s="102" t="s">
        <v>333</v>
      </c>
      <c r="F478" s="99">
        <f>13303.3-221.1</f>
        <v>13082.199999999999</v>
      </c>
      <c r="G478" s="99">
        <v>11817.4</v>
      </c>
      <c r="H478" s="99">
        <f t="shared" si="37"/>
        <v>90.3</v>
      </c>
    </row>
    <row r="479" spans="1:10" s="37" customFormat="1" ht="63.75">
      <c r="A479" s="16" t="s">
        <v>152</v>
      </c>
      <c r="B479" s="16" t="s">
        <v>137</v>
      </c>
      <c r="C479" s="57" t="s">
        <v>553</v>
      </c>
      <c r="D479" s="21"/>
      <c r="E479" s="102" t="s">
        <v>430</v>
      </c>
      <c r="F479" s="99">
        <f>F480</f>
        <v>69347.7</v>
      </c>
      <c r="G479" s="99">
        <f>G480</f>
        <v>69347.7</v>
      </c>
      <c r="H479" s="99">
        <f t="shared" si="37"/>
        <v>100</v>
      </c>
    </row>
    <row r="480" spans="1:10" s="37" customFormat="1" ht="14.25">
      <c r="A480" s="16" t="s">
        <v>152</v>
      </c>
      <c r="B480" s="16" t="s">
        <v>137</v>
      </c>
      <c r="C480" s="57" t="s">
        <v>553</v>
      </c>
      <c r="D480" s="21" t="s">
        <v>334</v>
      </c>
      <c r="E480" s="102" t="s">
        <v>333</v>
      </c>
      <c r="F480" s="99">
        <f>69366.5-18.8</f>
        <v>69347.7</v>
      </c>
      <c r="G480" s="99">
        <f>69366.5-18.8</f>
        <v>69347.7</v>
      </c>
      <c r="H480" s="99">
        <f t="shared" si="37"/>
        <v>100</v>
      </c>
      <c r="I480" s="172"/>
      <c r="J480" s="172"/>
    </row>
    <row r="481" spans="1:8" s="37" customFormat="1" ht="63.75">
      <c r="A481" s="16" t="s">
        <v>152</v>
      </c>
      <c r="B481" s="16" t="s">
        <v>137</v>
      </c>
      <c r="C481" s="57" t="s">
        <v>557</v>
      </c>
      <c r="D481" s="21"/>
      <c r="E481" s="102" t="s">
        <v>431</v>
      </c>
      <c r="F481" s="99">
        <f>F482</f>
        <v>202477.19999999998</v>
      </c>
      <c r="G481" s="99">
        <f>G482</f>
        <v>203030.3</v>
      </c>
      <c r="H481" s="99">
        <f t="shared" si="37"/>
        <v>100.3</v>
      </c>
    </row>
    <row r="482" spans="1:8" s="37" customFormat="1" ht="14.25">
      <c r="A482" s="16" t="s">
        <v>152</v>
      </c>
      <c r="B482" s="16" t="s">
        <v>137</v>
      </c>
      <c r="C482" s="57" t="s">
        <v>557</v>
      </c>
      <c r="D482" s="21" t="s">
        <v>334</v>
      </c>
      <c r="E482" s="102" t="s">
        <v>333</v>
      </c>
      <c r="F482" s="99">
        <f>203030.3-553.1</f>
        <v>202477.19999999998</v>
      </c>
      <c r="G482" s="99">
        <v>203030.3</v>
      </c>
      <c r="H482" s="99">
        <f t="shared" si="37"/>
        <v>100.3</v>
      </c>
    </row>
    <row r="483" spans="1:8" s="37" customFormat="1" ht="37.5" customHeight="1">
      <c r="A483" s="16" t="s">
        <v>152</v>
      </c>
      <c r="B483" s="16" t="s">
        <v>137</v>
      </c>
      <c r="C483" s="57" t="s">
        <v>561</v>
      </c>
      <c r="D483" s="21"/>
      <c r="E483" s="102" t="s">
        <v>476</v>
      </c>
      <c r="F483" s="99">
        <f>F484</f>
        <v>4408.8</v>
      </c>
      <c r="G483" s="99">
        <f>G484</f>
        <v>3350.7</v>
      </c>
      <c r="H483" s="99">
        <f t="shared" ref="H483:H539" si="43">ROUND((G483/F483*100),1)</f>
        <v>76</v>
      </c>
    </row>
    <row r="484" spans="1:8" s="37" customFormat="1" ht="14.25">
      <c r="A484" s="16" t="s">
        <v>152</v>
      </c>
      <c r="B484" s="16" t="s">
        <v>137</v>
      </c>
      <c r="C484" s="57" t="s">
        <v>561</v>
      </c>
      <c r="D484" s="21" t="s">
        <v>334</v>
      </c>
      <c r="E484" s="102" t="s">
        <v>333</v>
      </c>
      <c r="F484" s="99">
        <f>4408.8-1058.1+1058.1</f>
        <v>4408.8</v>
      </c>
      <c r="G484" s="41">
        <v>3350.7</v>
      </c>
      <c r="H484" s="99">
        <f t="shared" si="43"/>
        <v>76</v>
      </c>
    </row>
    <row r="485" spans="1:8" s="37" customFormat="1" ht="38.25">
      <c r="A485" s="16" t="s">
        <v>152</v>
      </c>
      <c r="B485" s="16" t="s">
        <v>137</v>
      </c>
      <c r="C485" s="57" t="s">
        <v>749</v>
      </c>
      <c r="D485" s="21"/>
      <c r="E485" s="54" t="s">
        <v>750</v>
      </c>
      <c r="F485" s="99">
        <f>F486</f>
        <v>50</v>
      </c>
      <c r="G485" s="99">
        <f>G486</f>
        <v>50</v>
      </c>
      <c r="H485" s="99">
        <f t="shared" si="43"/>
        <v>100</v>
      </c>
    </row>
    <row r="486" spans="1:8" s="37" customFormat="1" ht="14.25">
      <c r="A486" s="16" t="s">
        <v>152</v>
      </c>
      <c r="B486" s="16" t="s">
        <v>137</v>
      </c>
      <c r="C486" s="57" t="s">
        <v>749</v>
      </c>
      <c r="D486" s="21" t="s">
        <v>334</v>
      </c>
      <c r="E486" s="102" t="s">
        <v>333</v>
      </c>
      <c r="F486" s="99">
        <v>50</v>
      </c>
      <c r="G486" s="99">
        <v>50</v>
      </c>
      <c r="H486" s="99">
        <f t="shared" si="43"/>
        <v>100</v>
      </c>
    </row>
    <row r="487" spans="1:8" s="37" customFormat="1" ht="51" customHeight="1">
      <c r="A487" s="16" t="s">
        <v>152</v>
      </c>
      <c r="B487" s="16" t="s">
        <v>137</v>
      </c>
      <c r="C487" s="57" t="s">
        <v>727</v>
      </c>
      <c r="D487" s="57"/>
      <c r="E487" s="160" t="s">
        <v>728</v>
      </c>
      <c r="F487" s="99">
        <f>F488</f>
        <v>655</v>
      </c>
      <c r="G487" s="99">
        <f>G488</f>
        <v>655</v>
      </c>
      <c r="H487" s="99">
        <f t="shared" si="43"/>
        <v>100</v>
      </c>
    </row>
    <row r="488" spans="1:8" s="37" customFormat="1" ht="14.25">
      <c r="A488" s="16" t="s">
        <v>152</v>
      </c>
      <c r="B488" s="16" t="s">
        <v>137</v>
      </c>
      <c r="C488" s="57" t="s">
        <v>727</v>
      </c>
      <c r="D488" s="21" t="s">
        <v>334</v>
      </c>
      <c r="E488" s="102" t="s">
        <v>333</v>
      </c>
      <c r="F488" s="99">
        <f>205+450</f>
        <v>655</v>
      </c>
      <c r="G488" s="99">
        <f>205+450</f>
        <v>655</v>
      </c>
      <c r="H488" s="99">
        <f t="shared" si="43"/>
        <v>100</v>
      </c>
    </row>
    <row r="489" spans="1:8" s="37" customFormat="1" ht="63.75">
      <c r="A489" s="16" t="s">
        <v>152</v>
      </c>
      <c r="B489" s="16" t="s">
        <v>137</v>
      </c>
      <c r="C489" s="57" t="s">
        <v>642</v>
      </c>
      <c r="D489" s="57"/>
      <c r="E489" s="102" t="s">
        <v>697</v>
      </c>
      <c r="F489" s="99">
        <f>F490</f>
        <v>576.4</v>
      </c>
      <c r="G489" s="99">
        <f>G490</f>
        <v>569.70000000000005</v>
      </c>
      <c r="H489" s="99">
        <f t="shared" si="43"/>
        <v>98.8</v>
      </c>
    </row>
    <row r="490" spans="1:8" s="37" customFormat="1" ht="14.25">
      <c r="A490" s="16" t="s">
        <v>152</v>
      </c>
      <c r="B490" s="16" t="s">
        <v>137</v>
      </c>
      <c r="C490" s="57" t="s">
        <v>642</v>
      </c>
      <c r="D490" s="21" t="s">
        <v>334</v>
      </c>
      <c r="E490" s="102" t="s">
        <v>333</v>
      </c>
      <c r="F490" s="99">
        <f>50+120+240+166.4</f>
        <v>576.4</v>
      </c>
      <c r="G490" s="41">
        <v>569.70000000000005</v>
      </c>
      <c r="H490" s="99">
        <f t="shared" si="43"/>
        <v>98.8</v>
      </c>
    </row>
    <row r="491" spans="1:8" s="37" customFormat="1" ht="51">
      <c r="A491" s="16" t="s">
        <v>152</v>
      </c>
      <c r="B491" s="16" t="s">
        <v>137</v>
      </c>
      <c r="C491" s="57" t="s">
        <v>565</v>
      </c>
      <c r="D491" s="57"/>
      <c r="E491" s="102" t="s">
        <v>67</v>
      </c>
      <c r="F491" s="41">
        <f>F492</f>
        <v>1175.7999999999995</v>
      </c>
      <c r="G491" s="41">
        <f t="shared" ref="G491" si="44">G492</f>
        <v>1175.7999999999995</v>
      </c>
      <c r="H491" s="99">
        <f t="shared" si="43"/>
        <v>100</v>
      </c>
    </row>
    <row r="492" spans="1:8" s="37" customFormat="1" ht="14.25">
      <c r="A492" s="16" t="s">
        <v>152</v>
      </c>
      <c r="B492" s="16" t="s">
        <v>137</v>
      </c>
      <c r="C492" s="57" t="s">
        <v>565</v>
      </c>
      <c r="D492" s="57" t="s">
        <v>334</v>
      </c>
      <c r="E492" s="102" t="s">
        <v>333</v>
      </c>
      <c r="F492" s="41">
        <f>4606.2-1381.4-654.2-1394.8</f>
        <v>1175.7999999999995</v>
      </c>
      <c r="G492" s="41">
        <f>4606.2-1381.4-654.2-1394.8</f>
        <v>1175.7999999999995</v>
      </c>
      <c r="H492" s="99">
        <f t="shared" si="43"/>
        <v>100</v>
      </c>
    </row>
    <row r="493" spans="1:8" s="37" customFormat="1" ht="51">
      <c r="A493" s="16" t="s">
        <v>152</v>
      </c>
      <c r="B493" s="16" t="s">
        <v>137</v>
      </c>
      <c r="C493" s="57" t="s">
        <v>568</v>
      </c>
      <c r="D493" s="57"/>
      <c r="E493" s="102" t="s">
        <v>475</v>
      </c>
      <c r="F493" s="41">
        <f>F494</f>
        <v>2570.6999999999998</v>
      </c>
      <c r="G493" s="41">
        <f>G494</f>
        <v>2570.6</v>
      </c>
      <c r="H493" s="99">
        <f t="shared" si="43"/>
        <v>100</v>
      </c>
    </row>
    <row r="494" spans="1:8" s="37" customFormat="1" ht="14.25">
      <c r="A494" s="16" t="s">
        <v>152</v>
      </c>
      <c r="B494" s="16" t="s">
        <v>137</v>
      </c>
      <c r="C494" s="57" t="s">
        <v>568</v>
      </c>
      <c r="D494" s="57" t="s">
        <v>334</v>
      </c>
      <c r="E494" s="102" t="s">
        <v>333</v>
      </c>
      <c r="F494" s="103">
        <f>3099.2-528.5</f>
        <v>2570.6999999999998</v>
      </c>
      <c r="G494" s="103">
        <v>2570.6</v>
      </c>
      <c r="H494" s="99">
        <f t="shared" si="43"/>
        <v>100</v>
      </c>
    </row>
    <row r="495" spans="1:8" s="37" customFormat="1" ht="51">
      <c r="A495" s="16" t="s">
        <v>152</v>
      </c>
      <c r="B495" s="16" t="s">
        <v>137</v>
      </c>
      <c r="C495" s="57" t="s">
        <v>791</v>
      </c>
      <c r="D495" s="57"/>
      <c r="E495" s="102" t="s">
        <v>792</v>
      </c>
      <c r="F495" s="103">
        <f>F496</f>
        <v>7235.5</v>
      </c>
      <c r="G495" s="103">
        <f>G496</f>
        <v>6226.8</v>
      </c>
      <c r="H495" s="99">
        <f t="shared" si="43"/>
        <v>86.1</v>
      </c>
    </row>
    <row r="496" spans="1:8" s="37" customFormat="1" ht="14.25">
      <c r="A496" s="16" t="s">
        <v>152</v>
      </c>
      <c r="B496" s="16" t="s">
        <v>137</v>
      </c>
      <c r="C496" s="57" t="s">
        <v>791</v>
      </c>
      <c r="D496" s="57" t="s">
        <v>334</v>
      </c>
      <c r="E496" s="102" t="s">
        <v>333</v>
      </c>
      <c r="F496" s="103">
        <v>7235.5</v>
      </c>
      <c r="G496" s="41">
        <v>6226.8</v>
      </c>
      <c r="H496" s="99">
        <f t="shared" si="43"/>
        <v>86.1</v>
      </c>
    </row>
    <row r="497" spans="1:8" s="37" customFormat="1" ht="25.5">
      <c r="A497" s="5" t="s">
        <v>152</v>
      </c>
      <c r="B497" s="5" t="s">
        <v>137</v>
      </c>
      <c r="C497" s="87">
        <v>9900000000</v>
      </c>
      <c r="D497" s="73"/>
      <c r="E497" s="149" t="s">
        <v>195</v>
      </c>
      <c r="F497" s="100">
        <f>F498</f>
        <v>1022.5</v>
      </c>
      <c r="G497" s="100">
        <f>G498</f>
        <v>1013.2</v>
      </c>
      <c r="H497" s="62">
        <f t="shared" si="43"/>
        <v>99.1</v>
      </c>
    </row>
    <row r="498" spans="1:8" s="37" customFormat="1" ht="25.5">
      <c r="A498" s="16" t="s">
        <v>152</v>
      </c>
      <c r="B498" s="16" t="s">
        <v>137</v>
      </c>
      <c r="C498" s="85" t="s">
        <v>31</v>
      </c>
      <c r="D498" s="85"/>
      <c r="E498" s="104" t="s">
        <v>53</v>
      </c>
      <c r="F498" s="98">
        <f>F499+F501+F503</f>
        <v>1022.5</v>
      </c>
      <c r="G498" s="98">
        <f>G499+G501+G503</f>
        <v>1013.2</v>
      </c>
      <c r="H498" s="58">
        <f t="shared" si="43"/>
        <v>99.1</v>
      </c>
    </row>
    <row r="499" spans="1:8" s="37" customFormat="1" ht="25.5">
      <c r="A499" s="56" t="s">
        <v>152</v>
      </c>
      <c r="B499" s="94" t="s">
        <v>137</v>
      </c>
      <c r="C499" s="85" t="s">
        <v>797</v>
      </c>
      <c r="D499" s="16"/>
      <c r="E499" s="54" t="s">
        <v>798</v>
      </c>
      <c r="F499" s="103">
        <f>F500</f>
        <v>506.4</v>
      </c>
      <c r="G499" s="103">
        <f>G500</f>
        <v>504.9</v>
      </c>
      <c r="H499" s="99">
        <f t="shared" si="43"/>
        <v>99.7</v>
      </c>
    </row>
    <row r="500" spans="1:8" s="37" customFormat="1" ht="14.25">
      <c r="A500" s="56" t="s">
        <v>152</v>
      </c>
      <c r="B500" s="94" t="s">
        <v>137</v>
      </c>
      <c r="C500" s="85" t="s">
        <v>797</v>
      </c>
      <c r="D500" s="85" t="s">
        <v>334</v>
      </c>
      <c r="E500" s="102" t="s">
        <v>333</v>
      </c>
      <c r="F500" s="103">
        <f>385.4+121</f>
        <v>506.4</v>
      </c>
      <c r="G500" s="103">
        <v>504.9</v>
      </c>
      <c r="H500" s="99">
        <f t="shared" si="43"/>
        <v>99.7</v>
      </c>
    </row>
    <row r="501" spans="1:8" s="37" customFormat="1" ht="25.5">
      <c r="A501" s="56" t="s">
        <v>152</v>
      </c>
      <c r="B501" s="94" t="s">
        <v>137</v>
      </c>
      <c r="C501" s="85" t="s">
        <v>729</v>
      </c>
      <c r="D501" s="16"/>
      <c r="E501" s="54" t="s">
        <v>468</v>
      </c>
      <c r="F501" s="41">
        <f>SUM(F502:F502)</f>
        <v>276.10000000000002</v>
      </c>
      <c r="G501" s="41">
        <f t="shared" ref="G501" si="45">SUM(G502:G502)</f>
        <v>268.3</v>
      </c>
      <c r="H501" s="99">
        <f t="shared" si="43"/>
        <v>97.2</v>
      </c>
    </row>
    <row r="502" spans="1:8" s="37" customFormat="1" ht="14.25">
      <c r="A502" s="56" t="s">
        <v>152</v>
      </c>
      <c r="B502" s="94" t="s">
        <v>137</v>
      </c>
      <c r="C502" s="85" t="s">
        <v>729</v>
      </c>
      <c r="D502" s="85" t="s">
        <v>334</v>
      </c>
      <c r="E502" s="102" t="s">
        <v>333</v>
      </c>
      <c r="F502" s="41">
        <f>10+266.1</f>
        <v>276.10000000000002</v>
      </c>
      <c r="G502" s="41">
        <v>268.3</v>
      </c>
      <c r="H502" s="99">
        <f t="shared" si="43"/>
        <v>97.2</v>
      </c>
    </row>
    <row r="503" spans="1:8" s="37" customFormat="1" ht="38.25">
      <c r="A503" s="16" t="s">
        <v>152</v>
      </c>
      <c r="B503" s="16" t="s">
        <v>137</v>
      </c>
      <c r="C503" s="85" t="s">
        <v>632</v>
      </c>
      <c r="D503" s="16"/>
      <c r="E503" s="54" t="s">
        <v>590</v>
      </c>
      <c r="F503" s="41">
        <f>SUM(F504:F504)</f>
        <v>240</v>
      </c>
      <c r="G503" s="41">
        <f>SUM(G504:G504)</f>
        <v>240</v>
      </c>
      <c r="H503" s="99">
        <f t="shared" si="43"/>
        <v>100</v>
      </c>
    </row>
    <row r="504" spans="1:8" s="37" customFormat="1" ht="14.25">
      <c r="A504" s="16" t="s">
        <v>152</v>
      </c>
      <c r="B504" s="16" t="s">
        <v>137</v>
      </c>
      <c r="C504" s="85" t="s">
        <v>632</v>
      </c>
      <c r="D504" s="85" t="s">
        <v>334</v>
      </c>
      <c r="E504" s="102" t="s">
        <v>333</v>
      </c>
      <c r="F504" s="41">
        <f>290-50</f>
        <v>240</v>
      </c>
      <c r="G504" s="41">
        <f>290-50</f>
        <v>240</v>
      </c>
      <c r="H504" s="99">
        <f t="shared" si="43"/>
        <v>100</v>
      </c>
    </row>
    <row r="505" spans="1:8" s="37" customFormat="1" ht="14.25">
      <c r="A505" s="35" t="s">
        <v>152</v>
      </c>
      <c r="B505" s="35" t="s">
        <v>141</v>
      </c>
      <c r="C505" s="35"/>
      <c r="D505" s="35"/>
      <c r="E505" s="45" t="s">
        <v>218</v>
      </c>
      <c r="F505" s="42">
        <f>F506+F520+F528</f>
        <v>45802.8</v>
      </c>
      <c r="G505" s="42">
        <f>G506+G520+G528</f>
        <v>45713.400000000009</v>
      </c>
      <c r="H505" s="58">
        <f t="shared" si="43"/>
        <v>99.8</v>
      </c>
    </row>
    <row r="506" spans="1:8" s="37" customFormat="1" ht="39">
      <c r="A506" s="5" t="s">
        <v>152</v>
      </c>
      <c r="B506" s="5" t="s">
        <v>141</v>
      </c>
      <c r="C506" s="73" t="s">
        <v>118</v>
      </c>
      <c r="D506" s="35"/>
      <c r="E506" s="64" t="s">
        <v>543</v>
      </c>
      <c r="F506" s="65">
        <f>F507</f>
        <v>31938.500000000004</v>
      </c>
      <c r="G506" s="65">
        <f>G507</f>
        <v>31849.100000000002</v>
      </c>
      <c r="H506" s="62">
        <f t="shared" si="43"/>
        <v>99.7</v>
      </c>
    </row>
    <row r="507" spans="1:8" s="37" customFormat="1" ht="25.5">
      <c r="A507" s="47" t="s">
        <v>152</v>
      </c>
      <c r="B507" s="47" t="s">
        <v>141</v>
      </c>
      <c r="C507" s="52" t="s">
        <v>119</v>
      </c>
      <c r="D507" s="35"/>
      <c r="E507" s="46" t="s">
        <v>59</v>
      </c>
      <c r="F507" s="58">
        <f>F508+F510+F512+F514+F516+F518</f>
        <v>31938.500000000004</v>
      </c>
      <c r="G507" s="58">
        <f>G508+G510+G512+G514+G516+G518</f>
        <v>31849.100000000002</v>
      </c>
      <c r="H507" s="99">
        <f t="shared" si="43"/>
        <v>99.7</v>
      </c>
    </row>
    <row r="508" spans="1:8" s="37" customFormat="1" ht="25.5">
      <c r="A508" s="85" t="s">
        <v>152</v>
      </c>
      <c r="B508" s="85" t="s">
        <v>141</v>
      </c>
      <c r="C508" s="57" t="s">
        <v>567</v>
      </c>
      <c r="D508" s="57"/>
      <c r="E508" s="102" t="s">
        <v>260</v>
      </c>
      <c r="F508" s="41">
        <f>F509</f>
        <v>250</v>
      </c>
      <c r="G508" s="41">
        <f>G509</f>
        <v>250</v>
      </c>
      <c r="H508" s="99">
        <f t="shared" si="43"/>
        <v>100</v>
      </c>
    </row>
    <row r="509" spans="1:8" s="37" customFormat="1" ht="14.25">
      <c r="A509" s="85" t="s">
        <v>152</v>
      </c>
      <c r="B509" s="85" t="s">
        <v>141</v>
      </c>
      <c r="C509" s="57" t="s">
        <v>567</v>
      </c>
      <c r="D509" s="21" t="s">
        <v>334</v>
      </c>
      <c r="E509" s="102" t="s">
        <v>333</v>
      </c>
      <c r="F509" s="41">
        <v>250</v>
      </c>
      <c r="G509" s="41">
        <v>250</v>
      </c>
      <c r="H509" s="99">
        <f t="shared" si="43"/>
        <v>100</v>
      </c>
    </row>
    <row r="510" spans="1:8" s="37" customFormat="1" ht="38.25">
      <c r="A510" s="85" t="s">
        <v>152</v>
      </c>
      <c r="B510" s="85" t="s">
        <v>141</v>
      </c>
      <c r="C510" s="57" t="s">
        <v>659</v>
      </c>
      <c r="D510" s="21"/>
      <c r="E510" s="54" t="s">
        <v>698</v>
      </c>
      <c r="F510" s="99">
        <f>F511</f>
        <v>436.7</v>
      </c>
      <c r="G510" s="99">
        <f>G511</f>
        <v>347.3</v>
      </c>
      <c r="H510" s="99">
        <f t="shared" si="43"/>
        <v>79.5</v>
      </c>
    </row>
    <row r="511" spans="1:8" s="37" customFormat="1" ht="14.25">
      <c r="A511" s="85" t="s">
        <v>152</v>
      </c>
      <c r="B511" s="85" t="s">
        <v>141</v>
      </c>
      <c r="C511" s="57" t="s">
        <v>659</v>
      </c>
      <c r="D511" s="21" t="s">
        <v>334</v>
      </c>
      <c r="E511" s="102" t="s">
        <v>333</v>
      </c>
      <c r="F511" s="99">
        <f>530-69.4+52.4-76.3</f>
        <v>436.7</v>
      </c>
      <c r="G511" s="99">
        <v>347.3</v>
      </c>
      <c r="H511" s="99">
        <f t="shared" si="43"/>
        <v>79.5</v>
      </c>
    </row>
    <row r="512" spans="1:8" s="37" customFormat="1" ht="63.75">
      <c r="A512" s="85" t="s">
        <v>152</v>
      </c>
      <c r="B512" s="85" t="s">
        <v>141</v>
      </c>
      <c r="C512" s="57" t="s">
        <v>569</v>
      </c>
      <c r="D512" s="35"/>
      <c r="E512" s="102" t="s">
        <v>437</v>
      </c>
      <c r="F512" s="41">
        <f>F513</f>
        <v>25856.600000000002</v>
      </c>
      <c r="G512" s="41">
        <f>G513</f>
        <v>25856.600000000002</v>
      </c>
      <c r="H512" s="99">
        <f t="shared" si="43"/>
        <v>100</v>
      </c>
    </row>
    <row r="513" spans="1:8" s="37" customFormat="1" ht="14.25">
      <c r="A513" s="85" t="s">
        <v>152</v>
      </c>
      <c r="B513" s="85" t="s">
        <v>141</v>
      </c>
      <c r="C513" s="57" t="s">
        <v>569</v>
      </c>
      <c r="D513" s="21" t="s">
        <v>334</v>
      </c>
      <c r="E513" s="102" t="s">
        <v>333</v>
      </c>
      <c r="F513" s="41">
        <f>24099.9+386.9+246+1123.8</f>
        <v>25856.600000000002</v>
      </c>
      <c r="G513" s="41">
        <f>24099.9+386.9+246+1123.8</f>
        <v>25856.600000000002</v>
      </c>
      <c r="H513" s="99">
        <f t="shared" si="43"/>
        <v>100</v>
      </c>
    </row>
    <row r="514" spans="1:8" s="37" customFormat="1" ht="76.5" customHeight="1">
      <c r="A514" s="85" t="s">
        <v>152</v>
      </c>
      <c r="B514" s="85" t="s">
        <v>141</v>
      </c>
      <c r="C514" s="57" t="s">
        <v>571</v>
      </c>
      <c r="D514" s="21"/>
      <c r="E514" s="102" t="s">
        <v>494</v>
      </c>
      <c r="F514" s="41">
        <f>F515</f>
        <v>5264.9</v>
      </c>
      <c r="G514" s="41">
        <f>G515</f>
        <v>5264.9</v>
      </c>
      <c r="H514" s="99">
        <f t="shared" si="43"/>
        <v>100</v>
      </c>
    </row>
    <row r="515" spans="1:8" s="37" customFormat="1" ht="14.25">
      <c r="A515" s="85" t="s">
        <v>152</v>
      </c>
      <c r="B515" s="85" t="s">
        <v>141</v>
      </c>
      <c r="C515" s="57" t="s">
        <v>571</v>
      </c>
      <c r="D515" s="21" t="s">
        <v>334</v>
      </c>
      <c r="E515" s="102" t="s">
        <v>333</v>
      </c>
      <c r="F515" s="41">
        <v>5264.9</v>
      </c>
      <c r="G515" s="41">
        <v>5264.9</v>
      </c>
      <c r="H515" s="99">
        <f t="shared" si="43"/>
        <v>100</v>
      </c>
    </row>
    <row r="516" spans="1:8" s="37" customFormat="1" ht="39.75" customHeight="1">
      <c r="A516" s="114" t="s">
        <v>152</v>
      </c>
      <c r="B516" s="114" t="s">
        <v>141</v>
      </c>
      <c r="C516" s="131" t="s">
        <v>572</v>
      </c>
      <c r="D516" s="129"/>
      <c r="E516" s="102" t="s">
        <v>502</v>
      </c>
      <c r="F516" s="112">
        <f>F517</f>
        <v>54</v>
      </c>
      <c r="G516" s="112">
        <f>G517</f>
        <v>54</v>
      </c>
      <c r="H516" s="99">
        <f t="shared" si="43"/>
        <v>100</v>
      </c>
    </row>
    <row r="517" spans="1:8" s="37" customFormat="1" ht="14.25">
      <c r="A517" s="114" t="s">
        <v>152</v>
      </c>
      <c r="B517" s="114" t="s">
        <v>141</v>
      </c>
      <c r="C517" s="131" t="s">
        <v>572</v>
      </c>
      <c r="D517" s="129" t="s">
        <v>334</v>
      </c>
      <c r="E517" s="102" t="s">
        <v>333</v>
      </c>
      <c r="F517" s="112">
        <f>300-246</f>
        <v>54</v>
      </c>
      <c r="G517" s="112">
        <f>300-246</f>
        <v>54</v>
      </c>
      <c r="H517" s="99">
        <f t="shared" si="43"/>
        <v>100</v>
      </c>
    </row>
    <row r="518" spans="1:8" s="37" customFormat="1" ht="25.5">
      <c r="A518" s="85" t="s">
        <v>152</v>
      </c>
      <c r="B518" s="85" t="s">
        <v>141</v>
      </c>
      <c r="C518" s="57" t="s">
        <v>809</v>
      </c>
      <c r="D518" s="21"/>
      <c r="E518" s="102" t="s">
        <v>810</v>
      </c>
      <c r="F518" s="99">
        <f>F519</f>
        <v>76.3</v>
      </c>
      <c r="G518" s="99">
        <f>G519</f>
        <v>76.3</v>
      </c>
      <c r="H518" s="99">
        <f t="shared" si="43"/>
        <v>100</v>
      </c>
    </row>
    <row r="519" spans="1:8" s="37" customFormat="1" ht="14.25">
      <c r="A519" s="85" t="s">
        <v>152</v>
      </c>
      <c r="B519" s="85" t="s">
        <v>141</v>
      </c>
      <c r="C519" s="57" t="s">
        <v>809</v>
      </c>
      <c r="D519" s="21" t="s">
        <v>334</v>
      </c>
      <c r="E519" s="102" t="s">
        <v>333</v>
      </c>
      <c r="F519" s="99">
        <v>76.3</v>
      </c>
      <c r="G519" s="99">
        <v>76.3</v>
      </c>
      <c r="H519" s="99">
        <f t="shared" si="43"/>
        <v>100</v>
      </c>
    </row>
    <row r="520" spans="1:8" s="37" customFormat="1" ht="51" customHeight="1">
      <c r="A520" s="16" t="s">
        <v>152</v>
      </c>
      <c r="B520" s="85" t="s">
        <v>141</v>
      </c>
      <c r="C520" s="73" t="s">
        <v>98</v>
      </c>
      <c r="D520" s="35"/>
      <c r="E520" s="53" t="s">
        <v>547</v>
      </c>
      <c r="F520" s="65">
        <f>F521</f>
        <v>13539.5</v>
      </c>
      <c r="G520" s="65">
        <f>G521</f>
        <v>13539.5</v>
      </c>
      <c r="H520" s="65">
        <f t="shared" si="43"/>
        <v>100</v>
      </c>
    </row>
    <row r="521" spans="1:8" s="37" customFormat="1" ht="25.5">
      <c r="A521" s="16" t="s">
        <v>152</v>
      </c>
      <c r="B521" s="85" t="s">
        <v>141</v>
      </c>
      <c r="C521" s="52" t="s">
        <v>99</v>
      </c>
      <c r="D521" s="35"/>
      <c r="E521" s="48" t="s">
        <v>244</v>
      </c>
      <c r="F521" s="58">
        <f>F522+F524+F526</f>
        <v>13539.5</v>
      </c>
      <c r="G521" s="58">
        <f>G522+G524+G526</f>
        <v>13539.5</v>
      </c>
      <c r="H521" s="58">
        <f t="shared" si="43"/>
        <v>100</v>
      </c>
    </row>
    <row r="522" spans="1:8" s="37" customFormat="1" ht="24.75" customHeight="1">
      <c r="A522" s="16" t="s">
        <v>152</v>
      </c>
      <c r="B522" s="85" t="s">
        <v>141</v>
      </c>
      <c r="C522" s="74" t="s">
        <v>246</v>
      </c>
      <c r="D522" s="16"/>
      <c r="E522" s="148" t="s">
        <v>247</v>
      </c>
      <c r="F522" s="39">
        <f>F523</f>
        <v>10764.9</v>
      </c>
      <c r="G522" s="39">
        <f>G523</f>
        <v>10764.9</v>
      </c>
      <c r="H522" s="99">
        <f t="shared" si="43"/>
        <v>100</v>
      </c>
    </row>
    <row r="523" spans="1:8" s="37" customFormat="1" ht="17.25" customHeight="1">
      <c r="A523" s="16" t="s">
        <v>152</v>
      </c>
      <c r="B523" s="85" t="s">
        <v>141</v>
      </c>
      <c r="C523" s="74" t="s">
        <v>246</v>
      </c>
      <c r="D523" s="21" t="s">
        <v>334</v>
      </c>
      <c r="E523" s="102" t="s">
        <v>333</v>
      </c>
      <c r="F523" s="39">
        <f>10741.9+23</f>
        <v>10764.9</v>
      </c>
      <c r="G523" s="39">
        <f>10741.9+23</f>
        <v>10764.9</v>
      </c>
      <c r="H523" s="99">
        <f t="shared" si="43"/>
        <v>100</v>
      </c>
    </row>
    <row r="524" spans="1:8" s="37" customFormat="1" ht="63" customHeight="1">
      <c r="A524" s="16" t="s">
        <v>152</v>
      </c>
      <c r="B524" s="85" t="s">
        <v>141</v>
      </c>
      <c r="C524" s="74">
        <v>210110690</v>
      </c>
      <c r="D524" s="21"/>
      <c r="E524" s="102" t="s">
        <v>491</v>
      </c>
      <c r="F524" s="39">
        <f>F525</f>
        <v>2747.6</v>
      </c>
      <c r="G524" s="39">
        <f>G525</f>
        <v>2747.6</v>
      </c>
      <c r="H524" s="99">
        <f t="shared" si="43"/>
        <v>100</v>
      </c>
    </row>
    <row r="525" spans="1:8" s="37" customFormat="1" ht="17.25" customHeight="1">
      <c r="A525" s="16" t="s">
        <v>152</v>
      </c>
      <c r="B525" s="85" t="s">
        <v>141</v>
      </c>
      <c r="C525" s="74">
        <v>210110690</v>
      </c>
      <c r="D525" s="21" t="s">
        <v>334</v>
      </c>
      <c r="E525" s="102" t="s">
        <v>333</v>
      </c>
      <c r="F525" s="39">
        <v>2747.6</v>
      </c>
      <c r="G525" s="39">
        <v>2747.6</v>
      </c>
      <c r="H525" s="99">
        <f t="shared" si="43"/>
        <v>100</v>
      </c>
    </row>
    <row r="526" spans="1:8" s="37" customFormat="1" ht="54" customHeight="1">
      <c r="A526" s="16" t="s">
        <v>152</v>
      </c>
      <c r="B526" s="85" t="s">
        <v>141</v>
      </c>
      <c r="C526" s="74" t="s">
        <v>495</v>
      </c>
      <c r="D526" s="21"/>
      <c r="E526" s="102" t="s">
        <v>492</v>
      </c>
      <c r="F526" s="39">
        <f>F527</f>
        <v>27</v>
      </c>
      <c r="G526" s="39">
        <f>G527</f>
        <v>27</v>
      </c>
      <c r="H526" s="99">
        <f t="shared" si="43"/>
        <v>100</v>
      </c>
    </row>
    <row r="527" spans="1:8" s="37" customFormat="1" ht="17.25" customHeight="1">
      <c r="A527" s="16" t="s">
        <v>152</v>
      </c>
      <c r="B527" s="85" t="s">
        <v>141</v>
      </c>
      <c r="C527" s="74" t="s">
        <v>495</v>
      </c>
      <c r="D527" s="21" t="s">
        <v>334</v>
      </c>
      <c r="E527" s="102" t="s">
        <v>333</v>
      </c>
      <c r="F527" s="39">
        <f>50-23</f>
        <v>27</v>
      </c>
      <c r="G527" s="39">
        <f>50-23</f>
        <v>27</v>
      </c>
      <c r="H527" s="99">
        <f t="shared" si="43"/>
        <v>100</v>
      </c>
    </row>
    <row r="528" spans="1:8" s="37" customFormat="1" ht="28.5" customHeight="1">
      <c r="A528" s="5" t="s">
        <v>152</v>
      </c>
      <c r="B528" s="5" t="s">
        <v>141</v>
      </c>
      <c r="C528" s="87">
        <v>9900000000</v>
      </c>
      <c r="D528" s="73"/>
      <c r="E528" s="149" t="s">
        <v>195</v>
      </c>
      <c r="F528" s="100">
        <f>F529</f>
        <v>324.79999999999995</v>
      </c>
      <c r="G528" s="100">
        <f>G529</f>
        <v>324.8</v>
      </c>
      <c r="H528" s="62">
        <f t="shared" si="43"/>
        <v>100</v>
      </c>
    </row>
    <row r="529" spans="1:8" s="37" customFormat="1" ht="26.25" customHeight="1">
      <c r="A529" s="16" t="s">
        <v>152</v>
      </c>
      <c r="B529" s="85" t="s">
        <v>141</v>
      </c>
      <c r="C529" s="85" t="s">
        <v>31</v>
      </c>
      <c r="D529" s="85"/>
      <c r="E529" s="104" t="s">
        <v>53</v>
      </c>
      <c r="F529" s="103">
        <f>F530+F532</f>
        <v>324.79999999999995</v>
      </c>
      <c r="G529" s="103">
        <f>G530+G532</f>
        <v>324.8</v>
      </c>
      <c r="H529" s="99">
        <f t="shared" si="43"/>
        <v>100</v>
      </c>
    </row>
    <row r="530" spans="1:8" s="37" customFormat="1" ht="29.25" customHeight="1">
      <c r="A530" s="16" t="s">
        <v>152</v>
      </c>
      <c r="B530" s="85" t="s">
        <v>141</v>
      </c>
      <c r="C530" s="85" t="s">
        <v>729</v>
      </c>
      <c r="D530" s="16"/>
      <c r="E530" s="54" t="s">
        <v>468</v>
      </c>
      <c r="F530" s="41">
        <f>SUM(F531:F531)</f>
        <v>194.79999999999998</v>
      </c>
      <c r="G530" s="41">
        <f>SUM(G531:G531)</f>
        <v>194.8</v>
      </c>
      <c r="H530" s="99">
        <f t="shared" si="43"/>
        <v>100</v>
      </c>
    </row>
    <row r="531" spans="1:8" s="37" customFormat="1" ht="18" customHeight="1">
      <c r="A531" s="16" t="s">
        <v>152</v>
      </c>
      <c r="B531" s="85" t="s">
        <v>141</v>
      </c>
      <c r="C531" s="85" t="s">
        <v>729</v>
      </c>
      <c r="D531" s="85" t="s">
        <v>334</v>
      </c>
      <c r="E531" s="102" t="s">
        <v>333</v>
      </c>
      <c r="F531" s="41">
        <f>39.3+175.1-19.6</f>
        <v>194.79999999999998</v>
      </c>
      <c r="G531" s="103">
        <f>39.3+155.5</f>
        <v>194.8</v>
      </c>
      <c r="H531" s="99">
        <f t="shared" si="43"/>
        <v>100</v>
      </c>
    </row>
    <row r="532" spans="1:8" s="37" customFormat="1" ht="37.5" customHeight="1">
      <c r="A532" s="16" t="s">
        <v>152</v>
      </c>
      <c r="B532" s="85" t="s">
        <v>141</v>
      </c>
      <c r="C532" s="85" t="s">
        <v>632</v>
      </c>
      <c r="D532" s="16"/>
      <c r="E532" s="54" t="s">
        <v>590</v>
      </c>
      <c r="F532" s="41">
        <f>SUM(F533:F533)</f>
        <v>130</v>
      </c>
      <c r="G532" s="41">
        <f>SUM(G533:G533)</f>
        <v>130</v>
      </c>
      <c r="H532" s="99">
        <f t="shared" si="43"/>
        <v>100</v>
      </c>
    </row>
    <row r="533" spans="1:8" s="37" customFormat="1" ht="14.25" customHeight="1">
      <c r="A533" s="16" t="s">
        <v>152</v>
      </c>
      <c r="B533" s="85" t="s">
        <v>141</v>
      </c>
      <c r="C533" s="85" t="s">
        <v>632</v>
      </c>
      <c r="D533" s="85" t="s">
        <v>334</v>
      </c>
      <c r="E533" s="102" t="s">
        <v>333</v>
      </c>
      <c r="F533" s="41">
        <v>130</v>
      </c>
      <c r="G533" s="41">
        <v>130</v>
      </c>
      <c r="H533" s="99">
        <f t="shared" si="43"/>
        <v>100</v>
      </c>
    </row>
    <row r="534" spans="1:8" s="37" customFormat="1" ht="38.25">
      <c r="A534" s="35" t="s">
        <v>152</v>
      </c>
      <c r="B534" s="35" t="s">
        <v>143</v>
      </c>
      <c r="C534" s="35"/>
      <c r="D534" s="35"/>
      <c r="E534" s="46" t="s">
        <v>2</v>
      </c>
      <c r="F534" s="42">
        <f t="shared" ref="F534:G536" si="46">F535</f>
        <v>381.90000000000009</v>
      </c>
      <c r="G534" s="42">
        <f t="shared" si="46"/>
        <v>381.90000000000009</v>
      </c>
      <c r="H534" s="58">
        <f t="shared" si="43"/>
        <v>100</v>
      </c>
    </row>
    <row r="535" spans="1:8" s="37" customFormat="1" ht="38.25">
      <c r="A535" s="16" t="s">
        <v>152</v>
      </c>
      <c r="B535" s="16" t="s">
        <v>143</v>
      </c>
      <c r="C535" s="21" t="s">
        <v>118</v>
      </c>
      <c r="D535" s="35"/>
      <c r="E535" s="64" t="s">
        <v>543</v>
      </c>
      <c r="F535" s="62">
        <f t="shared" si="46"/>
        <v>381.90000000000009</v>
      </c>
      <c r="G535" s="62">
        <f t="shared" si="46"/>
        <v>381.90000000000009</v>
      </c>
      <c r="H535" s="62">
        <f t="shared" si="43"/>
        <v>100</v>
      </c>
    </row>
    <row r="536" spans="1:8" s="37" customFormat="1" ht="25.5">
      <c r="A536" s="16" t="s">
        <v>152</v>
      </c>
      <c r="B536" s="16" t="s">
        <v>143</v>
      </c>
      <c r="C536" s="52" t="s">
        <v>119</v>
      </c>
      <c r="D536" s="35"/>
      <c r="E536" s="46" t="s">
        <v>59</v>
      </c>
      <c r="F536" s="58">
        <f t="shared" si="46"/>
        <v>381.90000000000009</v>
      </c>
      <c r="G536" s="58">
        <f t="shared" si="46"/>
        <v>381.90000000000009</v>
      </c>
      <c r="H536" s="58">
        <f t="shared" si="43"/>
        <v>100</v>
      </c>
    </row>
    <row r="537" spans="1:8" s="37" customFormat="1" ht="38.25">
      <c r="A537" s="16" t="s">
        <v>152</v>
      </c>
      <c r="B537" s="16" t="s">
        <v>143</v>
      </c>
      <c r="C537" s="21" t="s">
        <v>562</v>
      </c>
      <c r="D537" s="35"/>
      <c r="E537" s="102" t="s">
        <v>65</v>
      </c>
      <c r="F537" s="41">
        <f>SUM(F538:F539)</f>
        <v>381.90000000000009</v>
      </c>
      <c r="G537" s="41">
        <f>SUM(G538:G539)</f>
        <v>381.90000000000009</v>
      </c>
      <c r="H537" s="99">
        <f t="shared" si="43"/>
        <v>100</v>
      </c>
    </row>
    <row r="538" spans="1:8" s="37" customFormat="1" ht="25.5">
      <c r="A538" s="16" t="s">
        <v>152</v>
      </c>
      <c r="B538" s="16" t="s">
        <v>143</v>
      </c>
      <c r="C538" s="21" t="s">
        <v>562</v>
      </c>
      <c r="D538" s="85" t="s">
        <v>104</v>
      </c>
      <c r="E538" s="55" t="s">
        <v>179</v>
      </c>
      <c r="F538" s="41">
        <f>250+270-117.5+200-11.9-1.3-324.9</f>
        <v>264.40000000000009</v>
      </c>
      <c r="G538" s="41">
        <f>250+270-117.5+200-11.9-1.3-324.9</f>
        <v>264.40000000000009</v>
      </c>
      <c r="H538" s="99">
        <f t="shared" si="43"/>
        <v>100</v>
      </c>
    </row>
    <row r="539" spans="1:8" s="37" customFormat="1" ht="38.25">
      <c r="A539" s="16" t="s">
        <v>152</v>
      </c>
      <c r="B539" s="16" t="s">
        <v>143</v>
      </c>
      <c r="C539" s="21" t="s">
        <v>562</v>
      </c>
      <c r="D539" s="85" t="s">
        <v>314</v>
      </c>
      <c r="E539" s="102" t="s">
        <v>315</v>
      </c>
      <c r="F539" s="41">
        <f>117.5</f>
        <v>117.5</v>
      </c>
      <c r="G539" s="41">
        <f>117.5</f>
        <v>117.5</v>
      </c>
      <c r="H539" s="99">
        <f t="shared" si="43"/>
        <v>100</v>
      </c>
    </row>
    <row r="540" spans="1:8" s="37" customFormat="1" ht="14.25">
      <c r="A540" s="35" t="s">
        <v>152</v>
      </c>
      <c r="B540" s="35" t="s">
        <v>152</v>
      </c>
      <c r="C540" s="35"/>
      <c r="D540" s="35"/>
      <c r="E540" s="46" t="s">
        <v>217</v>
      </c>
      <c r="F540" s="42">
        <f>F541+F548+F561</f>
        <v>8739.5</v>
      </c>
      <c r="G540" s="42">
        <f>G541+G548+G561</f>
        <v>6071.1</v>
      </c>
      <c r="H540" s="58">
        <f t="shared" ref="H540:H602" si="47">ROUND((G540/F540*100),1)</f>
        <v>69.5</v>
      </c>
    </row>
    <row r="541" spans="1:8" s="37" customFormat="1" ht="38.25">
      <c r="A541" s="16" t="s">
        <v>152</v>
      </c>
      <c r="B541" s="16" t="s">
        <v>152</v>
      </c>
      <c r="C541" s="21" t="s">
        <v>118</v>
      </c>
      <c r="D541" s="35"/>
      <c r="E541" s="64" t="s">
        <v>543</v>
      </c>
      <c r="F541" s="62">
        <f>F542</f>
        <v>2800.2</v>
      </c>
      <c r="G541" s="62">
        <f>G542</f>
        <v>131.79999999999998</v>
      </c>
      <c r="H541" s="62">
        <f t="shared" si="47"/>
        <v>4.7</v>
      </c>
    </row>
    <row r="542" spans="1:8" ht="25.5">
      <c r="A542" s="16" t="s">
        <v>152</v>
      </c>
      <c r="B542" s="16" t="s">
        <v>152</v>
      </c>
      <c r="C542" s="52" t="s">
        <v>119</v>
      </c>
      <c r="D542" s="35"/>
      <c r="E542" s="46" t="s">
        <v>59</v>
      </c>
      <c r="F542" s="58">
        <f>F543+F545</f>
        <v>2800.2</v>
      </c>
      <c r="G542" s="58">
        <f>G543+G545</f>
        <v>131.79999999999998</v>
      </c>
      <c r="H542" s="58">
        <f t="shared" si="47"/>
        <v>4.7</v>
      </c>
    </row>
    <row r="543" spans="1:8">
      <c r="A543" s="16" t="s">
        <v>152</v>
      </c>
      <c r="B543" s="16" t="s">
        <v>152</v>
      </c>
      <c r="C543" s="57" t="s">
        <v>563</v>
      </c>
      <c r="D543" s="21"/>
      <c r="E543" s="102" t="s">
        <v>66</v>
      </c>
      <c r="F543" s="41">
        <f>F544</f>
        <v>13.200000000000001</v>
      </c>
      <c r="G543" s="41">
        <f>G544</f>
        <v>13.200000000000001</v>
      </c>
      <c r="H543" s="99">
        <f t="shared" si="47"/>
        <v>100</v>
      </c>
    </row>
    <row r="544" spans="1:8">
      <c r="A544" s="16" t="s">
        <v>152</v>
      </c>
      <c r="B544" s="16" t="s">
        <v>152</v>
      </c>
      <c r="C544" s="57" t="s">
        <v>563</v>
      </c>
      <c r="D544" s="21" t="s">
        <v>334</v>
      </c>
      <c r="E544" s="102" t="s">
        <v>333</v>
      </c>
      <c r="F544" s="41">
        <f>11.9+1.3</f>
        <v>13.200000000000001</v>
      </c>
      <c r="G544" s="41">
        <f>11.9+1.3</f>
        <v>13.200000000000001</v>
      </c>
      <c r="H544" s="99">
        <f t="shared" si="47"/>
        <v>100</v>
      </c>
    </row>
    <row r="545" spans="1:8" ht="51">
      <c r="A545" s="16" t="s">
        <v>152</v>
      </c>
      <c r="B545" s="16" t="s">
        <v>152</v>
      </c>
      <c r="C545" s="57" t="s">
        <v>564</v>
      </c>
      <c r="D545" s="225"/>
      <c r="E545" s="130" t="s">
        <v>493</v>
      </c>
      <c r="F545" s="226">
        <f>SUM(F546:F547)</f>
        <v>2787</v>
      </c>
      <c r="G545" s="226">
        <f>SUM(G546:G547)</f>
        <v>118.6</v>
      </c>
      <c r="H545" s="226">
        <f t="shared" si="47"/>
        <v>4.3</v>
      </c>
    </row>
    <row r="546" spans="1:8">
      <c r="A546" s="85" t="s">
        <v>152</v>
      </c>
      <c r="B546" s="85" t="s">
        <v>152</v>
      </c>
      <c r="C546" s="57" t="s">
        <v>564</v>
      </c>
      <c r="D546" s="21" t="s">
        <v>334</v>
      </c>
      <c r="E546" s="102" t="s">
        <v>333</v>
      </c>
      <c r="F546" s="99">
        <v>1844.4</v>
      </c>
      <c r="G546" s="99">
        <v>0</v>
      </c>
      <c r="H546" s="226">
        <f t="shared" si="47"/>
        <v>0</v>
      </c>
    </row>
    <row r="547" spans="1:8" ht="63.75">
      <c r="A547" s="16" t="s">
        <v>152</v>
      </c>
      <c r="B547" s="16" t="s">
        <v>152</v>
      </c>
      <c r="C547" s="57" t="s">
        <v>564</v>
      </c>
      <c r="D547" s="16" t="s">
        <v>15</v>
      </c>
      <c r="E547" s="102" t="s">
        <v>696</v>
      </c>
      <c r="F547" s="99">
        <f>118.6+824</f>
        <v>942.6</v>
      </c>
      <c r="G547" s="99">
        <v>118.6</v>
      </c>
      <c r="H547" s="99">
        <f t="shared" si="47"/>
        <v>12.6</v>
      </c>
    </row>
    <row r="548" spans="1:8" ht="54" customHeight="1">
      <c r="A548" s="16" t="s">
        <v>152</v>
      </c>
      <c r="B548" s="16" t="s">
        <v>152</v>
      </c>
      <c r="C548" s="73" t="s">
        <v>98</v>
      </c>
      <c r="D548" s="35"/>
      <c r="E548" s="53" t="s">
        <v>547</v>
      </c>
      <c r="F548" s="65">
        <f>F549+F556</f>
        <v>5909.3</v>
      </c>
      <c r="G548" s="65">
        <f>G549+G556</f>
        <v>5909.3</v>
      </c>
      <c r="H548" s="65">
        <f t="shared" si="47"/>
        <v>100</v>
      </c>
    </row>
    <row r="549" spans="1:8" ht="25.5">
      <c r="A549" s="16" t="s">
        <v>152</v>
      </c>
      <c r="B549" s="16" t="s">
        <v>152</v>
      </c>
      <c r="C549" s="52" t="s">
        <v>38</v>
      </c>
      <c r="D549" s="21"/>
      <c r="E549" s="48" t="s">
        <v>251</v>
      </c>
      <c r="F549" s="98">
        <f>F550+F552+F554</f>
        <v>5859.3</v>
      </c>
      <c r="G549" s="98">
        <f>G550+G552+G554</f>
        <v>5859.3</v>
      </c>
      <c r="H549" s="58">
        <f t="shared" si="47"/>
        <v>100</v>
      </c>
    </row>
    <row r="550" spans="1:8" ht="51">
      <c r="A550" s="16" t="s">
        <v>152</v>
      </c>
      <c r="B550" s="16" t="s">
        <v>152</v>
      </c>
      <c r="C550" s="81" t="s">
        <v>39</v>
      </c>
      <c r="D550" s="16"/>
      <c r="E550" s="105" t="s">
        <v>306</v>
      </c>
      <c r="F550" s="39">
        <f>F551</f>
        <v>5</v>
      </c>
      <c r="G550" s="39">
        <f>G551</f>
        <v>5</v>
      </c>
      <c r="H550" s="99">
        <f t="shared" si="47"/>
        <v>100</v>
      </c>
    </row>
    <row r="551" spans="1:8" ht="38.25">
      <c r="A551" s="16" t="s">
        <v>152</v>
      </c>
      <c r="B551" s="16" t="s">
        <v>152</v>
      </c>
      <c r="C551" s="81" t="s">
        <v>39</v>
      </c>
      <c r="D551" s="85" t="s">
        <v>314</v>
      </c>
      <c r="E551" s="102" t="s">
        <v>315</v>
      </c>
      <c r="F551" s="41">
        <v>5</v>
      </c>
      <c r="G551" s="41">
        <v>5</v>
      </c>
      <c r="H551" s="99">
        <f t="shared" si="47"/>
        <v>100</v>
      </c>
    </row>
    <row r="552" spans="1:8" ht="25.5">
      <c r="A552" s="16" t="s">
        <v>152</v>
      </c>
      <c r="B552" s="16" t="s">
        <v>152</v>
      </c>
      <c r="C552" s="81" t="s">
        <v>40</v>
      </c>
      <c r="D552" s="16"/>
      <c r="E552" s="102" t="s">
        <v>252</v>
      </c>
      <c r="F552" s="41">
        <f>F553</f>
        <v>145</v>
      </c>
      <c r="G552" s="41">
        <f>G553</f>
        <v>145</v>
      </c>
      <c r="H552" s="99">
        <f t="shared" si="47"/>
        <v>100</v>
      </c>
    </row>
    <row r="553" spans="1:8" ht="38.25">
      <c r="A553" s="16" t="s">
        <v>152</v>
      </c>
      <c r="B553" s="16" t="s">
        <v>152</v>
      </c>
      <c r="C553" s="81" t="s">
        <v>40</v>
      </c>
      <c r="D553" s="85" t="s">
        <v>314</v>
      </c>
      <c r="E553" s="102" t="s">
        <v>315</v>
      </c>
      <c r="F553" s="41">
        <f>130+15</f>
        <v>145</v>
      </c>
      <c r="G553" s="41">
        <f>130+15</f>
        <v>145</v>
      </c>
      <c r="H553" s="99">
        <f t="shared" si="47"/>
        <v>100</v>
      </c>
    </row>
    <row r="554" spans="1:8" ht="42.75" customHeight="1">
      <c r="A554" s="16" t="s">
        <v>152</v>
      </c>
      <c r="B554" s="16" t="s">
        <v>152</v>
      </c>
      <c r="C554" s="74" t="s">
        <v>309</v>
      </c>
      <c r="D554" s="16"/>
      <c r="E554" s="102" t="s">
        <v>0</v>
      </c>
      <c r="F554" s="41">
        <f>F555</f>
        <v>5709.3</v>
      </c>
      <c r="G554" s="41">
        <f>G555</f>
        <v>5709.3</v>
      </c>
      <c r="H554" s="99">
        <f t="shared" si="47"/>
        <v>100</v>
      </c>
    </row>
    <row r="555" spans="1:8">
      <c r="A555" s="16" t="s">
        <v>152</v>
      </c>
      <c r="B555" s="16" t="s">
        <v>152</v>
      </c>
      <c r="C555" s="74" t="s">
        <v>309</v>
      </c>
      <c r="D555" s="85" t="s">
        <v>334</v>
      </c>
      <c r="E555" s="102" t="s">
        <v>333</v>
      </c>
      <c r="F555" s="41">
        <v>5709.3</v>
      </c>
      <c r="G555" s="41">
        <v>5709.3</v>
      </c>
      <c r="H555" s="99">
        <f t="shared" si="47"/>
        <v>100</v>
      </c>
    </row>
    <row r="556" spans="1:8" ht="63.75">
      <c r="A556" s="16" t="s">
        <v>152</v>
      </c>
      <c r="B556" s="16" t="s">
        <v>152</v>
      </c>
      <c r="C556" s="75">
        <v>240000000</v>
      </c>
      <c r="D556" s="16"/>
      <c r="E556" s="48" t="s">
        <v>254</v>
      </c>
      <c r="F556" s="98">
        <f>F557+F559</f>
        <v>50</v>
      </c>
      <c r="G556" s="98">
        <f>G557+G559</f>
        <v>50</v>
      </c>
      <c r="H556" s="58">
        <f t="shared" si="47"/>
        <v>100</v>
      </c>
    </row>
    <row r="557" spans="1:8" ht="78" customHeight="1">
      <c r="A557" s="16" t="s">
        <v>152</v>
      </c>
      <c r="B557" s="16" t="s">
        <v>152</v>
      </c>
      <c r="C557" s="74" t="s">
        <v>587</v>
      </c>
      <c r="D557" s="16"/>
      <c r="E557" s="102" t="s">
        <v>256</v>
      </c>
      <c r="F557" s="41">
        <f>F558</f>
        <v>5</v>
      </c>
      <c r="G557" s="41">
        <f>G558</f>
        <v>5</v>
      </c>
      <c r="H557" s="99">
        <f t="shared" si="47"/>
        <v>100</v>
      </c>
    </row>
    <row r="558" spans="1:8" ht="38.25">
      <c r="A558" s="16" t="s">
        <v>152</v>
      </c>
      <c r="B558" s="16" t="s">
        <v>152</v>
      </c>
      <c r="C558" s="74" t="s">
        <v>587</v>
      </c>
      <c r="D558" s="85" t="s">
        <v>314</v>
      </c>
      <c r="E558" s="102" t="s">
        <v>315</v>
      </c>
      <c r="F558" s="41">
        <v>5</v>
      </c>
      <c r="G558" s="41">
        <v>5</v>
      </c>
      <c r="H558" s="99">
        <f t="shared" si="47"/>
        <v>100</v>
      </c>
    </row>
    <row r="559" spans="1:8">
      <c r="A559" s="16" t="s">
        <v>152</v>
      </c>
      <c r="B559" s="16" t="s">
        <v>152</v>
      </c>
      <c r="C559" s="74" t="s">
        <v>588</v>
      </c>
      <c r="D559" s="16"/>
      <c r="E559" s="102" t="s">
        <v>258</v>
      </c>
      <c r="F559" s="41">
        <f>F560</f>
        <v>45</v>
      </c>
      <c r="G559" s="41">
        <f>G560</f>
        <v>45</v>
      </c>
      <c r="H559" s="99">
        <f t="shared" si="47"/>
        <v>100</v>
      </c>
    </row>
    <row r="560" spans="1:8" ht="38.25">
      <c r="A560" s="16" t="s">
        <v>152</v>
      </c>
      <c r="B560" s="16" t="s">
        <v>152</v>
      </c>
      <c r="C560" s="74" t="s">
        <v>588</v>
      </c>
      <c r="D560" s="85" t="s">
        <v>314</v>
      </c>
      <c r="E560" s="102" t="s">
        <v>315</v>
      </c>
      <c r="F560" s="41">
        <v>45</v>
      </c>
      <c r="G560" s="41">
        <v>45</v>
      </c>
      <c r="H560" s="99">
        <f t="shared" si="47"/>
        <v>100</v>
      </c>
    </row>
    <row r="561" spans="1:8" ht="25.5">
      <c r="A561" s="5" t="s">
        <v>152</v>
      </c>
      <c r="B561" s="5" t="s">
        <v>152</v>
      </c>
      <c r="C561" s="87">
        <v>9900000000</v>
      </c>
      <c r="D561" s="73"/>
      <c r="E561" s="149" t="s">
        <v>195</v>
      </c>
      <c r="F561" s="100">
        <f>F562</f>
        <v>30</v>
      </c>
      <c r="G561" s="100">
        <f>G562</f>
        <v>30</v>
      </c>
      <c r="H561" s="62">
        <f t="shared" si="47"/>
        <v>100</v>
      </c>
    </row>
    <row r="562" spans="1:8" ht="25.5">
      <c r="A562" s="16" t="s">
        <v>152</v>
      </c>
      <c r="B562" s="85" t="s">
        <v>152</v>
      </c>
      <c r="C562" s="85" t="s">
        <v>31</v>
      </c>
      <c r="D562" s="85"/>
      <c r="E562" s="104" t="s">
        <v>53</v>
      </c>
      <c r="F562" s="103">
        <f>F563</f>
        <v>30</v>
      </c>
      <c r="G562" s="103">
        <f>G563</f>
        <v>30</v>
      </c>
      <c r="H562" s="99">
        <f t="shared" si="47"/>
        <v>100</v>
      </c>
    </row>
    <row r="563" spans="1:8" ht="38.25">
      <c r="A563" s="16" t="s">
        <v>152</v>
      </c>
      <c r="B563" s="85" t="s">
        <v>152</v>
      </c>
      <c r="C563" s="85" t="s">
        <v>632</v>
      </c>
      <c r="D563" s="16"/>
      <c r="E563" s="54" t="s">
        <v>590</v>
      </c>
      <c r="F563" s="41">
        <f>SUM(F564:F564)</f>
        <v>30</v>
      </c>
      <c r="G563" s="41">
        <f>SUM(G564:G564)</f>
        <v>30</v>
      </c>
      <c r="H563" s="99">
        <f t="shared" si="47"/>
        <v>100</v>
      </c>
    </row>
    <row r="564" spans="1:8">
      <c r="A564" s="16" t="s">
        <v>152</v>
      </c>
      <c r="B564" s="85" t="s">
        <v>152</v>
      </c>
      <c r="C564" s="85" t="s">
        <v>632</v>
      </c>
      <c r="D564" s="85" t="s">
        <v>334</v>
      </c>
      <c r="E564" s="102" t="s">
        <v>333</v>
      </c>
      <c r="F564" s="41">
        <v>30</v>
      </c>
      <c r="G564" s="41">
        <v>30</v>
      </c>
      <c r="H564" s="99">
        <f t="shared" si="47"/>
        <v>100</v>
      </c>
    </row>
    <row r="565" spans="1:8" ht="14.25">
      <c r="A565" s="35" t="s">
        <v>152</v>
      </c>
      <c r="B565" s="35" t="s">
        <v>147</v>
      </c>
      <c r="C565" s="35"/>
      <c r="D565" s="35"/>
      <c r="E565" s="46" t="s">
        <v>157</v>
      </c>
      <c r="F565" s="42">
        <f>F566</f>
        <v>8072.1</v>
      </c>
      <c r="G565" s="42">
        <f>G566</f>
        <v>8058.4000000000005</v>
      </c>
      <c r="H565" s="42">
        <f t="shared" si="47"/>
        <v>99.8</v>
      </c>
    </row>
    <row r="566" spans="1:8" s="20" customFormat="1" ht="39">
      <c r="A566" s="16" t="s">
        <v>152</v>
      </c>
      <c r="B566" s="16" t="s">
        <v>147</v>
      </c>
      <c r="C566" s="21" t="s">
        <v>118</v>
      </c>
      <c r="D566" s="35"/>
      <c r="E566" s="64" t="s">
        <v>548</v>
      </c>
      <c r="F566" s="62">
        <f>F567+F581+F588</f>
        <v>8072.1</v>
      </c>
      <c r="G566" s="62">
        <f>G567+G581+G588</f>
        <v>8058.4000000000005</v>
      </c>
      <c r="H566" s="62">
        <f t="shared" si="47"/>
        <v>99.8</v>
      </c>
    </row>
    <row r="567" spans="1:8" s="20" customFormat="1" ht="26.25">
      <c r="A567" s="16" t="s">
        <v>152</v>
      </c>
      <c r="B567" s="16" t="s">
        <v>147</v>
      </c>
      <c r="C567" s="52" t="s">
        <v>119</v>
      </c>
      <c r="D567" s="35"/>
      <c r="E567" s="46" t="s">
        <v>59</v>
      </c>
      <c r="F567" s="58">
        <f>F568+F570+F572+F575+F577+F579</f>
        <v>833.49999999999989</v>
      </c>
      <c r="G567" s="58">
        <f>G568+G570+G572+G575+G577+G579</f>
        <v>833.49999999999989</v>
      </c>
      <c r="H567" s="58">
        <f t="shared" si="47"/>
        <v>100</v>
      </c>
    </row>
    <row r="568" spans="1:8" s="20" customFormat="1" ht="38.25">
      <c r="A568" s="16" t="s">
        <v>152</v>
      </c>
      <c r="B568" s="16" t="s">
        <v>147</v>
      </c>
      <c r="C568" s="21" t="s">
        <v>550</v>
      </c>
      <c r="D568" s="21"/>
      <c r="E568" s="102" t="s">
        <v>73</v>
      </c>
      <c r="F568" s="99">
        <f>F569</f>
        <v>176.1</v>
      </c>
      <c r="G568" s="99">
        <f>G569</f>
        <v>176.1</v>
      </c>
      <c r="H568" s="99">
        <f t="shared" si="47"/>
        <v>100</v>
      </c>
    </row>
    <row r="569" spans="1:8" s="20" customFormat="1" ht="38.25">
      <c r="A569" s="16" t="s">
        <v>152</v>
      </c>
      <c r="B569" s="16" t="s">
        <v>147</v>
      </c>
      <c r="C569" s="21" t="s">
        <v>550</v>
      </c>
      <c r="D569" s="85" t="s">
        <v>314</v>
      </c>
      <c r="E569" s="102" t="s">
        <v>315</v>
      </c>
      <c r="F569" s="99">
        <v>176.1</v>
      </c>
      <c r="G569" s="99">
        <v>176.1</v>
      </c>
      <c r="H569" s="99">
        <f t="shared" si="47"/>
        <v>100</v>
      </c>
    </row>
    <row r="570" spans="1:8" s="20" customFormat="1" ht="25.5">
      <c r="A570" s="16" t="s">
        <v>152</v>
      </c>
      <c r="B570" s="16" t="s">
        <v>147</v>
      </c>
      <c r="C570" s="21" t="s">
        <v>560</v>
      </c>
      <c r="D570" s="16"/>
      <c r="E570" s="102" t="s">
        <v>432</v>
      </c>
      <c r="F570" s="99">
        <f>F571</f>
        <v>96.699999999999989</v>
      </c>
      <c r="G570" s="99">
        <f>G571</f>
        <v>96.699999999999989</v>
      </c>
      <c r="H570" s="99">
        <f t="shared" si="47"/>
        <v>100</v>
      </c>
    </row>
    <row r="571" spans="1:8" s="20" customFormat="1" ht="25.5">
      <c r="A571" s="16" t="s">
        <v>152</v>
      </c>
      <c r="B571" s="16" t="s">
        <v>147</v>
      </c>
      <c r="C571" s="21" t="s">
        <v>560</v>
      </c>
      <c r="D571" s="85" t="s">
        <v>104</v>
      </c>
      <c r="E571" s="55" t="s">
        <v>179</v>
      </c>
      <c r="F571" s="99">
        <f>79.1+17.6</f>
        <v>96.699999999999989</v>
      </c>
      <c r="G571" s="99">
        <f>79.1+17.6</f>
        <v>96.699999999999989</v>
      </c>
      <c r="H571" s="99">
        <f t="shared" si="47"/>
        <v>100</v>
      </c>
    </row>
    <row r="572" spans="1:8" s="20" customFormat="1" ht="25.5">
      <c r="A572" s="16" t="s">
        <v>152</v>
      </c>
      <c r="B572" s="16" t="s">
        <v>147</v>
      </c>
      <c r="C572" s="57" t="s">
        <v>566</v>
      </c>
      <c r="D572" s="21"/>
      <c r="E572" s="102" t="s">
        <v>183</v>
      </c>
      <c r="F572" s="41">
        <f>SUM(F573:F574)</f>
        <v>60</v>
      </c>
      <c r="G572" s="41">
        <f>SUM(G573:G574)</f>
        <v>60</v>
      </c>
      <c r="H572" s="99">
        <f t="shared" si="47"/>
        <v>100</v>
      </c>
    </row>
    <row r="573" spans="1:8" s="20" customFormat="1" ht="25.5">
      <c r="A573" s="16" t="s">
        <v>152</v>
      </c>
      <c r="B573" s="16" t="s">
        <v>147</v>
      </c>
      <c r="C573" s="57" t="s">
        <v>566</v>
      </c>
      <c r="D573" s="85" t="s">
        <v>104</v>
      </c>
      <c r="E573" s="55" t="s">
        <v>179</v>
      </c>
      <c r="F573" s="41">
        <f>54-14.5</f>
        <v>39.5</v>
      </c>
      <c r="G573" s="41">
        <f>54-14.5</f>
        <v>39.5</v>
      </c>
      <c r="H573" s="99">
        <f t="shared" si="47"/>
        <v>100</v>
      </c>
    </row>
    <row r="574" spans="1:8" s="20" customFormat="1" ht="38.25">
      <c r="A574" s="16" t="s">
        <v>152</v>
      </c>
      <c r="B574" s="16" t="s">
        <v>147</v>
      </c>
      <c r="C574" s="57" t="s">
        <v>566</v>
      </c>
      <c r="D574" s="21" t="s">
        <v>314</v>
      </c>
      <c r="E574" s="102" t="s">
        <v>315</v>
      </c>
      <c r="F574" s="41">
        <f>86-65.5</f>
        <v>20.5</v>
      </c>
      <c r="G574" s="41">
        <f>86-65.5</f>
        <v>20.5</v>
      </c>
      <c r="H574" s="99">
        <f t="shared" si="47"/>
        <v>100</v>
      </c>
    </row>
    <row r="575" spans="1:8" s="20" customFormat="1" ht="63.75">
      <c r="A575" s="16" t="s">
        <v>152</v>
      </c>
      <c r="B575" s="16" t="s">
        <v>147</v>
      </c>
      <c r="C575" s="57" t="s">
        <v>570</v>
      </c>
      <c r="D575" s="21"/>
      <c r="E575" s="102" t="s">
        <v>182</v>
      </c>
      <c r="F575" s="41">
        <f>F576</f>
        <v>308.59999999999997</v>
      </c>
      <c r="G575" s="41">
        <f>G576</f>
        <v>308.59999999999997</v>
      </c>
      <c r="H575" s="99">
        <f t="shared" si="47"/>
        <v>100</v>
      </c>
    </row>
    <row r="576" spans="1:8" s="20" customFormat="1" ht="38.25">
      <c r="A576" s="16" t="s">
        <v>152</v>
      </c>
      <c r="B576" s="16" t="s">
        <v>147</v>
      </c>
      <c r="C576" s="57" t="s">
        <v>570</v>
      </c>
      <c r="D576" s="85" t="s">
        <v>314</v>
      </c>
      <c r="E576" s="102" t="s">
        <v>315</v>
      </c>
      <c r="F576" s="41">
        <f>310.4-1.8</f>
        <v>308.59999999999997</v>
      </c>
      <c r="G576" s="41">
        <f>310.4-1.8</f>
        <v>308.59999999999997</v>
      </c>
      <c r="H576" s="99">
        <f t="shared" si="47"/>
        <v>100</v>
      </c>
    </row>
    <row r="577" spans="1:8" s="20" customFormat="1" ht="51.75">
      <c r="A577" s="16" t="s">
        <v>152</v>
      </c>
      <c r="B577" s="16" t="s">
        <v>147</v>
      </c>
      <c r="C577" s="57" t="s">
        <v>613</v>
      </c>
      <c r="D577" s="21"/>
      <c r="E577" s="130" t="s">
        <v>614</v>
      </c>
      <c r="F577" s="41">
        <f>F578</f>
        <v>25.7</v>
      </c>
      <c r="G577" s="41">
        <f>G578</f>
        <v>25.7</v>
      </c>
      <c r="H577" s="99">
        <f t="shared" si="47"/>
        <v>100</v>
      </c>
    </row>
    <row r="578" spans="1:8" s="20" customFormat="1" ht="38.25">
      <c r="A578" s="16" t="s">
        <v>152</v>
      </c>
      <c r="B578" s="16" t="s">
        <v>147</v>
      </c>
      <c r="C578" s="57" t="s">
        <v>613</v>
      </c>
      <c r="D578" s="85" t="s">
        <v>314</v>
      </c>
      <c r="E578" s="102" t="s">
        <v>315</v>
      </c>
      <c r="F578" s="41">
        <v>25.7</v>
      </c>
      <c r="G578" s="41">
        <v>25.7</v>
      </c>
      <c r="H578" s="99">
        <f t="shared" si="47"/>
        <v>100</v>
      </c>
    </row>
    <row r="579" spans="1:8" s="20" customFormat="1" ht="28.5" customHeight="1">
      <c r="A579" s="16" t="s">
        <v>152</v>
      </c>
      <c r="B579" s="16" t="s">
        <v>147</v>
      </c>
      <c r="C579" s="57" t="s">
        <v>615</v>
      </c>
      <c r="D579" s="21"/>
      <c r="E579" s="130" t="s">
        <v>616</v>
      </c>
      <c r="F579" s="99">
        <f>F580</f>
        <v>166.4</v>
      </c>
      <c r="G579" s="99">
        <f>G580</f>
        <v>166.4</v>
      </c>
      <c r="H579" s="99">
        <f t="shared" si="47"/>
        <v>100</v>
      </c>
    </row>
    <row r="580" spans="1:8" s="20" customFormat="1" ht="38.25">
      <c r="A580" s="16" t="s">
        <v>152</v>
      </c>
      <c r="B580" s="16" t="s">
        <v>147</v>
      </c>
      <c r="C580" s="57" t="s">
        <v>615</v>
      </c>
      <c r="D580" s="85" t="s">
        <v>314</v>
      </c>
      <c r="E580" s="102" t="s">
        <v>315</v>
      </c>
      <c r="F580" s="99">
        <v>166.4</v>
      </c>
      <c r="G580" s="99">
        <v>166.4</v>
      </c>
      <c r="H580" s="99">
        <f t="shared" si="47"/>
        <v>100</v>
      </c>
    </row>
    <row r="581" spans="1:8" s="20" customFormat="1" ht="26.25">
      <c r="A581" s="16" t="s">
        <v>152</v>
      </c>
      <c r="B581" s="16" t="s">
        <v>147</v>
      </c>
      <c r="C581" s="52" t="s">
        <v>120</v>
      </c>
      <c r="D581" s="21"/>
      <c r="E581" s="46" t="s">
        <v>125</v>
      </c>
      <c r="F581" s="58">
        <f>F582+F584+F586</f>
        <v>409.20000000000005</v>
      </c>
      <c r="G581" s="58">
        <f>G582+G584+G586</f>
        <v>409.20000000000005</v>
      </c>
      <c r="H581" s="58">
        <f t="shared" si="47"/>
        <v>100</v>
      </c>
    </row>
    <row r="582" spans="1:8" s="36" customFormat="1" ht="53.25" customHeight="1">
      <c r="A582" s="16" t="s">
        <v>152</v>
      </c>
      <c r="B582" s="16" t="s">
        <v>147</v>
      </c>
      <c r="C582" s="57" t="s">
        <v>573</v>
      </c>
      <c r="D582" s="16"/>
      <c r="E582" s="102" t="s">
        <v>69</v>
      </c>
      <c r="F582" s="41">
        <f>F583</f>
        <v>244.5</v>
      </c>
      <c r="G582" s="41">
        <f>G583</f>
        <v>244.5</v>
      </c>
      <c r="H582" s="99">
        <f t="shared" si="47"/>
        <v>100</v>
      </c>
    </row>
    <row r="583" spans="1:8" ht="38.25">
      <c r="A583" s="16" t="s">
        <v>152</v>
      </c>
      <c r="B583" s="16" t="s">
        <v>147</v>
      </c>
      <c r="C583" s="57" t="s">
        <v>573</v>
      </c>
      <c r="D583" s="85" t="s">
        <v>314</v>
      </c>
      <c r="E583" s="102" t="s">
        <v>315</v>
      </c>
      <c r="F583" s="41">
        <v>244.5</v>
      </c>
      <c r="G583" s="41">
        <v>244.5</v>
      </c>
      <c r="H583" s="99">
        <f t="shared" si="47"/>
        <v>100</v>
      </c>
    </row>
    <row r="584" spans="1:8" ht="39" customHeight="1">
      <c r="A584" s="16" t="s">
        <v>152</v>
      </c>
      <c r="B584" s="16" t="s">
        <v>147</v>
      </c>
      <c r="C584" s="57" t="s">
        <v>122</v>
      </c>
      <c r="D584" s="16"/>
      <c r="E584" s="102" t="s">
        <v>184</v>
      </c>
      <c r="F584" s="41">
        <f>F585</f>
        <v>111.6</v>
      </c>
      <c r="G584" s="41">
        <f>G585</f>
        <v>111.6</v>
      </c>
      <c r="H584" s="99">
        <f t="shared" si="47"/>
        <v>100</v>
      </c>
    </row>
    <row r="585" spans="1:8" ht="17.25" customHeight="1">
      <c r="A585" s="16" t="s">
        <v>152</v>
      </c>
      <c r="B585" s="16" t="s">
        <v>147</v>
      </c>
      <c r="C585" s="57" t="s">
        <v>122</v>
      </c>
      <c r="D585" s="85" t="s">
        <v>643</v>
      </c>
      <c r="E585" s="55" t="s">
        <v>644</v>
      </c>
      <c r="F585" s="41">
        <v>111.6</v>
      </c>
      <c r="G585" s="41">
        <v>111.6</v>
      </c>
      <c r="H585" s="99">
        <f t="shared" si="47"/>
        <v>100</v>
      </c>
    </row>
    <row r="586" spans="1:8" ht="51" customHeight="1">
      <c r="A586" s="16" t="s">
        <v>152</v>
      </c>
      <c r="B586" s="16" t="s">
        <v>147</v>
      </c>
      <c r="C586" s="57" t="s">
        <v>751</v>
      </c>
      <c r="D586" s="21"/>
      <c r="E586" s="54" t="s">
        <v>752</v>
      </c>
      <c r="F586" s="99">
        <f>F587</f>
        <v>53.1</v>
      </c>
      <c r="G586" s="99">
        <f>G587</f>
        <v>53.1</v>
      </c>
      <c r="H586" s="99">
        <f t="shared" si="47"/>
        <v>100</v>
      </c>
    </row>
    <row r="587" spans="1:8" ht="44.25" customHeight="1">
      <c r="A587" s="16" t="s">
        <v>152</v>
      </c>
      <c r="B587" s="16" t="s">
        <v>147</v>
      </c>
      <c r="C587" s="57" t="s">
        <v>751</v>
      </c>
      <c r="D587" s="85" t="s">
        <v>314</v>
      </c>
      <c r="E587" s="102" t="s">
        <v>315</v>
      </c>
      <c r="F587" s="99">
        <f>30+23.1</f>
        <v>53.1</v>
      </c>
      <c r="G587" s="99">
        <f>30+23.1</f>
        <v>53.1</v>
      </c>
      <c r="H587" s="99">
        <f t="shared" si="47"/>
        <v>100</v>
      </c>
    </row>
    <row r="588" spans="1:8">
      <c r="A588" s="16" t="s">
        <v>152</v>
      </c>
      <c r="B588" s="16" t="s">
        <v>147</v>
      </c>
      <c r="C588" s="52" t="s">
        <v>121</v>
      </c>
      <c r="D588" s="21"/>
      <c r="E588" s="66" t="s">
        <v>68</v>
      </c>
      <c r="F588" s="58">
        <f>F589</f>
        <v>6829.4000000000005</v>
      </c>
      <c r="G588" s="58">
        <f>G589</f>
        <v>6815.7000000000007</v>
      </c>
      <c r="H588" s="58">
        <f t="shared" si="47"/>
        <v>99.8</v>
      </c>
    </row>
    <row r="589" spans="1:8" ht="51">
      <c r="A589" s="16" t="s">
        <v>152</v>
      </c>
      <c r="B589" s="16" t="s">
        <v>147</v>
      </c>
      <c r="C589" s="74" t="s">
        <v>123</v>
      </c>
      <c r="D589" s="16"/>
      <c r="E589" s="102" t="s">
        <v>440</v>
      </c>
      <c r="F589" s="41">
        <f>SUM(F590:F592)</f>
        <v>6829.4000000000005</v>
      </c>
      <c r="G589" s="41">
        <f>SUM(G590:G592)</f>
        <v>6815.7000000000007</v>
      </c>
      <c r="H589" s="99">
        <f t="shared" si="47"/>
        <v>99.8</v>
      </c>
    </row>
    <row r="590" spans="1:8" ht="25.5">
      <c r="A590" s="16" t="s">
        <v>152</v>
      </c>
      <c r="B590" s="16" t="s">
        <v>147</v>
      </c>
      <c r="C590" s="74" t="s">
        <v>123</v>
      </c>
      <c r="D590" s="16" t="s">
        <v>102</v>
      </c>
      <c r="E590" s="55" t="s">
        <v>103</v>
      </c>
      <c r="F590" s="99">
        <f>6422.8+61.5</f>
        <v>6484.3</v>
      </c>
      <c r="G590" s="99">
        <f>6422.8+61.5</f>
        <v>6484.3</v>
      </c>
      <c r="H590" s="99">
        <f t="shared" si="47"/>
        <v>100</v>
      </c>
    </row>
    <row r="591" spans="1:8" ht="38.25">
      <c r="A591" s="16" t="s">
        <v>152</v>
      </c>
      <c r="B591" s="16" t="s">
        <v>147</v>
      </c>
      <c r="C591" s="74" t="s">
        <v>123</v>
      </c>
      <c r="D591" s="85" t="s">
        <v>314</v>
      </c>
      <c r="E591" s="102" t="s">
        <v>315</v>
      </c>
      <c r="F591" s="41">
        <f>406.6-0.1-2-61.5</f>
        <v>343</v>
      </c>
      <c r="G591" s="41">
        <v>329.3</v>
      </c>
      <c r="H591" s="99">
        <f t="shared" si="47"/>
        <v>96</v>
      </c>
    </row>
    <row r="592" spans="1:8" ht="17.25" customHeight="1">
      <c r="A592" s="16" t="s">
        <v>152</v>
      </c>
      <c r="B592" s="16" t="s">
        <v>147</v>
      </c>
      <c r="C592" s="74" t="s">
        <v>123</v>
      </c>
      <c r="D592" s="85" t="s">
        <v>180</v>
      </c>
      <c r="E592" s="102" t="s">
        <v>181</v>
      </c>
      <c r="F592" s="41">
        <f>0.1+2</f>
        <v>2.1</v>
      </c>
      <c r="G592" s="41">
        <f>0.1+2</f>
        <v>2.1</v>
      </c>
      <c r="H592" s="99">
        <f t="shared" si="47"/>
        <v>100</v>
      </c>
    </row>
    <row r="593" spans="1:8" ht="15.75">
      <c r="A593" s="4" t="s">
        <v>149</v>
      </c>
      <c r="B593" s="3"/>
      <c r="C593" s="3"/>
      <c r="D593" s="3"/>
      <c r="E593" s="49" t="s">
        <v>25</v>
      </c>
      <c r="F593" s="97">
        <f>F594+F628</f>
        <v>60053.799999999996</v>
      </c>
      <c r="G593" s="97">
        <f>G594+G628</f>
        <v>59310</v>
      </c>
      <c r="H593" s="65">
        <f t="shared" si="47"/>
        <v>98.8</v>
      </c>
    </row>
    <row r="594" spans="1:8" s="37" customFormat="1" ht="14.25">
      <c r="A594" s="35" t="s">
        <v>149</v>
      </c>
      <c r="B594" s="35" t="s">
        <v>136</v>
      </c>
      <c r="C594" s="35"/>
      <c r="D594" s="35"/>
      <c r="E594" s="45" t="s">
        <v>154</v>
      </c>
      <c r="F594" s="42">
        <f>F595+F617</f>
        <v>57075.1</v>
      </c>
      <c r="G594" s="42">
        <f>G595+G617</f>
        <v>56333.3</v>
      </c>
      <c r="H594" s="58">
        <f t="shared" si="47"/>
        <v>98.7</v>
      </c>
    </row>
    <row r="595" spans="1:8" s="37" customFormat="1" ht="53.25" customHeight="1">
      <c r="A595" s="16" t="s">
        <v>149</v>
      </c>
      <c r="B595" s="16" t="s">
        <v>136</v>
      </c>
      <c r="C595" s="73" t="s">
        <v>98</v>
      </c>
      <c r="D595" s="35"/>
      <c r="E595" s="53" t="s">
        <v>547</v>
      </c>
      <c r="F595" s="65">
        <f>F596</f>
        <v>56690.1</v>
      </c>
      <c r="G595" s="65">
        <f>G596</f>
        <v>55949.4</v>
      </c>
      <c r="H595" s="62">
        <f t="shared" si="47"/>
        <v>98.7</v>
      </c>
    </row>
    <row r="596" spans="1:8" s="37" customFormat="1" ht="25.5">
      <c r="A596" s="16" t="s">
        <v>149</v>
      </c>
      <c r="B596" s="16" t="s">
        <v>136</v>
      </c>
      <c r="C596" s="21" t="s">
        <v>99</v>
      </c>
      <c r="D596" s="35"/>
      <c r="E596" s="48" t="s">
        <v>244</v>
      </c>
      <c r="F596" s="58">
        <f>F597+F601+F603+F606+F609+F611+F613+F615</f>
        <v>56690.1</v>
      </c>
      <c r="G596" s="58">
        <f>G597+G601+G603+G606+G609+G611+G613+G615</f>
        <v>55949.4</v>
      </c>
      <c r="H596" s="58">
        <f t="shared" si="47"/>
        <v>98.7</v>
      </c>
    </row>
    <row r="597" spans="1:8" s="37" customFormat="1" ht="25.5">
      <c r="A597" s="16" t="s">
        <v>149</v>
      </c>
      <c r="B597" s="16" t="s">
        <v>136</v>
      </c>
      <c r="C597" s="74" t="s">
        <v>100</v>
      </c>
      <c r="D597" s="16"/>
      <c r="E597" s="157" t="s">
        <v>243</v>
      </c>
      <c r="F597" s="39">
        <f>SUM(F598:F600)</f>
        <v>10410</v>
      </c>
      <c r="G597" s="39">
        <f>SUM(G598:G600)</f>
        <v>10303.600000000002</v>
      </c>
      <c r="H597" s="99">
        <f t="shared" si="47"/>
        <v>99</v>
      </c>
    </row>
    <row r="598" spans="1:8" s="37" customFormat="1" ht="25.5">
      <c r="A598" s="16" t="s">
        <v>149</v>
      </c>
      <c r="B598" s="16" t="s">
        <v>136</v>
      </c>
      <c r="C598" s="74" t="s">
        <v>100</v>
      </c>
      <c r="D598" s="85" t="s">
        <v>104</v>
      </c>
      <c r="E598" s="55" t="s">
        <v>179</v>
      </c>
      <c r="F598" s="39">
        <f>5915.5-239.7</f>
        <v>5675.8</v>
      </c>
      <c r="G598" s="39">
        <f>5915.5-239.7</f>
        <v>5675.8</v>
      </c>
      <c r="H598" s="99">
        <f t="shared" si="47"/>
        <v>100</v>
      </c>
    </row>
    <row r="599" spans="1:8" s="37" customFormat="1" ht="36" customHeight="1">
      <c r="A599" s="16" t="s">
        <v>149</v>
      </c>
      <c r="B599" s="16" t="s">
        <v>136</v>
      </c>
      <c r="C599" s="74" t="s">
        <v>100</v>
      </c>
      <c r="D599" s="85" t="s">
        <v>314</v>
      </c>
      <c r="E599" s="102" t="s">
        <v>315</v>
      </c>
      <c r="F599" s="39">
        <f>4293.8+239.7-76+76+194.5</f>
        <v>4728</v>
      </c>
      <c r="G599" s="39">
        <v>4621.6000000000004</v>
      </c>
      <c r="H599" s="99">
        <f t="shared" si="47"/>
        <v>97.7</v>
      </c>
    </row>
    <row r="600" spans="1:8" s="37" customFormat="1" ht="17.25" customHeight="1">
      <c r="A600" s="16" t="s">
        <v>149</v>
      </c>
      <c r="B600" s="16" t="s">
        <v>136</v>
      </c>
      <c r="C600" s="74" t="s">
        <v>100</v>
      </c>
      <c r="D600" s="21" t="s">
        <v>180</v>
      </c>
      <c r="E600" s="102" t="s">
        <v>181</v>
      </c>
      <c r="F600" s="39">
        <v>6.2</v>
      </c>
      <c r="G600" s="39">
        <v>6.2</v>
      </c>
      <c r="H600" s="99">
        <f t="shared" si="47"/>
        <v>100</v>
      </c>
    </row>
    <row r="601" spans="1:8" s="37" customFormat="1" ht="51">
      <c r="A601" s="16" t="s">
        <v>149</v>
      </c>
      <c r="B601" s="16" t="s">
        <v>136</v>
      </c>
      <c r="C601" s="74" t="s">
        <v>60</v>
      </c>
      <c r="D601" s="16"/>
      <c r="E601" s="148" t="s">
        <v>245</v>
      </c>
      <c r="F601" s="39">
        <f>F602</f>
        <v>29625.1</v>
      </c>
      <c r="G601" s="39">
        <f>G602</f>
        <v>29625.1</v>
      </c>
      <c r="H601" s="99">
        <f t="shared" si="47"/>
        <v>100</v>
      </c>
    </row>
    <row r="602" spans="1:8" s="37" customFormat="1" ht="14.25">
      <c r="A602" s="16" t="s">
        <v>149</v>
      </c>
      <c r="B602" s="16" t="s">
        <v>136</v>
      </c>
      <c r="C602" s="74" t="s">
        <v>60</v>
      </c>
      <c r="D602" s="21" t="s">
        <v>334</v>
      </c>
      <c r="E602" s="102" t="s">
        <v>333</v>
      </c>
      <c r="F602" s="39">
        <f>30168-22-200-320.9</f>
        <v>29625.1</v>
      </c>
      <c r="G602" s="39">
        <f>30168-22-200-320.9</f>
        <v>29625.1</v>
      </c>
      <c r="H602" s="99">
        <f t="shared" si="47"/>
        <v>100</v>
      </c>
    </row>
    <row r="603" spans="1:8" s="37" customFormat="1" ht="38.25">
      <c r="A603" s="16" t="s">
        <v>149</v>
      </c>
      <c r="B603" s="16" t="s">
        <v>136</v>
      </c>
      <c r="C603" s="74" t="s">
        <v>496</v>
      </c>
      <c r="D603" s="85"/>
      <c r="E603" s="102" t="s">
        <v>490</v>
      </c>
      <c r="F603" s="39">
        <f>SUM(F604:F605)</f>
        <v>200</v>
      </c>
      <c r="G603" s="39">
        <f>SUM(G604:G605)</f>
        <v>200</v>
      </c>
      <c r="H603" s="99">
        <f t="shared" ref="H603:H635" si="48">ROUND((G603/F603*100),1)</f>
        <v>100</v>
      </c>
    </row>
    <row r="604" spans="1:8" s="37" customFormat="1" ht="25.5">
      <c r="A604" s="16" t="s">
        <v>149</v>
      </c>
      <c r="B604" s="16" t="s">
        <v>136</v>
      </c>
      <c r="C604" s="74" t="s">
        <v>496</v>
      </c>
      <c r="D604" s="85" t="s">
        <v>104</v>
      </c>
      <c r="E604" s="55" t="s">
        <v>179</v>
      </c>
      <c r="F604" s="39">
        <v>50</v>
      </c>
      <c r="G604" s="39">
        <v>50</v>
      </c>
      <c r="H604" s="99">
        <f t="shared" si="48"/>
        <v>100</v>
      </c>
    </row>
    <row r="605" spans="1:8" s="37" customFormat="1" ht="14.25">
      <c r="A605" s="16" t="s">
        <v>149</v>
      </c>
      <c r="B605" s="16" t="s">
        <v>136</v>
      </c>
      <c r="C605" s="74" t="s">
        <v>496</v>
      </c>
      <c r="D605" s="21" t="s">
        <v>334</v>
      </c>
      <c r="E605" s="102" t="s">
        <v>333</v>
      </c>
      <c r="F605" s="39">
        <v>150</v>
      </c>
      <c r="G605" s="39">
        <v>150</v>
      </c>
      <c r="H605" s="99">
        <f t="shared" si="48"/>
        <v>100</v>
      </c>
    </row>
    <row r="606" spans="1:8" s="37" customFormat="1" ht="51">
      <c r="A606" s="16" t="s">
        <v>149</v>
      </c>
      <c r="B606" s="16" t="s">
        <v>136</v>
      </c>
      <c r="C606" s="74">
        <v>210110680</v>
      </c>
      <c r="D606" s="85"/>
      <c r="E606" s="102" t="s">
        <v>633</v>
      </c>
      <c r="F606" s="39">
        <f>SUM(F607:F608)</f>
        <v>14302.1</v>
      </c>
      <c r="G606" s="39">
        <f>SUM(G607:G608)</f>
        <v>14302.1</v>
      </c>
      <c r="H606" s="99">
        <f t="shared" si="48"/>
        <v>100</v>
      </c>
    </row>
    <row r="607" spans="1:8" s="37" customFormat="1" ht="25.5">
      <c r="A607" s="16" t="s">
        <v>149</v>
      </c>
      <c r="B607" s="16" t="s">
        <v>136</v>
      </c>
      <c r="C607" s="74">
        <v>210110680</v>
      </c>
      <c r="D607" s="85" t="s">
        <v>104</v>
      </c>
      <c r="E607" s="55" t="s">
        <v>179</v>
      </c>
      <c r="F607" s="39">
        <f>3974.6+23</f>
        <v>3997.6</v>
      </c>
      <c r="G607" s="39">
        <f>3974.6+23</f>
        <v>3997.6</v>
      </c>
      <c r="H607" s="99">
        <f t="shared" si="48"/>
        <v>100</v>
      </c>
    </row>
    <row r="608" spans="1:8" s="37" customFormat="1" ht="14.25">
      <c r="A608" s="16" t="s">
        <v>149</v>
      </c>
      <c r="B608" s="16" t="s">
        <v>136</v>
      </c>
      <c r="C608" s="74">
        <v>210110680</v>
      </c>
      <c r="D608" s="21" t="s">
        <v>334</v>
      </c>
      <c r="E608" s="102" t="s">
        <v>333</v>
      </c>
      <c r="F608" s="39">
        <f>10327.5-23</f>
        <v>10304.5</v>
      </c>
      <c r="G608" s="39">
        <f>10327.5-23</f>
        <v>10304.5</v>
      </c>
      <c r="H608" s="99">
        <f t="shared" si="48"/>
        <v>100</v>
      </c>
    </row>
    <row r="609" spans="1:8" s="37" customFormat="1" ht="38.25">
      <c r="A609" s="16" t="s">
        <v>149</v>
      </c>
      <c r="B609" s="16" t="s">
        <v>136</v>
      </c>
      <c r="C609" s="74">
        <v>210210920</v>
      </c>
      <c r="D609" s="85"/>
      <c r="E609" s="102" t="s">
        <v>753</v>
      </c>
      <c r="F609" s="39">
        <f>F610</f>
        <v>50</v>
      </c>
      <c r="G609" s="39">
        <f>G610</f>
        <v>50</v>
      </c>
      <c r="H609" s="99">
        <f t="shared" si="48"/>
        <v>100</v>
      </c>
    </row>
    <row r="610" spans="1:8" s="37" customFormat="1" ht="14.25">
      <c r="A610" s="16" t="s">
        <v>149</v>
      </c>
      <c r="B610" s="16" t="s">
        <v>136</v>
      </c>
      <c r="C610" s="74">
        <v>210210920</v>
      </c>
      <c r="D610" s="21" t="s">
        <v>334</v>
      </c>
      <c r="E610" s="102" t="s">
        <v>333</v>
      </c>
      <c r="F610" s="39">
        <v>50</v>
      </c>
      <c r="G610" s="39">
        <v>50</v>
      </c>
      <c r="H610" s="99">
        <f t="shared" si="48"/>
        <v>100</v>
      </c>
    </row>
    <row r="611" spans="1:8" s="37" customFormat="1" ht="38.25">
      <c r="A611" s="16" t="s">
        <v>149</v>
      </c>
      <c r="B611" s="16" t="s">
        <v>136</v>
      </c>
      <c r="C611" s="74" t="s">
        <v>737</v>
      </c>
      <c r="D611" s="72"/>
      <c r="E611" s="160" t="s">
        <v>736</v>
      </c>
      <c r="F611" s="39">
        <f>F612</f>
        <v>207</v>
      </c>
      <c r="G611" s="39">
        <f>G612</f>
        <v>190.8</v>
      </c>
      <c r="H611" s="99">
        <f t="shared" si="48"/>
        <v>92.2</v>
      </c>
    </row>
    <row r="612" spans="1:8" s="37" customFormat="1" ht="14.25">
      <c r="A612" s="16" t="s">
        <v>149</v>
      </c>
      <c r="B612" s="16" t="s">
        <v>136</v>
      </c>
      <c r="C612" s="74" t="s">
        <v>737</v>
      </c>
      <c r="D612" s="21" t="s">
        <v>334</v>
      </c>
      <c r="E612" s="102" t="s">
        <v>333</v>
      </c>
      <c r="F612" s="39">
        <f>660-170-283</f>
        <v>207</v>
      </c>
      <c r="G612" s="39">
        <v>190.8</v>
      </c>
      <c r="H612" s="99">
        <f t="shared" si="48"/>
        <v>92.2</v>
      </c>
    </row>
    <row r="613" spans="1:8" s="37" customFormat="1" ht="25.5">
      <c r="A613" s="16" t="s">
        <v>149</v>
      </c>
      <c r="B613" s="16" t="s">
        <v>136</v>
      </c>
      <c r="C613" s="74" t="s">
        <v>738</v>
      </c>
      <c r="D613" s="21"/>
      <c r="E613" s="160" t="s">
        <v>739</v>
      </c>
      <c r="F613" s="39">
        <f>F614</f>
        <v>1484.6</v>
      </c>
      <c r="G613" s="39">
        <f>G614</f>
        <v>866.5</v>
      </c>
      <c r="H613" s="99">
        <f t="shared" si="48"/>
        <v>58.4</v>
      </c>
    </row>
    <row r="614" spans="1:8" s="37" customFormat="1" ht="14.25">
      <c r="A614" s="16" t="s">
        <v>149</v>
      </c>
      <c r="B614" s="16" t="s">
        <v>136</v>
      </c>
      <c r="C614" s="74" t="s">
        <v>738</v>
      </c>
      <c r="D614" s="21" t="s">
        <v>334</v>
      </c>
      <c r="E614" s="102" t="s">
        <v>333</v>
      </c>
      <c r="F614" s="39">
        <f>900+370-128.3+342.9</f>
        <v>1484.6</v>
      </c>
      <c r="G614" s="228">
        <v>866.5</v>
      </c>
      <c r="H614" s="99">
        <f t="shared" si="48"/>
        <v>58.4</v>
      </c>
    </row>
    <row r="615" spans="1:8" s="37" customFormat="1" ht="51">
      <c r="A615" s="16" t="s">
        <v>149</v>
      </c>
      <c r="B615" s="16" t="s">
        <v>136</v>
      </c>
      <c r="C615" s="74" t="s">
        <v>795</v>
      </c>
      <c r="D615" s="21"/>
      <c r="E615" s="160" t="s">
        <v>796</v>
      </c>
      <c r="F615" s="39">
        <f>F616</f>
        <v>411.3</v>
      </c>
      <c r="G615" s="39">
        <f>G616</f>
        <v>411.3</v>
      </c>
      <c r="H615" s="99">
        <f t="shared" si="48"/>
        <v>100</v>
      </c>
    </row>
    <row r="616" spans="1:8" s="37" customFormat="1" ht="14.25">
      <c r="A616" s="16" t="s">
        <v>149</v>
      </c>
      <c r="B616" s="16" t="s">
        <v>136</v>
      </c>
      <c r="C616" s="74" t="s">
        <v>795</v>
      </c>
      <c r="D616" s="21" t="s">
        <v>334</v>
      </c>
      <c r="E616" s="102" t="s">
        <v>333</v>
      </c>
      <c r="F616" s="39">
        <v>411.3</v>
      </c>
      <c r="G616" s="39">
        <v>411.3</v>
      </c>
      <c r="H616" s="99">
        <f t="shared" si="48"/>
        <v>100</v>
      </c>
    </row>
    <row r="617" spans="1:8" s="37" customFormat="1" ht="25.5">
      <c r="A617" s="5" t="s">
        <v>149</v>
      </c>
      <c r="B617" s="5" t="s">
        <v>136</v>
      </c>
      <c r="C617" s="87">
        <v>9900000000</v>
      </c>
      <c r="D617" s="73"/>
      <c r="E617" s="149" t="s">
        <v>195</v>
      </c>
      <c r="F617" s="100">
        <f>F618</f>
        <v>385</v>
      </c>
      <c r="G617" s="100">
        <f>G618</f>
        <v>383.9</v>
      </c>
      <c r="H617" s="62">
        <f t="shared" si="48"/>
        <v>99.7</v>
      </c>
    </row>
    <row r="618" spans="1:8" s="37" customFormat="1" ht="25.5">
      <c r="A618" s="16" t="s">
        <v>149</v>
      </c>
      <c r="B618" s="16" t="s">
        <v>136</v>
      </c>
      <c r="C618" s="85" t="s">
        <v>31</v>
      </c>
      <c r="D618" s="85"/>
      <c r="E618" s="104" t="s">
        <v>53</v>
      </c>
      <c r="F618" s="103">
        <f>F619+F622+F624+F626</f>
        <v>385</v>
      </c>
      <c r="G618" s="103">
        <f>G619+G622+G624+G626</f>
        <v>383.9</v>
      </c>
      <c r="H618" s="58">
        <f t="shared" si="48"/>
        <v>99.7</v>
      </c>
    </row>
    <row r="619" spans="1:8" s="37" customFormat="1" ht="25.5">
      <c r="A619" s="16" t="s">
        <v>149</v>
      </c>
      <c r="B619" s="16" t="s">
        <v>136</v>
      </c>
      <c r="C619" s="85" t="s">
        <v>488</v>
      </c>
      <c r="D619" s="85"/>
      <c r="E619" s="54" t="s">
        <v>468</v>
      </c>
      <c r="F619" s="103">
        <f>SUM(F620:F621)</f>
        <v>175</v>
      </c>
      <c r="G619" s="103">
        <f>SUM(G620:G621)</f>
        <v>173.9</v>
      </c>
      <c r="H619" s="99">
        <f t="shared" si="48"/>
        <v>99.4</v>
      </c>
    </row>
    <row r="620" spans="1:8" s="37" customFormat="1" ht="38.25">
      <c r="A620" s="16" t="s">
        <v>149</v>
      </c>
      <c r="B620" s="16" t="s">
        <v>136</v>
      </c>
      <c r="C620" s="85" t="s">
        <v>488</v>
      </c>
      <c r="D620" s="85" t="s">
        <v>314</v>
      </c>
      <c r="E620" s="102" t="s">
        <v>315</v>
      </c>
      <c r="F620" s="103">
        <f>175-0.8</f>
        <v>174.2</v>
      </c>
      <c r="G620" s="103">
        <v>173.1</v>
      </c>
      <c r="H620" s="99">
        <f t="shared" si="48"/>
        <v>99.4</v>
      </c>
    </row>
    <row r="621" spans="1:8" s="37" customFormat="1" ht="14.25">
      <c r="A621" s="16" t="s">
        <v>149</v>
      </c>
      <c r="B621" s="16" t="s">
        <v>136</v>
      </c>
      <c r="C621" s="85" t="s">
        <v>488</v>
      </c>
      <c r="D621" s="85" t="s">
        <v>466</v>
      </c>
      <c r="E621" s="102" t="s">
        <v>467</v>
      </c>
      <c r="F621" s="103">
        <v>0.8</v>
      </c>
      <c r="G621" s="103">
        <v>0.8</v>
      </c>
      <c r="H621" s="99">
        <f t="shared" si="48"/>
        <v>100</v>
      </c>
    </row>
    <row r="622" spans="1:8" s="37" customFormat="1" ht="25.5">
      <c r="A622" s="16" t="s">
        <v>149</v>
      </c>
      <c r="B622" s="16" t="s">
        <v>136</v>
      </c>
      <c r="C622" s="85" t="s">
        <v>729</v>
      </c>
      <c r="D622" s="16"/>
      <c r="E622" s="54" t="s">
        <v>468</v>
      </c>
      <c r="F622" s="41">
        <f>SUM(F623:F623)</f>
        <v>30</v>
      </c>
      <c r="G622" s="41">
        <f>SUM(G623:G623)</f>
        <v>30</v>
      </c>
      <c r="H622" s="99">
        <f t="shared" si="48"/>
        <v>100</v>
      </c>
    </row>
    <row r="623" spans="1:8" s="37" customFormat="1" ht="14.25">
      <c r="A623" s="16" t="s">
        <v>149</v>
      </c>
      <c r="B623" s="16" t="s">
        <v>136</v>
      </c>
      <c r="C623" s="85" t="s">
        <v>729</v>
      </c>
      <c r="D623" s="85" t="s">
        <v>334</v>
      </c>
      <c r="E623" s="102" t="s">
        <v>333</v>
      </c>
      <c r="F623" s="41">
        <v>30</v>
      </c>
      <c r="G623" s="41">
        <v>30</v>
      </c>
      <c r="H623" s="99">
        <f t="shared" si="48"/>
        <v>100</v>
      </c>
    </row>
    <row r="624" spans="1:8" s="37" customFormat="1" ht="38.25">
      <c r="A624" s="16" t="s">
        <v>149</v>
      </c>
      <c r="B624" s="16" t="s">
        <v>136</v>
      </c>
      <c r="C624" s="85" t="s">
        <v>589</v>
      </c>
      <c r="D624" s="16"/>
      <c r="E624" s="54" t="s">
        <v>590</v>
      </c>
      <c r="F624" s="41">
        <f>F625</f>
        <v>130</v>
      </c>
      <c r="G624" s="41">
        <f>G625</f>
        <v>130</v>
      </c>
      <c r="H624" s="99">
        <f t="shared" si="48"/>
        <v>100</v>
      </c>
    </row>
    <row r="625" spans="1:8" s="37" customFormat="1" ht="38.25">
      <c r="A625" s="16" t="s">
        <v>149</v>
      </c>
      <c r="B625" s="16" t="s">
        <v>136</v>
      </c>
      <c r="C625" s="85" t="s">
        <v>589</v>
      </c>
      <c r="D625" s="85" t="s">
        <v>314</v>
      </c>
      <c r="E625" s="102" t="s">
        <v>315</v>
      </c>
      <c r="F625" s="41">
        <v>130</v>
      </c>
      <c r="G625" s="41">
        <v>130</v>
      </c>
      <c r="H625" s="99">
        <f t="shared" si="48"/>
        <v>100</v>
      </c>
    </row>
    <row r="626" spans="1:8" s="37" customFormat="1" ht="38.25">
      <c r="A626" s="16" t="s">
        <v>149</v>
      </c>
      <c r="B626" s="16" t="s">
        <v>136</v>
      </c>
      <c r="C626" s="85" t="s">
        <v>632</v>
      </c>
      <c r="D626" s="85"/>
      <c r="E626" s="54" t="s">
        <v>590</v>
      </c>
      <c r="F626" s="41">
        <f>F627</f>
        <v>50</v>
      </c>
      <c r="G626" s="41">
        <f>G627</f>
        <v>50</v>
      </c>
      <c r="H626" s="99">
        <f t="shared" si="48"/>
        <v>100</v>
      </c>
    </row>
    <row r="627" spans="1:8" s="37" customFormat="1" ht="14.25">
      <c r="A627" s="16" t="s">
        <v>149</v>
      </c>
      <c r="B627" s="16" t="s">
        <v>136</v>
      </c>
      <c r="C627" s="85" t="s">
        <v>632</v>
      </c>
      <c r="D627" s="21" t="s">
        <v>334</v>
      </c>
      <c r="E627" s="102" t="s">
        <v>333</v>
      </c>
      <c r="F627" s="41">
        <v>50</v>
      </c>
      <c r="G627" s="41">
        <v>50</v>
      </c>
      <c r="H627" s="99">
        <f t="shared" si="48"/>
        <v>100</v>
      </c>
    </row>
    <row r="628" spans="1:8" ht="25.5">
      <c r="A628" s="35" t="s">
        <v>149</v>
      </c>
      <c r="B628" s="35" t="s">
        <v>142</v>
      </c>
      <c r="C628" s="35"/>
      <c r="D628" s="35"/>
      <c r="E628" s="46" t="s">
        <v>7</v>
      </c>
      <c r="F628" s="42">
        <f>F629+F640</f>
        <v>2978.7000000000003</v>
      </c>
      <c r="G628" s="42">
        <f>G629+G640</f>
        <v>2976.7000000000003</v>
      </c>
      <c r="H628" s="58">
        <f t="shared" si="48"/>
        <v>99.9</v>
      </c>
    </row>
    <row r="629" spans="1:8" ht="49.5" customHeight="1">
      <c r="A629" s="5" t="s">
        <v>149</v>
      </c>
      <c r="B629" s="5" t="s">
        <v>142</v>
      </c>
      <c r="C629" s="73" t="s">
        <v>98</v>
      </c>
      <c r="D629" s="35"/>
      <c r="E629" s="53" t="s">
        <v>547</v>
      </c>
      <c r="F629" s="65">
        <f>F630+F635</f>
        <v>2943.7000000000003</v>
      </c>
      <c r="G629" s="65">
        <f>G630+G635</f>
        <v>2941.7000000000003</v>
      </c>
      <c r="H629" s="62">
        <f t="shared" si="48"/>
        <v>99.9</v>
      </c>
    </row>
    <row r="630" spans="1:8" ht="25.5">
      <c r="A630" s="16" t="s">
        <v>149</v>
      </c>
      <c r="B630" s="16" t="s">
        <v>142</v>
      </c>
      <c r="C630" s="21" t="s">
        <v>99</v>
      </c>
      <c r="D630" s="35"/>
      <c r="E630" s="48" t="s">
        <v>244</v>
      </c>
      <c r="F630" s="42">
        <f>F631+F633</f>
        <v>240</v>
      </c>
      <c r="G630" s="42">
        <f>G631+G633</f>
        <v>240</v>
      </c>
      <c r="H630" s="58">
        <f t="shared" si="48"/>
        <v>100</v>
      </c>
    </row>
    <row r="631" spans="1:8" ht="38.25">
      <c r="A631" s="16" t="s">
        <v>149</v>
      </c>
      <c r="B631" s="16" t="s">
        <v>142</v>
      </c>
      <c r="C631" s="21" t="s">
        <v>325</v>
      </c>
      <c r="D631" s="35"/>
      <c r="E631" s="102" t="s">
        <v>248</v>
      </c>
      <c r="F631" s="41">
        <f>F632</f>
        <v>140</v>
      </c>
      <c r="G631" s="41">
        <f>G632</f>
        <v>140</v>
      </c>
      <c r="H631" s="99">
        <f t="shared" si="48"/>
        <v>100</v>
      </c>
    </row>
    <row r="632" spans="1:8" ht="38.25">
      <c r="A632" s="16" t="s">
        <v>149</v>
      </c>
      <c r="B632" s="16" t="s">
        <v>142</v>
      </c>
      <c r="C632" s="21" t="s">
        <v>325</v>
      </c>
      <c r="D632" s="85" t="s">
        <v>314</v>
      </c>
      <c r="E632" s="102" t="s">
        <v>315</v>
      </c>
      <c r="F632" s="41">
        <v>140</v>
      </c>
      <c r="G632" s="41">
        <v>140</v>
      </c>
      <c r="H632" s="99">
        <f t="shared" si="48"/>
        <v>100</v>
      </c>
    </row>
    <row r="633" spans="1:8" ht="25.5">
      <c r="A633" s="16" t="s">
        <v>149</v>
      </c>
      <c r="B633" s="16" t="s">
        <v>142</v>
      </c>
      <c r="C633" s="21" t="s">
        <v>754</v>
      </c>
      <c r="D633" s="85"/>
      <c r="E633" s="102" t="s">
        <v>755</v>
      </c>
      <c r="F633" s="41">
        <f>F634</f>
        <v>100</v>
      </c>
      <c r="G633" s="41">
        <f>G634</f>
        <v>100</v>
      </c>
      <c r="H633" s="99">
        <f t="shared" si="48"/>
        <v>100</v>
      </c>
    </row>
    <row r="634" spans="1:8" ht="38.25">
      <c r="A634" s="16" t="s">
        <v>149</v>
      </c>
      <c r="B634" s="16" t="s">
        <v>142</v>
      </c>
      <c r="C634" s="21" t="s">
        <v>754</v>
      </c>
      <c r="D634" s="85" t="s">
        <v>314</v>
      </c>
      <c r="E634" s="102" t="s">
        <v>315</v>
      </c>
      <c r="F634" s="41">
        <v>100</v>
      </c>
      <c r="G634" s="41">
        <v>100</v>
      </c>
      <c r="H634" s="99">
        <f t="shared" si="48"/>
        <v>100</v>
      </c>
    </row>
    <row r="635" spans="1:8">
      <c r="A635" s="16" t="s">
        <v>149</v>
      </c>
      <c r="B635" s="16" t="s">
        <v>142</v>
      </c>
      <c r="C635" s="52" t="s">
        <v>41</v>
      </c>
      <c r="D635" s="21"/>
      <c r="E635" s="66" t="s">
        <v>68</v>
      </c>
      <c r="F635" s="58">
        <f>F636</f>
        <v>2703.7000000000003</v>
      </c>
      <c r="G635" s="58">
        <f>G636</f>
        <v>2701.7000000000003</v>
      </c>
      <c r="H635" s="58">
        <f t="shared" si="48"/>
        <v>99.9</v>
      </c>
    </row>
    <row r="636" spans="1:8" ht="63.75">
      <c r="A636" s="16" t="s">
        <v>149</v>
      </c>
      <c r="B636" s="16" t="s">
        <v>142</v>
      </c>
      <c r="C636" s="82" t="s">
        <v>257</v>
      </c>
      <c r="D636" s="21"/>
      <c r="E636" s="102" t="s">
        <v>388</v>
      </c>
      <c r="F636" s="99">
        <f>SUM(F637:F639)</f>
        <v>2703.7000000000003</v>
      </c>
      <c r="G636" s="99">
        <f>SUM(G637:G639)</f>
        <v>2701.7000000000003</v>
      </c>
      <c r="H636" s="99">
        <f t="shared" ref="H636:H653" si="49">ROUND((G636/F636*100),1)</f>
        <v>99.9</v>
      </c>
    </row>
    <row r="637" spans="1:8" ht="25.5">
      <c r="A637" s="16" t="s">
        <v>149</v>
      </c>
      <c r="B637" s="16" t="s">
        <v>142</v>
      </c>
      <c r="C637" s="82" t="s">
        <v>257</v>
      </c>
      <c r="D637" s="16" t="s">
        <v>102</v>
      </c>
      <c r="E637" s="55" t="s">
        <v>103</v>
      </c>
      <c r="F637" s="99">
        <f>2675.9-12.5-0.8</f>
        <v>2662.6</v>
      </c>
      <c r="G637" s="99">
        <f>2675.9-12.5-0.8</f>
        <v>2662.6</v>
      </c>
      <c r="H637" s="99">
        <f t="shared" si="49"/>
        <v>100</v>
      </c>
    </row>
    <row r="638" spans="1:8" ht="38.25">
      <c r="A638" s="16" t="s">
        <v>149</v>
      </c>
      <c r="B638" s="16" t="s">
        <v>142</v>
      </c>
      <c r="C638" s="82" t="s">
        <v>257</v>
      </c>
      <c r="D638" s="85" t="s">
        <v>314</v>
      </c>
      <c r="E638" s="102" t="s">
        <v>315</v>
      </c>
      <c r="F638" s="41">
        <f>27.8+12.5</f>
        <v>40.299999999999997</v>
      </c>
      <c r="G638" s="41">
        <v>38.299999999999997</v>
      </c>
      <c r="H638" s="99">
        <f t="shared" si="49"/>
        <v>95</v>
      </c>
    </row>
    <row r="639" spans="1:8" ht="18.75" customHeight="1">
      <c r="A639" s="16" t="s">
        <v>149</v>
      </c>
      <c r="B639" s="16" t="s">
        <v>142</v>
      </c>
      <c r="C639" s="82" t="s">
        <v>257</v>
      </c>
      <c r="D639" s="21" t="s">
        <v>180</v>
      </c>
      <c r="E639" s="102" t="s">
        <v>181</v>
      </c>
      <c r="F639" s="41">
        <v>0.8</v>
      </c>
      <c r="G639" s="41">
        <v>0.8</v>
      </c>
      <c r="H639" s="99">
        <f t="shared" si="49"/>
        <v>100</v>
      </c>
    </row>
    <row r="640" spans="1:8" ht="29.25" customHeight="1">
      <c r="A640" s="5" t="s">
        <v>149</v>
      </c>
      <c r="B640" s="5" t="s">
        <v>142</v>
      </c>
      <c r="C640" s="87">
        <v>9900000000</v>
      </c>
      <c r="D640" s="73"/>
      <c r="E640" s="149" t="s">
        <v>195</v>
      </c>
      <c r="F640" s="100">
        <f>F641</f>
        <v>35</v>
      </c>
      <c r="G640" s="100">
        <f>G641</f>
        <v>35</v>
      </c>
      <c r="H640" s="62">
        <f t="shared" si="49"/>
        <v>100</v>
      </c>
    </row>
    <row r="641" spans="1:8" ht="27" customHeight="1">
      <c r="A641" s="16" t="s">
        <v>149</v>
      </c>
      <c r="B641" s="16" t="s">
        <v>142</v>
      </c>
      <c r="C641" s="85" t="s">
        <v>31</v>
      </c>
      <c r="D641" s="85"/>
      <c r="E641" s="104" t="s">
        <v>53</v>
      </c>
      <c r="F641" s="103">
        <f>F642</f>
        <v>35</v>
      </c>
      <c r="G641" s="103">
        <f>G642</f>
        <v>35</v>
      </c>
      <c r="H641" s="99">
        <f t="shared" si="49"/>
        <v>100</v>
      </c>
    </row>
    <row r="642" spans="1:8" ht="26.25" customHeight="1">
      <c r="A642" s="16" t="s">
        <v>149</v>
      </c>
      <c r="B642" s="16" t="s">
        <v>142</v>
      </c>
      <c r="C642" s="85" t="s">
        <v>488</v>
      </c>
      <c r="D642" s="85"/>
      <c r="E642" s="54" t="s">
        <v>468</v>
      </c>
      <c r="F642" s="103">
        <f>SUM(F643)</f>
        <v>35</v>
      </c>
      <c r="G642" s="103">
        <f>SUM(G643)</f>
        <v>35</v>
      </c>
      <c r="H642" s="99">
        <f t="shared" si="49"/>
        <v>100</v>
      </c>
    </row>
    <row r="643" spans="1:8" ht="39.75" customHeight="1">
      <c r="A643" s="16" t="s">
        <v>149</v>
      </c>
      <c r="B643" s="16" t="s">
        <v>142</v>
      </c>
      <c r="C643" s="85" t="s">
        <v>488</v>
      </c>
      <c r="D643" s="85" t="s">
        <v>314</v>
      </c>
      <c r="E643" s="102" t="s">
        <v>315</v>
      </c>
      <c r="F643" s="103">
        <v>35</v>
      </c>
      <c r="G643" s="103">
        <v>35</v>
      </c>
      <c r="H643" s="99">
        <f t="shared" si="49"/>
        <v>100</v>
      </c>
    </row>
    <row r="644" spans="1:8" ht="15.75">
      <c r="A644" s="4" t="s">
        <v>158</v>
      </c>
      <c r="B644" s="3"/>
      <c r="C644" s="3"/>
      <c r="D644" s="3"/>
      <c r="E644" s="10" t="s">
        <v>159</v>
      </c>
      <c r="F644" s="97">
        <f>F645+F650+F665</f>
        <v>40520.800000000003</v>
      </c>
      <c r="G644" s="97">
        <f>G645+G650+G665</f>
        <v>36493.1</v>
      </c>
      <c r="H644" s="206">
        <f t="shared" si="49"/>
        <v>90.1</v>
      </c>
    </row>
    <row r="645" spans="1:8" s="37" customFormat="1" ht="14.25">
      <c r="A645" s="35" t="s">
        <v>158</v>
      </c>
      <c r="B645" s="35" t="s">
        <v>136</v>
      </c>
      <c r="C645" s="35"/>
      <c r="D645" s="35"/>
      <c r="E645" s="45" t="s">
        <v>160</v>
      </c>
      <c r="F645" s="42">
        <f t="shared" ref="F645:G648" si="50">F646</f>
        <v>2773</v>
      </c>
      <c r="G645" s="42">
        <f t="shared" si="50"/>
        <v>2773</v>
      </c>
      <c r="H645" s="42">
        <f t="shared" si="49"/>
        <v>100</v>
      </c>
    </row>
    <row r="646" spans="1:8" ht="51.75" customHeight="1">
      <c r="A646" s="5" t="s">
        <v>158</v>
      </c>
      <c r="B646" s="5" t="s">
        <v>136</v>
      </c>
      <c r="C646" s="73" t="s">
        <v>45</v>
      </c>
      <c r="D646" s="3"/>
      <c r="E646" s="64" t="s">
        <v>542</v>
      </c>
      <c r="F646" s="100">
        <f t="shared" si="50"/>
        <v>2773</v>
      </c>
      <c r="G646" s="100">
        <f t="shared" si="50"/>
        <v>2773</v>
      </c>
      <c r="H646" s="62">
        <f t="shared" si="49"/>
        <v>100</v>
      </c>
    </row>
    <row r="647" spans="1:8" ht="26.25">
      <c r="A647" s="16" t="s">
        <v>158</v>
      </c>
      <c r="B647" s="16" t="s">
        <v>136</v>
      </c>
      <c r="C647" s="52" t="s">
        <v>47</v>
      </c>
      <c r="D647" s="3"/>
      <c r="E647" s="46" t="s">
        <v>128</v>
      </c>
      <c r="F647" s="98">
        <f t="shared" si="50"/>
        <v>2773</v>
      </c>
      <c r="G647" s="98">
        <f t="shared" si="50"/>
        <v>2773</v>
      </c>
      <c r="H647" s="58">
        <f t="shared" si="49"/>
        <v>100</v>
      </c>
    </row>
    <row r="648" spans="1:8" ht="26.25">
      <c r="A648" s="16" t="s">
        <v>158</v>
      </c>
      <c r="B648" s="16" t="s">
        <v>136</v>
      </c>
      <c r="C648" s="80" t="s">
        <v>213</v>
      </c>
      <c r="D648" s="3"/>
      <c r="E648" s="158" t="s">
        <v>682</v>
      </c>
      <c r="F648" s="41">
        <f t="shared" si="50"/>
        <v>2773</v>
      </c>
      <c r="G648" s="41">
        <f t="shared" si="50"/>
        <v>2773</v>
      </c>
      <c r="H648" s="99">
        <f t="shared" si="49"/>
        <v>100</v>
      </c>
    </row>
    <row r="649" spans="1:8" ht="25.5">
      <c r="A649" s="16" t="s">
        <v>158</v>
      </c>
      <c r="B649" s="16" t="s">
        <v>136</v>
      </c>
      <c r="C649" s="80" t="s">
        <v>213</v>
      </c>
      <c r="D649" s="85" t="s">
        <v>412</v>
      </c>
      <c r="E649" s="102" t="s">
        <v>413</v>
      </c>
      <c r="F649" s="39">
        <f>2497.4+275.6</f>
        <v>2773</v>
      </c>
      <c r="G649" s="39">
        <f>2497.4+275.6</f>
        <v>2773</v>
      </c>
      <c r="H649" s="99">
        <f t="shared" si="49"/>
        <v>100</v>
      </c>
    </row>
    <row r="650" spans="1:8" s="37" customFormat="1" ht="14.25">
      <c r="A650" s="35" t="s">
        <v>158</v>
      </c>
      <c r="B650" s="35" t="s">
        <v>141</v>
      </c>
      <c r="C650" s="35"/>
      <c r="D650" s="35"/>
      <c r="E650" s="45" t="s">
        <v>164</v>
      </c>
      <c r="F650" s="42">
        <f>F651+F655+F661</f>
        <v>3260</v>
      </c>
      <c r="G650" s="42">
        <f>G651+G655+G661</f>
        <v>3084.8</v>
      </c>
      <c r="H650" s="98">
        <f t="shared" ref="H650" si="51">H651</f>
        <v>86.8</v>
      </c>
    </row>
    <row r="651" spans="1:8" s="37" customFormat="1" ht="39">
      <c r="A651" s="5" t="s">
        <v>158</v>
      </c>
      <c r="B651" s="5" t="s">
        <v>141</v>
      </c>
      <c r="C651" s="21" t="s">
        <v>118</v>
      </c>
      <c r="D651" s="35"/>
      <c r="E651" s="64" t="s">
        <v>543</v>
      </c>
      <c r="F651" s="65">
        <f t="shared" ref="F651:G653" si="52">F652</f>
        <v>1332</v>
      </c>
      <c r="G651" s="65">
        <f t="shared" si="52"/>
        <v>1156.8</v>
      </c>
      <c r="H651" s="62">
        <f t="shared" si="49"/>
        <v>86.8</v>
      </c>
    </row>
    <row r="652" spans="1:8" s="37" customFormat="1" ht="25.5">
      <c r="A652" s="16" t="s">
        <v>158</v>
      </c>
      <c r="B652" s="16" t="s">
        <v>141</v>
      </c>
      <c r="C652" s="52" t="s">
        <v>119</v>
      </c>
      <c r="D652" s="35"/>
      <c r="E652" s="46" t="s">
        <v>59</v>
      </c>
      <c r="F652" s="58">
        <f t="shared" si="52"/>
        <v>1332</v>
      </c>
      <c r="G652" s="58">
        <f t="shared" si="52"/>
        <v>1156.8</v>
      </c>
      <c r="H652" s="58">
        <f t="shared" si="49"/>
        <v>86.8</v>
      </c>
    </row>
    <row r="653" spans="1:8" s="37" customFormat="1" ht="89.25">
      <c r="A653" s="16" t="s">
        <v>158</v>
      </c>
      <c r="B653" s="16" t="s">
        <v>141</v>
      </c>
      <c r="C653" s="21" t="s">
        <v>558</v>
      </c>
      <c r="D653" s="35"/>
      <c r="E653" s="102" t="s">
        <v>259</v>
      </c>
      <c r="F653" s="99">
        <f t="shared" si="52"/>
        <v>1332</v>
      </c>
      <c r="G653" s="99">
        <f t="shared" si="52"/>
        <v>1156.8</v>
      </c>
      <c r="H653" s="99">
        <f t="shared" si="49"/>
        <v>86.8</v>
      </c>
    </row>
    <row r="654" spans="1:8" s="37" customFormat="1" ht="25.5">
      <c r="A654" s="16" t="s">
        <v>158</v>
      </c>
      <c r="B654" s="16" t="s">
        <v>141</v>
      </c>
      <c r="C654" s="21" t="s">
        <v>558</v>
      </c>
      <c r="D654" s="84" t="s">
        <v>412</v>
      </c>
      <c r="E654" s="102" t="s">
        <v>413</v>
      </c>
      <c r="F654" s="99">
        <v>1332</v>
      </c>
      <c r="G654" s="99">
        <v>1156.8</v>
      </c>
      <c r="H654" s="99">
        <f t="shared" ref="H654" si="53">ROUND((G654/F654*100),1)</f>
        <v>86.8</v>
      </c>
    </row>
    <row r="655" spans="1:8" s="37" customFormat="1" ht="51.75" customHeight="1">
      <c r="A655" s="5" t="s">
        <v>158</v>
      </c>
      <c r="B655" s="5" t="s">
        <v>141</v>
      </c>
      <c r="C655" s="73" t="s">
        <v>45</v>
      </c>
      <c r="D655" s="3"/>
      <c r="E655" s="64" t="s">
        <v>542</v>
      </c>
      <c r="F655" s="59">
        <f>F656</f>
        <v>868</v>
      </c>
      <c r="G655" s="59">
        <f>G656</f>
        <v>868</v>
      </c>
      <c r="H655" s="59">
        <f t="shared" ref="H655" si="54">SUM(H656:H656)</f>
        <v>0</v>
      </c>
    </row>
    <row r="656" spans="1:8" s="37" customFormat="1" ht="25.5">
      <c r="A656" s="47" t="s">
        <v>158</v>
      </c>
      <c r="B656" s="47" t="s">
        <v>141</v>
      </c>
      <c r="C656" s="52" t="s">
        <v>47</v>
      </c>
      <c r="D656" s="16"/>
      <c r="E656" s="46" t="s">
        <v>128</v>
      </c>
      <c r="F656" s="98">
        <f>F657+F659</f>
        <v>868</v>
      </c>
      <c r="G656" s="98">
        <f>G657+G659</f>
        <v>868</v>
      </c>
      <c r="H656" s="58">
        <v>0</v>
      </c>
    </row>
    <row r="657" spans="1:8" s="37" customFormat="1" ht="38.25">
      <c r="A657" s="16" t="s">
        <v>158</v>
      </c>
      <c r="B657" s="16" t="s">
        <v>141</v>
      </c>
      <c r="C657" s="80" t="s">
        <v>214</v>
      </c>
      <c r="D657" s="16"/>
      <c r="E657" s="102" t="s">
        <v>239</v>
      </c>
      <c r="F657" s="41">
        <f>F658</f>
        <v>230</v>
      </c>
      <c r="G657" s="41">
        <f>G658</f>
        <v>230</v>
      </c>
      <c r="H657" s="99">
        <f t="shared" ref="H657:H660" si="55">ROUND((G657/F657*100),1)</f>
        <v>100</v>
      </c>
    </row>
    <row r="658" spans="1:8" s="37" customFormat="1" ht="14.25">
      <c r="A658" s="16" t="s">
        <v>158</v>
      </c>
      <c r="B658" s="16" t="s">
        <v>141</v>
      </c>
      <c r="C658" s="80" t="s">
        <v>214</v>
      </c>
      <c r="D658" s="16" t="s">
        <v>129</v>
      </c>
      <c r="E658" s="102" t="s">
        <v>130</v>
      </c>
      <c r="F658" s="41">
        <f>200+30</f>
        <v>230</v>
      </c>
      <c r="G658" s="41">
        <f>200+30</f>
        <v>230</v>
      </c>
      <c r="H658" s="99">
        <f t="shared" si="55"/>
        <v>100</v>
      </c>
    </row>
    <row r="659" spans="1:8" s="37" customFormat="1" ht="51">
      <c r="A659" s="16" t="s">
        <v>158</v>
      </c>
      <c r="B659" s="16" t="s">
        <v>141</v>
      </c>
      <c r="C659" s="80" t="s">
        <v>215</v>
      </c>
      <c r="D659" s="16"/>
      <c r="E659" s="102" t="s">
        <v>3</v>
      </c>
      <c r="F659" s="41">
        <f>F660</f>
        <v>638</v>
      </c>
      <c r="G659" s="41">
        <f>G660</f>
        <v>638</v>
      </c>
      <c r="H659" s="99">
        <f t="shared" si="55"/>
        <v>100</v>
      </c>
    </row>
    <row r="660" spans="1:8" s="37" customFormat="1" ht="65.25" customHeight="1">
      <c r="A660" s="16" t="s">
        <v>158</v>
      </c>
      <c r="B660" s="16" t="s">
        <v>141</v>
      </c>
      <c r="C660" s="80" t="s">
        <v>215</v>
      </c>
      <c r="D660" s="16" t="s">
        <v>24</v>
      </c>
      <c r="E660" s="104" t="s">
        <v>666</v>
      </c>
      <c r="F660" s="41">
        <f>588+80-30</f>
        <v>638</v>
      </c>
      <c r="G660" s="41">
        <f>588+80-30</f>
        <v>638</v>
      </c>
      <c r="H660" s="99">
        <f t="shared" si="55"/>
        <v>100</v>
      </c>
    </row>
    <row r="661" spans="1:8" s="37" customFormat="1" ht="51">
      <c r="A661" s="16" t="s">
        <v>158</v>
      </c>
      <c r="B661" s="16" t="s">
        <v>141</v>
      </c>
      <c r="C661" s="74">
        <v>400000000</v>
      </c>
      <c r="D661" s="16"/>
      <c r="E661" s="64" t="s">
        <v>520</v>
      </c>
      <c r="F661" s="62">
        <f t="shared" ref="F661:G663" si="56">F662</f>
        <v>1060</v>
      </c>
      <c r="G661" s="62">
        <f t="shared" si="56"/>
        <v>1060</v>
      </c>
      <c r="H661" s="100">
        <f t="shared" ref="H661" si="57">SUM(H662:H662)</f>
        <v>0</v>
      </c>
    </row>
    <row r="662" spans="1:8" s="37" customFormat="1" ht="102" customHeight="1">
      <c r="A662" s="16" t="s">
        <v>158</v>
      </c>
      <c r="B662" s="16" t="s">
        <v>141</v>
      </c>
      <c r="C662" s="75">
        <v>430000000</v>
      </c>
      <c r="D662" s="16"/>
      <c r="E662" s="46" t="s">
        <v>459</v>
      </c>
      <c r="F662" s="39">
        <f t="shared" si="56"/>
        <v>1060</v>
      </c>
      <c r="G662" s="39">
        <f t="shared" si="56"/>
        <v>1060</v>
      </c>
      <c r="H662" s="58">
        <v>0</v>
      </c>
    </row>
    <row r="663" spans="1:8" s="37" customFormat="1" ht="102">
      <c r="A663" s="16" t="s">
        <v>158</v>
      </c>
      <c r="B663" s="16" t="s">
        <v>141</v>
      </c>
      <c r="C663" s="80" t="s">
        <v>235</v>
      </c>
      <c r="D663" s="16"/>
      <c r="E663" s="102" t="s">
        <v>521</v>
      </c>
      <c r="F663" s="41">
        <f t="shared" si="56"/>
        <v>1060</v>
      </c>
      <c r="G663" s="41">
        <f t="shared" si="56"/>
        <v>1060</v>
      </c>
      <c r="H663" s="99">
        <f t="shared" ref="H663:H715" si="58">ROUND((G663/F663*100),1)</f>
        <v>100</v>
      </c>
    </row>
    <row r="664" spans="1:8" s="37" customFormat="1" ht="63.75">
      <c r="A664" s="16" t="s">
        <v>158</v>
      </c>
      <c r="B664" s="16" t="s">
        <v>141</v>
      </c>
      <c r="C664" s="80" t="s">
        <v>235</v>
      </c>
      <c r="D664" s="85" t="s">
        <v>15</v>
      </c>
      <c r="E664" s="102" t="s">
        <v>696</v>
      </c>
      <c r="F664" s="41">
        <f>600+300+160</f>
        <v>1060</v>
      </c>
      <c r="G664" s="41">
        <f>600+300+160</f>
        <v>1060</v>
      </c>
      <c r="H664" s="99">
        <f t="shared" si="58"/>
        <v>100</v>
      </c>
    </row>
    <row r="665" spans="1:8" ht="14.25">
      <c r="A665" s="35" t="s">
        <v>158</v>
      </c>
      <c r="B665" s="35" t="s">
        <v>142</v>
      </c>
      <c r="C665" s="35"/>
      <c r="D665" s="38"/>
      <c r="E665" s="50" t="s">
        <v>16</v>
      </c>
      <c r="F665" s="42">
        <f>F666+F671</f>
        <v>34487.800000000003</v>
      </c>
      <c r="G665" s="42">
        <f>G666+G671</f>
        <v>30635.3</v>
      </c>
      <c r="H665" s="214">
        <f t="shared" si="58"/>
        <v>88.8</v>
      </c>
    </row>
    <row r="666" spans="1:8" ht="38.25">
      <c r="A666" s="16" t="s">
        <v>158</v>
      </c>
      <c r="B666" s="16" t="s">
        <v>142</v>
      </c>
      <c r="C666" s="21" t="s">
        <v>118</v>
      </c>
      <c r="D666" s="35"/>
      <c r="E666" s="64" t="s">
        <v>543</v>
      </c>
      <c r="F666" s="100">
        <f>F667</f>
        <v>10900.2</v>
      </c>
      <c r="G666" s="100">
        <f>G667</f>
        <v>7445.2</v>
      </c>
      <c r="H666" s="62">
        <f t="shared" si="58"/>
        <v>68.3</v>
      </c>
    </row>
    <row r="667" spans="1:8" ht="25.5">
      <c r="A667" s="16" t="s">
        <v>158</v>
      </c>
      <c r="B667" s="16" t="s">
        <v>142</v>
      </c>
      <c r="C667" s="52" t="s">
        <v>119</v>
      </c>
      <c r="D667" s="35"/>
      <c r="E667" s="46" t="s">
        <v>59</v>
      </c>
      <c r="F667" s="98">
        <f>F668</f>
        <v>10900.2</v>
      </c>
      <c r="G667" s="98">
        <f>G668</f>
        <v>7445.2</v>
      </c>
      <c r="H667" s="58">
        <f t="shared" si="58"/>
        <v>68.3</v>
      </c>
    </row>
    <row r="668" spans="1:8" ht="38.25">
      <c r="A668" s="16" t="s">
        <v>158</v>
      </c>
      <c r="B668" s="16" t="s">
        <v>142</v>
      </c>
      <c r="C668" s="84" t="s">
        <v>556</v>
      </c>
      <c r="D668" s="21"/>
      <c r="E668" s="102" t="s">
        <v>429</v>
      </c>
      <c r="F668" s="99">
        <f>SUM(F669:F670)</f>
        <v>10900.2</v>
      </c>
      <c r="G668" s="99">
        <f>SUM(G669:G670)</f>
        <v>7445.2</v>
      </c>
      <c r="H668" s="99">
        <f t="shared" si="58"/>
        <v>68.3</v>
      </c>
    </row>
    <row r="669" spans="1:8" ht="38.25">
      <c r="A669" s="16" t="s">
        <v>158</v>
      </c>
      <c r="B669" s="16" t="s">
        <v>142</v>
      </c>
      <c r="C669" s="84" t="s">
        <v>556</v>
      </c>
      <c r="D669" s="85" t="s">
        <v>314</v>
      </c>
      <c r="E669" s="102" t="s">
        <v>315</v>
      </c>
      <c r="F669" s="99">
        <f>155+100</f>
        <v>255</v>
      </c>
      <c r="G669" s="200">
        <v>156</v>
      </c>
      <c r="H669" s="99">
        <f t="shared" si="58"/>
        <v>61.2</v>
      </c>
    </row>
    <row r="670" spans="1:8" ht="27" customHeight="1">
      <c r="A670" s="16" t="s">
        <v>158</v>
      </c>
      <c r="B670" s="16" t="s">
        <v>142</v>
      </c>
      <c r="C670" s="84" t="s">
        <v>556</v>
      </c>
      <c r="D670" s="85" t="s">
        <v>387</v>
      </c>
      <c r="E670" s="102" t="s">
        <v>373</v>
      </c>
      <c r="F670" s="99">
        <f>10745.2-100</f>
        <v>10645.2</v>
      </c>
      <c r="G670" s="200">
        <v>7289.2</v>
      </c>
      <c r="H670" s="99">
        <f t="shared" si="58"/>
        <v>68.5</v>
      </c>
    </row>
    <row r="671" spans="1:8" ht="51.75" customHeight="1">
      <c r="A671" s="5" t="s">
        <v>158</v>
      </c>
      <c r="B671" s="5" t="s">
        <v>142</v>
      </c>
      <c r="C671" s="73" t="s">
        <v>45</v>
      </c>
      <c r="D671" s="3"/>
      <c r="E671" s="64" t="s">
        <v>542</v>
      </c>
      <c r="F671" s="59">
        <f>F672</f>
        <v>23587.599999999999</v>
      </c>
      <c r="G671" s="59">
        <f t="shared" ref="G671" si="59">G672</f>
        <v>23190.1</v>
      </c>
      <c r="H671" s="65">
        <f t="shared" si="58"/>
        <v>98.3</v>
      </c>
    </row>
    <row r="672" spans="1:8" ht="25.5">
      <c r="A672" s="47" t="s">
        <v>158</v>
      </c>
      <c r="B672" s="47" t="s">
        <v>142</v>
      </c>
      <c r="C672" s="52" t="s">
        <v>46</v>
      </c>
      <c r="D672" s="35"/>
      <c r="E672" s="46" t="s">
        <v>131</v>
      </c>
      <c r="F672" s="98">
        <f>F673+F675+F677+F679+F681</f>
        <v>23587.599999999999</v>
      </c>
      <c r="G672" s="98">
        <f t="shared" ref="G672" si="60">G673+G675+G677+G679+G681</f>
        <v>23190.1</v>
      </c>
      <c r="H672" s="58">
        <f t="shared" si="58"/>
        <v>98.3</v>
      </c>
    </row>
    <row r="673" spans="1:8" ht="39">
      <c r="A673" s="16" t="s">
        <v>158</v>
      </c>
      <c r="B673" s="16" t="s">
        <v>142</v>
      </c>
      <c r="C673" s="21" t="s">
        <v>472</v>
      </c>
      <c r="D673" s="3"/>
      <c r="E673" s="167" t="s">
        <v>299</v>
      </c>
      <c r="F673" s="41">
        <f>F674</f>
        <v>820</v>
      </c>
      <c r="G673" s="41">
        <f t="shared" ref="G673" si="61">G674</f>
        <v>820</v>
      </c>
      <c r="H673" s="99">
        <f t="shared" si="58"/>
        <v>100</v>
      </c>
    </row>
    <row r="674" spans="1:8">
      <c r="A674" s="16" t="s">
        <v>158</v>
      </c>
      <c r="B674" s="16" t="s">
        <v>142</v>
      </c>
      <c r="C674" s="21" t="s">
        <v>472</v>
      </c>
      <c r="D674" s="85" t="s">
        <v>372</v>
      </c>
      <c r="E674" s="107" t="s">
        <v>371</v>
      </c>
      <c r="F674" s="41">
        <f>627.3+209.1+2.5-18.9</f>
        <v>820</v>
      </c>
      <c r="G674" s="41">
        <f>627.3+209.1+2.5-18.9</f>
        <v>820</v>
      </c>
      <c r="H674" s="99">
        <f t="shared" si="58"/>
        <v>100</v>
      </c>
    </row>
    <row r="675" spans="1:8" ht="38.25">
      <c r="A675" s="16" t="s">
        <v>158</v>
      </c>
      <c r="B675" s="16" t="s">
        <v>142</v>
      </c>
      <c r="C675" s="21" t="s">
        <v>760</v>
      </c>
      <c r="D675" s="85"/>
      <c r="E675" s="54" t="s">
        <v>761</v>
      </c>
      <c r="F675" s="41">
        <f>F676</f>
        <v>3355.8</v>
      </c>
      <c r="G675" s="41">
        <f t="shared" ref="G675" si="62">G676</f>
        <v>3280</v>
      </c>
      <c r="H675" s="99">
        <f t="shared" si="58"/>
        <v>97.7</v>
      </c>
    </row>
    <row r="676" spans="1:8">
      <c r="A676" s="16" t="s">
        <v>158</v>
      </c>
      <c r="B676" s="16" t="s">
        <v>142</v>
      </c>
      <c r="C676" s="21" t="s">
        <v>760</v>
      </c>
      <c r="D676" s="85" t="s">
        <v>372</v>
      </c>
      <c r="E676" s="107" t="s">
        <v>371</v>
      </c>
      <c r="F676" s="41">
        <v>3355.8</v>
      </c>
      <c r="G676" s="41">
        <v>3280</v>
      </c>
      <c r="H676" s="99">
        <f t="shared" si="58"/>
        <v>97.7</v>
      </c>
    </row>
    <row r="677" spans="1:8" ht="51">
      <c r="A677" s="16" t="s">
        <v>158</v>
      </c>
      <c r="B677" s="16" t="s">
        <v>142</v>
      </c>
      <c r="C677" s="80">
        <v>1310210820</v>
      </c>
      <c r="D677" s="16"/>
      <c r="E677" s="102" t="s">
        <v>238</v>
      </c>
      <c r="F677" s="39">
        <f>F678</f>
        <v>4893.7999999999993</v>
      </c>
      <c r="G677" s="39">
        <f t="shared" ref="G677" si="63">G678</f>
        <v>4893.7999999999993</v>
      </c>
      <c r="H677" s="99">
        <f t="shared" si="58"/>
        <v>100</v>
      </c>
    </row>
    <row r="678" spans="1:8">
      <c r="A678" s="16" t="s">
        <v>158</v>
      </c>
      <c r="B678" s="16" t="s">
        <v>142</v>
      </c>
      <c r="C678" s="80">
        <v>1310210820</v>
      </c>
      <c r="D678" s="85" t="s">
        <v>372</v>
      </c>
      <c r="E678" s="107" t="s">
        <v>371</v>
      </c>
      <c r="F678" s="39">
        <f>1957.6+2936.2</f>
        <v>4893.7999999999993</v>
      </c>
      <c r="G678" s="39">
        <f>1957.6+2936.2</f>
        <v>4893.7999999999993</v>
      </c>
      <c r="H678" s="99">
        <f t="shared" si="58"/>
        <v>100</v>
      </c>
    </row>
    <row r="679" spans="1:8" ht="38.25">
      <c r="A679" s="16" t="s">
        <v>158</v>
      </c>
      <c r="B679" s="16" t="s">
        <v>142</v>
      </c>
      <c r="C679" s="80" t="s">
        <v>601</v>
      </c>
      <c r="D679" s="16"/>
      <c r="E679" s="102" t="s">
        <v>484</v>
      </c>
      <c r="F679" s="39">
        <f>F680</f>
        <v>978.80000000000018</v>
      </c>
      <c r="G679" s="39">
        <f t="shared" ref="G679" si="64">G680</f>
        <v>978.80000000000018</v>
      </c>
      <c r="H679" s="99">
        <f t="shared" si="58"/>
        <v>100</v>
      </c>
    </row>
    <row r="680" spans="1:8">
      <c r="A680" s="16" t="s">
        <v>158</v>
      </c>
      <c r="B680" s="16" t="s">
        <v>142</v>
      </c>
      <c r="C680" s="80" t="s">
        <v>601</v>
      </c>
      <c r="D680" s="85" t="s">
        <v>372</v>
      </c>
      <c r="E680" s="107" t="s">
        <v>371</v>
      </c>
      <c r="F680" s="39">
        <f>4893.8-3915</f>
        <v>978.80000000000018</v>
      </c>
      <c r="G680" s="39">
        <f>4893.8-3915</f>
        <v>978.80000000000018</v>
      </c>
      <c r="H680" s="99">
        <f t="shared" si="58"/>
        <v>100</v>
      </c>
    </row>
    <row r="681" spans="1:8" ht="51">
      <c r="A681" s="16" t="s">
        <v>158</v>
      </c>
      <c r="B681" s="16" t="s">
        <v>142</v>
      </c>
      <c r="C681" s="74" t="s">
        <v>535</v>
      </c>
      <c r="D681" s="16"/>
      <c r="E681" s="102" t="s">
        <v>500</v>
      </c>
      <c r="F681" s="99">
        <f>F682</f>
        <v>13539.2</v>
      </c>
      <c r="G681" s="99">
        <f t="shared" ref="G681" si="65">G682</f>
        <v>13217.5</v>
      </c>
      <c r="H681" s="99">
        <f t="shared" si="58"/>
        <v>97.6</v>
      </c>
    </row>
    <row r="682" spans="1:8" ht="32.25" customHeight="1">
      <c r="A682" s="16" t="s">
        <v>158</v>
      </c>
      <c r="B682" s="16" t="s">
        <v>142</v>
      </c>
      <c r="C682" s="74" t="s">
        <v>535</v>
      </c>
      <c r="D682" s="85" t="s">
        <v>387</v>
      </c>
      <c r="E682" s="102" t="s">
        <v>373</v>
      </c>
      <c r="F682" s="99">
        <v>13539.2</v>
      </c>
      <c r="G682" s="99">
        <v>13217.5</v>
      </c>
      <c r="H682" s="99">
        <f t="shared" si="58"/>
        <v>97.6</v>
      </c>
    </row>
    <row r="683" spans="1:8" ht="15.75">
      <c r="A683" s="4" t="s">
        <v>150</v>
      </c>
      <c r="B683" s="3"/>
      <c r="C683" s="3"/>
      <c r="D683" s="3"/>
      <c r="E683" s="49" t="s">
        <v>171</v>
      </c>
      <c r="F683" s="97">
        <f>F684</f>
        <v>314.89999999999998</v>
      </c>
      <c r="G683" s="97">
        <f t="shared" ref="G683:G685" si="66">G684</f>
        <v>304.09999999999997</v>
      </c>
      <c r="H683" s="65">
        <f t="shared" si="58"/>
        <v>96.6</v>
      </c>
    </row>
    <row r="684" spans="1:8" s="37" customFormat="1" ht="14.25">
      <c r="A684" s="35" t="s">
        <v>150</v>
      </c>
      <c r="B684" s="35" t="s">
        <v>137</v>
      </c>
      <c r="C684" s="35"/>
      <c r="D684" s="35"/>
      <c r="E684" s="46" t="s">
        <v>6</v>
      </c>
      <c r="F684" s="42">
        <f>F685</f>
        <v>314.89999999999998</v>
      </c>
      <c r="G684" s="42">
        <f t="shared" si="66"/>
        <v>304.09999999999997</v>
      </c>
      <c r="H684" s="58">
        <f t="shared" si="58"/>
        <v>96.6</v>
      </c>
    </row>
    <row r="685" spans="1:8" s="37" customFormat="1" ht="52.5" customHeight="1">
      <c r="A685" s="16" t="s">
        <v>150</v>
      </c>
      <c r="B685" s="16" t="s">
        <v>137</v>
      </c>
      <c r="C685" s="73" t="s">
        <v>98</v>
      </c>
      <c r="D685" s="35"/>
      <c r="E685" s="53" t="s">
        <v>547</v>
      </c>
      <c r="F685" s="62">
        <f>F686</f>
        <v>314.89999999999998</v>
      </c>
      <c r="G685" s="62">
        <f t="shared" si="66"/>
        <v>304.09999999999997</v>
      </c>
      <c r="H685" s="62">
        <f t="shared" si="58"/>
        <v>96.6</v>
      </c>
    </row>
    <row r="686" spans="1:8" s="37" customFormat="1" ht="25.5">
      <c r="A686" s="47" t="s">
        <v>150</v>
      </c>
      <c r="B686" s="47" t="s">
        <v>137</v>
      </c>
      <c r="C686" s="52" t="s">
        <v>62</v>
      </c>
      <c r="D686" s="35"/>
      <c r="E686" s="48" t="s">
        <v>298</v>
      </c>
      <c r="F686" s="58">
        <f>F687+F689</f>
        <v>314.89999999999998</v>
      </c>
      <c r="G686" s="58">
        <f t="shared" ref="G686" si="67">G687+G689</f>
        <v>304.09999999999997</v>
      </c>
      <c r="H686" s="99">
        <f t="shared" si="58"/>
        <v>96.6</v>
      </c>
    </row>
    <row r="687" spans="1:8" s="37" customFormat="1" ht="76.5">
      <c r="A687" s="16" t="s">
        <v>150</v>
      </c>
      <c r="B687" s="16" t="s">
        <v>137</v>
      </c>
      <c r="C687" s="21" t="s">
        <v>63</v>
      </c>
      <c r="D687" s="21"/>
      <c r="E687" s="104" t="s">
        <v>250</v>
      </c>
      <c r="F687" s="39">
        <f>F688</f>
        <v>282.2</v>
      </c>
      <c r="G687" s="39">
        <f>G688</f>
        <v>282.2</v>
      </c>
      <c r="H687" s="99">
        <f t="shared" si="58"/>
        <v>100</v>
      </c>
    </row>
    <row r="688" spans="1:8" s="37" customFormat="1" ht="38.25">
      <c r="A688" s="16" t="s">
        <v>150</v>
      </c>
      <c r="B688" s="16" t="s">
        <v>137</v>
      </c>
      <c r="C688" s="21" t="s">
        <v>63</v>
      </c>
      <c r="D688" s="85" t="s">
        <v>314</v>
      </c>
      <c r="E688" s="102" t="s">
        <v>315</v>
      </c>
      <c r="F688" s="39">
        <v>282.2</v>
      </c>
      <c r="G688" s="39">
        <v>282.2</v>
      </c>
      <c r="H688" s="99">
        <f t="shared" si="58"/>
        <v>100</v>
      </c>
    </row>
    <row r="689" spans="1:8" s="37" customFormat="1" ht="51">
      <c r="A689" s="16" t="s">
        <v>150</v>
      </c>
      <c r="B689" s="16" t="s">
        <v>137</v>
      </c>
      <c r="C689" s="21" t="s">
        <v>64</v>
      </c>
      <c r="D689" s="21"/>
      <c r="E689" s="104" t="s">
        <v>101</v>
      </c>
      <c r="F689" s="39">
        <f>SUM(F690:F691)</f>
        <v>32.700000000000003</v>
      </c>
      <c r="G689" s="39">
        <f>SUM(G690:G691)</f>
        <v>21.9</v>
      </c>
      <c r="H689" s="99">
        <f t="shared" si="58"/>
        <v>67</v>
      </c>
    </row>
    <row r="690" spans="1:8" s="37" customFormat="1" ht="25.5">
      <c r="A690" s="16" t="s">
        <v>150</v>
      </c>
      <c r="B690" s="16" t="s">
        <v>137</v>
      </c>
      <c r="C690" s="21" t="s">
        <v>64</v>
      </c>
      <c r="D690" s="85" t="s">
        <v>104</v>
      </c>
      <c r="E690" s="55" t="s">
        <v>179</v>
      </c>
      <c r="F690" s="39">
        <v>27.4</v>
      </c>
      <c r="G690" s="39">
        <v>21.9</v>
      </c>
      <c r="H690" s="99">
        <f t="shared" si="58"/>
        <v>79.900000000000006</v>
      </c>
    </row>
    <row r="691" spans="1:8" ht="43.5" customHeight="1">
      <c r="A691" s="16" t="s">
        <v>150</v>
      </c>
      <c r="B691" s="16" t="s">
        <v>137</v>
      </c>
      <c r="C691" s="21" t="s">
        <v>64</v>
      </c>
      <c r="D691" s="85" t="s">
        <v>314</v>
      </c>
      <c r="E691" s="102" t="s">
        <v>315</v>
      </c>
      <c r="F691" s="39">
        <f>52.4-27.4-19.7</f>
        <v>5.3000000000000007</v>
      </c>
      <c r="G691" s="39">
        <v>0</v>
      </c>
      <c r="H691" s="99">
        <f t="shared" si="58"/>
        <v>0</v>
      </c>
    </row>
    <row r="692" spans="1:8" ht="20.25" customHeight="1">
      <c r="A692" s="4" t="s">
        <v>170</v>
      </c>
      <c r="B692" s="3"/>
      <c r="C692" s="3"/>
      <c r="D692" s="3"/>
      <c r="E692" s="49" t="s">
        <v>8</v>
      </c>
      <c r="F692" s="97">
        <f t="shared" ref="F692:G694" si="68">F693</f>
        <v>3054.5</v>
      </c>
      <c r="G692" s="97">
        <f t="shared" si="68"/>
        <v>3044</v>
      </c>
      <c r="H692" s="206">
        <f t="shared" si="58"/>
        <v>99.7</v>
      </c>
    </row>
    <row r="693" spans="1:8" ht="27.75" customHeight="1">
      <c r="A693" s="35" t="s">
        <v>170</v>
      </c>
      <c r="B693" s="35" t="s">
        <v>142</v>
      </c>
      <c r="C693" s="35"/>
      <c r="D693" s="35"/>
      <c r="E693" s="50" t="s">
        <v>19</v>
      </c>
      <c r="F693" s="40">
        <f t="shared" si="68"/>
        <v>3054.5</v>
      </c>
      <c r="G693" s="40">
        <f t="shared" si="68"/>
        <v>3044</v>
      </c>
      <c r="H693" s="214">
        <f t="shared" si="58"/>
        <v>99.7</v>
      </c>
    </row>
    <row r="694" spans="1:8" s="20" customFormat="1" ht="51.75">
      <c r="A694" s="16" t="s">
        <v>170</v>
      </c>
      <c r="B694" s="16" t="s">
        <v>142</v>
      </c>
      <c r="C694" s="74">
        <v>400000000</v>
      </c>
      <c r="D694" s="30"/>
      <c r="E694" s="64" t="s">
        <v>520</v>
      </c>
      <c r="F694" s="100">
        <f t="shared" si="68"/>
        <v>3054.5</v>
      </c>
      <c r="G694" s="100">
        <f t="shared" si="68"/>
        <v>3044</v>
      </c>
      <c r="H694" s="62">
        <f t="shared" si="58"/>
        <v>99.7</v>
      </c>
    </row>
    <row r="695" spans="1:8" s="20" customFormat="1" ht="39.75" customHeight="1">
      <c r="A695" s="16" t="s">
        <v>170</v>
      </c>
      <c r="B695" s="16" t="s">
        <v>142</v>
      </c>
      <c r="C695" s="75">
        <v>420000000</v>
      </c>
      <c r="D695" s="30"/>
      <c r="E695" s="46" t="s">
        <v>232</v>
      </c>
      <c r="F695" s="98">
        <f>F696+F698+F700+F702+F704+F706+F708</f>
        <v>3054.5</v>
      </c>
      <c r="G695" s="98">
        <f>G696+G698+G700+G702+G704+G706+G708</f>
        <v>3044</v>
      </c>
      <c r="H695" s="58">
        <f t="shared" si="58"/>
        <v>99.7</v>
      </c>
    </row>
    <row r="696" spans="1:8" s="20" customFormat="1" ht="38.25" customHeight="1">
      <c r="A696" s="16" t="s">
        <v>170</v>
      </c>
      <c r="B696" s="16" t="s">
        <v>142</v>
      </c>
      <c r="C696" s="74" t="s">
        <v>473</v>
      </c>
      <c r="D696" s="16"/>
      <c r="E696" s="102" t="s">
        <v>634</v>
      </c>
      <c r="F696" s="41">
        <f>F697</f>
        <v>300</v>
      </c>
      <c r="G696" s="41">
        <f>G697</f>
        <v>300</v>
      </c>
      <c r="H696" s="99">
        <f t="shared" si="58"/>
        <v>100</v>
      </c>
    </row>
    <row r="697" spans="1:8" s="20" customFormat="1" ht="65.25" customHeight="1">
      <c r="A697" s="16" t="s">
        <v>170</v>
      </c>
      <c r="B697" s="16" t="s">
        <v>142</v>
      </c>
      <c r="C697" s="74" t="s">
        <v>473</v>
      </c>
      <c r="D697" s="16" t="s">
        <v>24</v>
      </c>
      <c r="E697" s="166" t="s">
        <v>665</v>
      </c>
      <c r="F697" s="41">
        <v>300</v>
      </c>
      <c r="G697" s="41">
        <v>300</v>
      </c>
      <c r="H697" s="99">
        <f t="shared" si="58"/>
        <v>100</v>
      </c>
    </row>
    <row r="698" spans="1:8" s="20" customFormat="1" ht="76.5" customHeight="1">
      <c r="A698" s="16" t="s">
        <v>170</v>
      </c>
      <c r="B698" s="16" t="s">
        <v>142</v>
      </c>
      <c r="C698" s="74" t="s">
        <v>124</v>
      </c>
      <c r="D698" s="30"/>
      <c r="E698" s="102" t="s">
        <v>241</v>
      </c>
      <c r="F698" s="41">
        <f>F699</f>
        <v>300</v>
      </c>
      <c r="G698" s="41">
        <f t="shared" ref="G698" si="69">G699</f>
        <v>299.60000000000002</v>
      </c>
      <c r="H698" s="99">
        <f t="shared" si="58"/>
        <v>99.9</v>
      </c>
    </row>
    <row r="699" spans="1:8" s="20" customFormat="1" ht="38.25">
      <c r="A699" s="16" t="s">
        <v>170</v>
      </c>
      <c r="B699" s="16" t="s">
        <v>142</v>
      </c>
      <c r="C699" s="74" t="s">
        <v>124</v>
      </c>
      <c r="D699" s="85" t="s">
        <v>314</v>
      </c>
      <c r="E699" s="102" t="s">
        <v>315</v>
      </c>
      <c r="F699" s="41">
        <v>300</v>
      </c>
      <c r="G699" s="41">
        <v>299.60000000000002</v>
      </c>
      <c r="H699" s="99">
        <f t="shared" si="58"/>
        <v>99.9</v>
      </c>
    </row>
    <row r="700" spans="1:8" s="20" customFormat="1" ht="76.5">
      <c r="A700" s="16" t="s">
        <v>170</v>
      </c>
      <c r="B700" s="16" t="s">
        <v>142</v>
      </c>
      <c r="C700" s="74" t="s">
        <v>233</v>
      </c>
      <c r="D700" s="30"/>
      <c r="E700" s="102" t="s">
        <v>303</v>
      </c>
      <c r="F700" s="41">
        <f>F701</f>
        <v>240</v>
      </c>
      <c r="G700" s="41">
        <f t="shared" ref="G700" si="70">G701</f>
        <v>229.9</v>
      </c>
      <c r="H700" s="99">
        <f t="shared" si="58"/>
        <v>95.8</v>
      </c>
    </row>
    <row r="701" spans="1:8" s="20" customFormat="1" ht="38.25">
      <c r="A701" s="16" t="s">
        <v>170</v>
      </c>
      <c r="B701" s="16" t="s">
        <v>142</v>
      </c>
      <c r="C701" s="74" t="s">
        <v>233</v>
      </c>
      <c r="D701" s="85" t="s">
        <v>314</v>
      </c>
      <c r="E701" s="102" t="s">
        <v>315</v>
      </c>
      <c r="F701" s="41">
        <v>240</v>
      </c>
      <c r="G701" s="41">
        <v>229.9</v>
      </c>
      <c r="H701" s="99">
        <f t="shared" si="58"/>
        <v>95.8</v>
      </c>
    </row>
    <row r="702" spans="1:8" s="20" customFormat="1" ht="78.75" customHeight="1">
      <c r="A702" s="16" t="s">
        <v>170</v>
      </c>
      <c r="B702" s="16" t="s">
        <v>142</v>
      </c>
      <c r="C702" s="74" t="s">
        <v>234</v>
      </c>
      <c r="D702" s="16"/>
      <c r="E702" s="102" t="s">
        <v>61</v>
      </c>
      <c r="F702" s="41">
        <f>F703</f>
        <v>1251.5999999999999</v>
      </c>
      <c r="G702" s="41">
        <f t="shared" ref="G702" si="71">G703</f>
        <v>1251.5999999999999</v>
      </c>
      <c r="H702" s="99">
        <f t="shared" si="58"/>
        <v>100</v>
      </c>
    </row>
    <row r="703" spans="1:8" s="20" customFormat="1" ht="38.25">
      <c r="A703" s="16" t="s">
        <v>170</v>
      </c>
      <c r="B703" s="16" t="s">
        <v>142</v>
      </c>
      <c r="C703" s="74" t="s">
        <v>234</v>
      </c>
      <c r="D703" s="85" t="s">
        <v>314</v>
      </c>
      <c r="E703" s="102" t="s">
        <v>315</v>
      </c>
      <c r="F703" s="41">
        <f>951.6+300</f>
        <v>1251.5999999999999</v>
      </c>
      <c r="G703" s="41">
        <v>1251.5999999999999</v>
      </c>
      <c r="H703" s="99">
        <f t="shared" si="58"/>
        <v>100</v>
      </c>
    </row>
    <row r="704" spans="1:8" s="20" customFormat="1" ht="38.25">
      <c r="A704" s="16" t="s">
        <v>170</v>
      </c>
      <c r="B704" s="16" t="s">
        <v>142</v>
      </c>
      <c r="C704" s="74">
        <v>420110320</v>
      </c>
      <c r="D704" s="16"/>
      <c r="E704" s="102" t="s">
        <v>699</v>
      </c>
      <c r="F704" s="41">
        <f>F705</f>
        <v>877.9</v>
      </c>
      <c r="G704" s="41">
        <f t="shared" ref="G704" si="72">G705</f>
        <v>877.9</v>
      </c>
      <c r="H704" s="99">
        <f t="shared" si="58"/>
        <v>100</v>
      </c>
    </row>
    <row r="705" spans="1:8" s="20" customFormat="1" ht="68.25" customHeight="1">
      <c r="A705" s="16" t="s">
        <v>170</v>
      </c>
      <c r="B705" s="16" t="s">
        <v>142</v>
      </c>
      <c r="C705" s="74">
        <v>420110320</v>
      </c>
      <c r="D705" s="16" t="s">
        <v>24</v>
      </c>
      <c r="E705" s="104" t="s">
        <v>666</v>
      </c>
      <c r="F705" s="41">
        <f>873.1+4.8</f>
        <v>877.9</v>
      </c>
      <c r="G705" s="41">
        <f>873.1+4.8</f>
        <v>877.9</v>
      </c>
      <c r="H705" s="99">
        <f t="shared" si="58"/>
        <v>100</v>
      </c>
    </row>
    <row r="706" spans="1:8" s="20" customFormat="1" ht="39.75" customHeight="1">
      <c r="A706" s="16" t="s">
        <v>170</v>
      </c>
      <c r="B706" s="16" t="s">
        <v>142</v>
      </c>
      <c r="C706" s="74" t="s">
        <v>742</v>
      </c>
      <c r="D706" s="16"/>
      <c r="E706" s="102" t="s">
        <v>743</v>
      </c>
      <c r="F706" s="41">
        <f>F707</f>
        <v>10</v>
      </c>
      <c r="G706" s="41">
        <f t="shared" ref="G706" si="73">G707</f>
        <v>10</v>
      </c>
      <c r="H706" s="99">
        <f t="shared" si="58"/>
        <v>100</v>
      </c>
    </row>
    <row r="707" spans="1:8" s="20" customFormat="1" ht="63.75" customHeight="1">
      <c r="A707" s="16" t="s">
        <v>170</v>
      </c>
      <c r="B707" s="16" t="s">
        <v>142</v>
      </c>
      <c r="C707" s="74" t="s">
        <v>742</v>
      </c>
      <c r="D707" s="16" t="s">
        <v>24</v>
      </c>
      <c r="E707" s="104" t="s">
        <v>666</v>
      </c>
      <c r="F707" s="41">
        <v>10</v>
      </c>
      <c r="G707" s="41">
        <v>10</v>
      </c>
      <c r="H707" s="99">
        <f t="shared" si="58"/>
        <v>100</v>
      </c>
    </row>
    <row r="708" spans="1:8" s="20" customFormat="1" ht="54" customHeight="1">
      <c r="A708" s="16" t="s">
        <v>170</v>
      </c>
      <c r="B708" s="16" t="s">
        <v>142</v>
      </c>
      <c r="C708" s="74">
        <v>420110490</v>
      </c>
      <c r="D708" s="16"/>
      <c r="E708" s="160" t="s">
        <v>788</v>
      </c>
      <c r="F708" s="41">
        <f>F709</f>
        <v>75</v>
      </c>
      <c r="G708" s="41">
        <f t="shared" ref="G708" si="74">G709</f>
        <v>75</v>
      </c>
      <c r="H708" s="99">
        <f t="shared" si="58"/>
        <v>100</v>
      </c>
    </row>
    <row r="709" spans="1:8" s="20" customFormat="1" ht="66" customHeight="1">
      <c r="A709" s="16" t="s">
        <v>170</v>
      </c>
      <c r="B709" s="16" t="s">
        <v>142</v>
      </c>
      <c r="C709" s="74">
        <v>420110490</v>
      </c>
      <c r="D709" s="16" t="s">
        <v>24</v>
      </c>
      <c r="E709" s="104" t="s">
        <v>666</v>
      </c>
      <c r="F709" s="41">
        <v>75</v>
      </c>
      <c r="G709" s="41">
        <v>75</v>
      </c>
      <c r="H709" s="99">
        <f t="shared" si="58"/>
        <v>100</v>
      </c>
    </row>
    <row r="710" spans="1:8" s="20" customFormat="1" ht="34.5" customHeight="1">
      <c r="A710" s="4" t="s">
        <v>9</v>
      </c>
      <c r="B710" s="3"/>
      <c r="C710" s="10"/>
      <c r="D710" s="16"/>
      <c r="E710" s="49" t="s">
        <v>11</v>
      </c>
      <c r="F710" s="97">
        <f>F711</f>
        <v>35</v>
      </c>
      <c r="G710" s="97">
        <f t="shared" ref="G710:G714" si="75">G711</f>
        <v>34.299999999999997</v>
      </c>
      <c r="H710" s="206">
        <f t="shared" si="58"/>
        <v>98</v>
      </c>
    </row>
    <row r="711" spans="1:8" s="20" customFormat="1" ht="26.25">
      <c r="A711" s="47" t="s">
        <v>9</v>
      </c>
      <c r="B711" s="47" t="s">
        <v>136</v>
      </c>
      <c r="C711" s="48"/>
      <c r="D711" s="47"/>
      <c r="E711" s="48" t="s">
        <v>289</v>
      </c>
      <c r="F711" s="98">
        <f>F712</f>
        <v>35</v>
      </c>
      <c r="G711" s="98">
        <f t="shared" si="75"/>
        <v>34.299999999999997</v>
      </c>
      <c r="H711" s="58">
        <f t="shared" si="58"/>
        <v>98</v>
      </c>
    </row>
    <row r="712" spans="1:8" s="20" customFormat="1" ht="25.5">
      <c r="A712" s="16" t="s">
        <v>9</v>
      </c>
      <c r="B712" s="16" t="s">
        <v>136</v>
      </c>
      <c r="C712" s="80">
        <v>9900000000</v>
      </c>
      <c r="D712" s="35"/>
      <c r="E712" s="55" t="s">
        <v>195</v>
      </c>
      <c r="F712" s="39">
        <f>F713</f>
        <v>35</v>
      </c>
      <c r="G712" s="39">
        <f t="shared" si="75"/>
        <v>34.299999999999997</v>
      </c>
      <c r="H712" s="99">
        <f t="shared" si="58"/>
        <v>98</v>
      </c>
    </row>
    <row r="713" spans="1:8" s="20" customFormat="1" ht="26.25">
      <c r="A713" s="16" t="s">
        <v>9</v>
      </c>
      <c r="B713" s="16" t="s">
        <v>136</v>
      </c>
      <c r="C713" s="80">
        <v>9940000000</v>
      </c>
      <c r="D713" s="16"/>
      <c r="E713" s="22" t="s">
        <v>53</v>
      </c>
      <c r="F713" s="39">
        <f>F714</f>
        <v>35</v>
      </c>
      <c r="G713" s="39">
        <f t="shared" si="75"/>
        <v>34.299999999999997</v>
      </c>
      <c r="H713" s="99">
        <f t="shared" si="58"/>
        <v>98</v>
      </c>
    </row>
    <row r="714" spans="1:8" s="20" customFormat="1" ht="26.25">
      <c r="A714" s="16" t="s">
        <v>9</v>
      </c>
      <c r="B714" s="16" t="s">
        <v>136</v>
      </c>
      <c r="C714" s="80" t="s">
        <v>424</v>
      </c>
      <c r="D714" s="16"/>
      <c r="E714" s="104" t="s">
        <v>12</v>
      </c>
      <c r="F714" s="39">
        <f>F715</f>
        <v>35</v>
      </c>
      <c r="G714" s="39">
        <f t="shared" si="75"/>
        <v>34.299999999999997</v>
      </c>
      <c r="H714" s="99">
        <f t="shared" si="58"/>
        <v>98</v>
      </c>
    </row>
    <row r="715" spans="1:8" s="20" customFormat="1" ht="15">
      <c r="A715" s="16" t="s">
        <v>9</v>
      </c>
      <c r="B715" s="16" t="s">
        <v>136</v>
      </c>
      <c r="C715" s="80" t="s">
        <v>424</v>
      </c>
      <c r="D715" s="16" t="s">
        <v>17</v>
      </c>
      <c r="E715" s="102" t="s">
        <v>18</v>
      </c>
      <c r="F715" s="39">
        <v>35</v>
      </c>
      <c r="G715" s="39">
        <v>34.299999999999997</v>
      </c>
      <c r="H715" s="99">
        <f t="shared" si="58"/>
        <v>98</v>
      </c>
    </row>
    <row r="721" spans="6:6">
      <c r="F721" s="108"/>
    </row>
    <row r="723" spans="6:6">
      <c r="F723" s="108"/>
    </row>
  </sheetData>
  <mergeCells count="10">
    <mergeCell ref="F12:F14"/>
    <mergeCell ref="A8:H8"/>
    <mergeCell ref="A11:A14"/>
    <mergeCell ref="B11:B14"/>
    <mergeCell ref="C11:C14"/>
    <mergeCell ref="D11:D14"/>
    <mergeCell ref="E11:E14"/>
    <mergeCell ref="F11:H11"/>
    <mergeCell ref="G12:G14"/>
    <mergeCell ref="H12:H14"/>
  </mergeCells>
  <pageMargins left="0.7" right="0.7" top="0.75" bottom="0.75" header="0.3" footer="0.3"/>
  <pageSetup paperSize="9" scale="87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824"/>
  <sheetViews>
    <sheetView topLeftCell="B1" zoomScaleNormal="100" workbookViewId="0">
      <selection activeCell="G3" sqref="G3"/>
    </sheetView>
  </sheetViews>
  <sheetFormatPr defaultColWidth="9.140625" defaultRowHeight="12.75"/>
  <cols>
    <col min="1" max="1" width="2.28515625" style="95" hidden="1" customWidth="1"/>
    <col min="2" max="2" width="3.7109375" style="68" customWidth="1"/>
    <col min="3" max="3" width="2.85546875" style="95" customWidth="1"/>
    <col min="4" max="4" width="2.5703125" style="95" customWidth="1"/>
    <col min="5" max="5" width="11.5703125" style="95" customWidth="1"/>
    <col min="6" max="6" width="3.42578125" style="95" customWidth="1"/>
    <col min="7" max="7" width="36.5703125" style="95" customWidth="1"/>
    <col min="8" max="9" width="10.5703125" style="95" customWidth="1"/>
    <col min="10" max="10" width="6.7109375" style="95" customWidth="1"/>
    <col min="11" max="16384" width="9.140625" style="95"/>
  </cols>
  <sheetData>
    <row r="1" spans="1:10" s="137" customFormat="1">
      <c r="B1" s="245" t="s">
        <v>134</v>
      </c>
      <c r="C1" s="245"/>
      <c r="G1" s="165" t="s">
        <v>690</v>
      </c>
      <c r="H1" s="90"/>
      <c r="I1" s="90"/>
      <c r="J1" s="90"/>
    </row>
    <row r="2" spans="1:10" s="137" customFormat="1">
      <c r="B2" s="246" t="s">
        <v>186</v>
      </c>
      <c r="C2" s="246"/>
      <c r="G2" s="165" t="s">
        <v>730</v>
      </c>
      <c r="H2" s="89"/>
      <c r="I2" s="90"/>
      <c r="J2" s="90"/>
    </row>
    <row r="3" spans="1:10" s="137" customFormat="1">
      <c r="B3" s="245" t="s">
        <v>177</v>
      </c>
      <c r="C3" s="245"/>
      <c r="G3" s="165" t="s">
        <v>896</v>
      </c>
      <c r="H3" s="89"/>
      <c r="I3" s="90"/>
      <c r="J3" s="90"/>
    </row>
    <row r="4" spans="1:10">
      <c r="G4" s="165" t="s">
        <v>882</v>
      </c>
      <c r="H4" s="89"/>
      <c r="I4" s="90"/>
      <c r="J4" s="90"/>
    </row>
    <row r="5" spans="1:10">
      <c r="G5" s="165" t="s">
        <v>883</v>
      </c>
      <c r="H5" s="89"/>
      <c r="I5" s="90"/>
      <c r="J5" s="90"/>
    </row>
    <row r="6" spans="1:10">
      <c r="G6" s="89"/>
      <c r="H6" s="89"/>
      <c r="I6" s="90"/>
      <c r="J6" s="90"/>
    </row>
    <row r="7" spans="1:10">
      <c r="G7" s="7"/>
      <c r="H7" s="7"/>
    </row>
    <row r="8" spans="1:10" ht="75.75" customHeight="1">
      <c r="A8" s="233" t="s">
        <v>888</v>
      </c>
      <c r="B8" s="240"/>
      <c r="C8" s="240"/>
      <c r="D8" s="240"/>
      <c r="E8" s="240"/>
      <c r="F8" s="240"/>
      <c r="G8" s="240"/>
      <c r="H8" s="240"/>
      <c r="I8" s="241"/>
      <c r="J8" s="241"/>
    </row>
    <row r="9" spans="1:10" ht="15">
      <c r="A9" s="132"/>
      <c r="B9" s="135"/>
      <c r="C9" s="135"/>
      <c r="D9" s="135"/>
      <c r="E9" s="135"/>
      <c r="F9" s="135"/>
      <c r="G9" s="135"/>
      <c r="H9" s="135"/>
    </row>
    <row r="10" spans="1:10">
      <c r="B10" s="250" t="s">
        <v>176</v>
      </c>
      <c r="C10" s="242" t="s">
        <v>165</v>
      </c>
      <c r="D10" s="242" t="s">
        <v>166</v>
      </c>
      <c r="E10" s="242" t="s">
        <v>167</v>
      </c>
      <c r="F10" s="242" t="s">
        <v>161</v>
      </c>
      <c r="G10" s="242" t="s">
        <v>138</v>
      </c>
      <c r="H10" s="238" t="s">
        <v>34</v>
      </c>
      <c r="I10" s="232"/>
      <c r="J10" s="232"/>
    </row>
    <row r="11" spans="1:10">
      <c r="A11" s="247" t="s">
        <v>135</v>
      </c>
      <c r="B11" s="232"/>
      <c r="C11" s="243"/>
      <c r="D11" s="243"/>
      <c r="E11" s="243"/>
      <c r="F11" s="243"/>
      <c r="G11" s="243"/>
      <c r="H11" s="238" t="s">
        <v>880</v>
      </c>
      <c r="I11" s="238" t="s">
        <v>886</v>
      </c>
      <c r="J11" s="238" t="s">
        <v>879</v>
      </c>
    </row>
    <row r="12" spans="1:10">
      <c r="A12" s="248"/>
      <c r="B12" s="232"/>
      <c r="C12" s="243"/>
      <c r="D12" s="243"/>
      <c r="E12" s="243"/>
      <c r="F12" s="243"/>
      <c r="G12" s="243"/>
      <c r="H12" s="238"/>
      <c r="I12" s="238"/>
      <c r="J12" s="238"/>
    </row>
    <row r="13" spans="1:10">
      <c r="A13" s="249"/>
      <c r="B13" s="232"/>
      <c r="C13" s="244"/>
      <c r="D13" s="244"/>
      <c r="E13" s="244"/>
      <c r="F13" s="244"/>
      <c r="G13" s="244"/>
      <c r="H13" s="238"/>
      <c r="I13" s="238"/>
      <c r="J13" s="238"/>
    </row>
    <row r="14" spans="1:10">
      <c r="A14" s="2">
        <v>1</v>
      </c>
      <c r="B14" s="69">
        <v>1</v>
      </c>
      <c r="C14" s="69">
        <v>2</v>
      </c>
      <c r="D14" s="69">
        <v>3</v>
      </c>
      <c r="E14" s="69">
        <v>4</v>
      </c>
      <c r="F14" s="69">
        <v>5</v>
      </c>
      <c r="G14" s="69">
        <v>6</v>
      </c>
      <c r="H14" s="69">
        <v>7</v>
      </c>
      <c r="I14" s="69">
        <v>8</v>
      </c>
      <c r="J14" s="69">
        <v>9</v>
      </c>
    </row>
    <row r="15" spans="1:10" ht="18">
      <c r="A15" s="12"/>
      <c r="B15" s="25"/>
      <c r="C15" s="12"/>
      <c r="D15" s="12"/>
      <c r="E15" s="12"/>
      <c r="F15" s="12"/>
      <c r="G15" s="9" t="s">
        <v>140</v>
      </c>
      <c r="H15" s="59">
        <f>H16+H27+H34+H533+H688+H804</f>
        <v>1158868</v>
      </c>
      <c r="I15" s="59">
        <f>I16+I27+I34+I533+I688+I804</f>
        <v>1090651</v>
      </c>
      <c r="J15" s="65">
        <f t="shared" ref="J15:J78" si="0">ROUND((I15/H15*100),1)</f>
        <v>94.1</v>
      </c>
    </row>
    <row r="16" spans="1:10" ht="36">
      <c r="A16" s="3">
        <v>1</v>
      </c>
      <c r="B16" s="96">
        <v>936</v>
      </c>
      <c r="C16" s="13"/>
      <c r="D16" s="13"/>
      <c r="E16" s="13"/>
      <c r="F16" s="13"/>
      <c r="G16" s="14" t="s">
        <v>188</v>
      </c>
      <c r="H16" s="97">
        <f t="shared" ref="H16:I19" si="1">H17</f>
        <v>3717.7000000000007</v>
      </c>
      <c r="I16" s="97">
        <f t="shared" si="1"/>
        <v>3557.4</v>
      </c>
      <c r="J16" s="206">
        <f t="shared" si="0"/>
        <v>95.7</v>
      </c>
    </row>
    <row r="17" spans="1:10" ht="15.75">
      <c r="A17" s="3"/>
      <c r="B17" s="96"/>
      <c r="C17" s="4" t="s">
        <v>136</v>
      </c>
      <c r="D17" s="11"/>
      <c r="E17" s="11"/>
      <c r="F17" s="11"/>
      <c r="G17" s="49" t="s">
        <v>139</v>
      </c>
      <c r="H17" s="97">
        <f t="shared" si="1"/>
        <v>3717.7000000000007</v>
      </c>
      <c r="I17" s="97">
        <f t="shared" si="1"/>
        <v>3557.4</v>
      </c>
      <c r="J17" s="206">
        <f t="shared" si="0"/>
        <v>95.7</v>
      </c>
    </row>
    <row r="18" spans="1:10" ht="64.5">
      <c r="A18" s="29"/>
      <c r="B18" s="24"/>
      <c r="C18" s="30" t="s">
        <v>136</v>
      </c>
      <c r="D18" s="30" t="s">
        <v>141</v>
      </c>
      <c r="E18" s="31"/>
      <c r="F18" s="31"/>
      <c r="G18" s="48" t="s">
        <v>175</v>
      </c>
      <c r="H18" s="43">
        <f t="shared" si="1"/>
        <v>3717.7000000000007</v>
      </c>
      <c r="I18" s="43">
        <f t="shared" si="1"/>
        <v>3557.4</v>
      </c>
      <c r="J18" s="42">
        <f t="shared" si="0"/>
        <v>95.7</v>
      </c>
    </row>
    <row r="19" spans="1:10" ht="25.5">
      <c r="A19" s="1"/>
      <c r="B19" s="25"/>
      <c r="C19" s="16" t="s">
        <v>136</v>
      </c>
      <c r="D19" s="16" t="s">
        <v>141</v>
      </c>
      <c r="E19" s="80">
        <v>9900000000</v>
      </c>
      <c r="F19" s="21"/>
      <c r="G19" s="55" t="s">
        <v>195</v>
      </c>
      <c r="H19" s="41">
        <f t="shared" si="1"/>
        <v>3717.7000000000007</v>
      </c>
      <c r="I19" s="41">
        <f t="shared" si="1"/>
        <v>3557.4</v>
      </c>
      <c r="J19" s="99">
        <f t="shared" si="0"/>
        <v>95.7</v>
      </c>
    </row>
    <row r="20" spans="1:10" ht="38.25">
      <c r="A20" s="1"/>
      <c r="B20" s="25"/>
      <c r="C20" s="16" t="s">
        <v>136</v>
      </c>
      <c r="D20" s="16" t="s">
        <v>141</v>
      </c>
      <c r="E20" s="80">
        <v>9990000000</v>
      </c>
      <c r="F20" s="16"/>
      <c r="G20" s="54" t="s">
        <v>36</v>
      </c>
      <c r="H20" s="41">
        <f>H21+H23</f>
        <v>3717.7000000000007</v>
      </c>
      <c r="I20" s="41">
        <f>I21+I23</f>
        <v>3557.4</v>
      </c>
      <c r="J20" s="99">
        <f t="shared" si="0"/>
        <v>95.7</v>
      </c>
    </row>
    <row r="21" spans="1:10">
      <c r="A21" s="1"/>
      <c r="B21" s="25"/>
      <c r="C21" s="16" t="s">
        <v>136</v>
      </c>
      <c r="D21" s="16" t="s">
        <v>141</v>
      </c>
      <c r="E21" s="80" t="s">
        <v>190</v>
      </c>
      <c r="F21" s="16"/>
      <c r="G21" s="102" t="s">
        <v>189</v>
      </c>
      <c r="H21" s="41">
        <f>H22</f>
        <v>1270.5999999999999</v>
      </c>
      <c r="I21" s="41">
        <f>I22</f>
        <v>1143.0999999999999</v>
      </c>
      <c r="J21" s="99">
        <f t="shared" si="0"/>
        <v>90</v>
      </c>
    </row>
    <row r="22" spans="1:10" ht="38.25">
      <c r="A22" s="1"/>
      <c r="B22" s="25"/>
      <c r="C22" s="16" t="s">
        <v>136</v>
      </c>
      <c r="D22" s="16" t="s">
        <v>141</v>
      </c>
      <c r="E22" s="80" t="s">
        <v>190</v>
      </c>
      <c r="F22" s="16" t="s">
        <v>102</v>
      </c>
      <c r="G22" s="55" t="s">
        <v>103</v>
      </c>
      <c r="H22" s="39">
        <f>1409.5-138.9</f>
        <v>1270.5999999999999</v>
      </c>
      <c r="I22" s="41">
        <v>1143.0999999999999</v>
      </c>
      <c r="J22" s="99">
        <f t="shared" si="0"/>
        <v>90</v>
      </c>
    </row>
    <row r="23" spans="1:10">
      <c r="A23" s="1"/>
      <c r="B23" s="25"/>
      <c r="C23" s="16" t="s">
        <v>136</v>
      </c>
      <c r="D23" s="16" t="s">
        <v>141</v>
      </c>
      <c r="E23" s="80" t="s">
        <v>48</v>
      </c>
      <c r="F23" s="21"/>
      <c r="G23" s="104" t="s">
        <v>35</v>
      </c>
      <c r="H23" s="41">
        <f>SUM(H24:H26)</f>
        <v>2447.1000000000008</v>
      </c>
      <c r="I23" s="41">
        <f>SUM(I24:I26)</f>
        <v>2414.3000000000002</v>
      </c>
      <c r="J23" s="99">
        <f t="shared" si="0"/>
        <v>98.7</v>
      </c>
    </row>
    <row r="24" spans="1:10" ht="38.25">
      <c r="A24" s="1"/>
      <c r="B24" s="25"/>
      <c r="C24" s="16" t="s">
        <v>136</v>
      </c>
      <c r="D24" s="16" t="s">
        <v>141</v>
      </c>
      <c r="E24" s="80" t="s">
        <v>48</v>
      </c>
      <c r="F24" s="16" t="s">
        <v>102</v>
      </c>
      <c r="G24" s="55" t="s">
        <v>103</v>
      </c>
      <c r="H24" s="39">
        <f>2407.8-46.2-46.2+18+1</f>
        <v>2334.4000000000005</v>
      </c>
      <c r="I24" s="41">
        <v>2317.3000000000002</v>
      </c>
      <c r="J24" s="99">
        <f t="shared" si="0"/>
        <v>99.3</v>
      </c>
    </row>
    <row r="25" spans="1:10" ht="38.25">
      <c r="A25" s="1"/>
      <c r="B25" s="25"/>
      <c r="C25" s="16" t="s">
        <v>136</v>
      </c>
      <c r="D25" s="16" t="s">
        <v>141</v>
      </c>
      <c r="E25" s="80" t="s">
        <v>48</v>
      </c>
      <c r="F25" s="85" t="s">
        <v>314</v>
      </c>
      <c r="G25" s="102" t="s">
        <v>315</v>
      </c>
      <c r="H25" s="39">
        <f>130.4-18</f>
        <v>112.4</v>
      </c>
      <c r="I25" s="41">
        <v>96.7</v>
      </c>
      <c r="J25" s="99">
        <f t="shared" si="0"/>
        <v>86</v>
      </c>
    </row>
    <row r="26" spans="1:10" ht="20.25" customHeight="1">
      <c r="A26" s="1"/>
      <c r="B26" s="25"/>
      <c r="C26" s="16" t="s">
        <v>136</v>
      </c>
      <c r="D26" s="16" t="s">
        <v>141</v>
      </c>
      <c r="E26" s="80" t="s">
        <v>48</v>
      </c>
      <c r="F26" s="84" t="s">
        <v>180</v>
      </c>
      <c r="G26" s="102" t="s">
        <v>181</v>
      </c>
      <c r="H26" s="39">
        <f>4-3.7</f>
        <v>0.29999999999999982</v>
      </c>
      <c r="I26" s="39">
        <v>0.3</v>
      </c>
      <c r="J26" s="99">
        <f t="shared" si="0"/>
        <v>100</v>
      </c>
    </row>
    <row r="27" spans="1:10" ht="47.25">
      <c r="A27" s="153"/>
      <c r="B27" s="96">
        <v>939</v>
      </c>
      <c r="C27" s="13"/>
      <c r="D27" s="13"/>
      <c r="E27" s="13"/>
      <c r="F27" s="13"/>
      <c r="G27" s="10" t="s">
        <v>297</v>
      </c>
      <c r="H27" s="97">
        <f t="shared" ref="H27:I30" si="2">H28</f>
        <v>1484.1</v>
      </c>
      <c r="I27" s="97">
        <f t="shared" si="2"/>
        <v>1450.1000000000001</v>
      </c>
      <c r="J27" s="206">
        <f t="shared" si="0"/>
        <v>97.7</v>
      </c>
    </row>
    <row r="28" spans="1:10" ht="15.75">
      <c r="A28" s="153"/>
      <c r="B28" s="96"/>
      <c r="C28" s="4" t="s">
        <v>136</v>
      </c>
      <c r="D28" s="11"/>
      <c r="E28" s="11"/>
      <c r="F28" s="11"/>
      <c r="G28" s="49" t="s">
        <v>139</v>
      </c>
      <c r="H28" s="97">
        <f t="shared" si="2"/>
        <v>1484.1</v>
      </c>
      <c r="I28" s="97">
        <f t="shared" si="2"/>
        <v>1450.1000000000001</v>
      </c>
      <c r="J28" s="206">
        <f t="shared" si="0"/>
        <v>97.7</v>
      </c>
    </row>
    <row r="29" spans="1:10" ht="53.25" customHeight="1">
      <c r="A29" s="153"/>
      <c r="B29" s="24"/>
      <c r="C29" s="30" t="s">
        <v>136</v>
      </c>
      <c r="D29" s="30" t="s">
        <v>144</v>
      </c>
      <c r="E29" s="31"/>
      <c r="F29" s="31"/>
      <c r="G29" s="46" t="s">
        <v>173</v>
      </c>
      <c r="H29" s="98">
        <f t="shared" si="2"/>
        <v>1484.1</v>
      </c>
      <c r="I29" s="98">
        <f t="shared" si="2"/>
        <v>1450.1000000000001</v>
      </c>
      <c r="J29" s="42">
        <f t="shared" si="0"/>
        <v>97.7</v>
      </c>
    </row>
    <row r="30" spans="1:10" ht="38.25">
      <c r="A30" s="153"/>
      <c r="B30" s="24"/>
      <c r="C30" s="16" t="s">
        <v>136</v>
      </c>
      <c r="D30" s="85" t="s">
        <v>144</v>
      </c>
      <c r="E30" s="80">
        <v>9990000000</v>
      </c>
      <c r="F30" s="16"/>
      <c r="G30" s="54" t="s">
        <v>36</v>
      </c>
      <c r="H30" s="39">
        <f t="shared" si="2"/>
        <v>1484.1</v>
      </c>
      <c r="I30" s="39">
        <f t="shared" si="2"/>
        <v>1450.1000000000001</v>
      </c>
      <c r="J30" s="99">
        <f t="shared" si="0"/>
        <v>97.7</v>
      </c>
    </row>
    <row r="31" spans="1:10" ht="25.5">
      <c r="A31" s="1"/>
      <c r="B31" s="25"/>
      <c r="C31" s="16" t="s">
        <v>136</v>
      </c>
      <c r="D31" s="85" t="s">
        <v>144</v>
      </c>
      <c r="E31" s="80" t="s">
        <v>49</v>
      </c>
      <c r="F31" s="21"/>
      <c r="G31" s="133" t="s">
        <v>297</v>
      </c>
      <c r="H31" s="41">
        <f>H32+H33</f>
        <v>1484.1</v>
      </c>
      <c r="I31" s="41">
        <f>I32+I33</f>
        <v>1450.1000000000001</v>
      </c>
      <c r="J31" s="99">
        <f t="shared" si="0"/>
        <v>97.7</v>
      </c>
    </row>
    <row r="32" spans="1:10" ht="38.25">
      <c r="A32" s="1"/>
      <c r="B32" s="25"/>
      <c r="C32" s="16" t="s">
        <v>136</v>
      </c>
      <c r="D32" s="85" t="s">
        <v>144</v>
      </c>
      <c r="E32" s="80" t="s">
        <v>49</v>
      </c>
      <c r="F32" s="16" t="s">
        <v>102</v>
      </c>
      <c r="G32" s="133" t="s">
        <v>126</v>
      </c>
      <c r="H32" s="39">
        <f>1369.1+18.3+49.5</f>
        <v>1436.8999999999999</v>
      </c>
      <c r="I32" s="39">
        <v>1402.9</v>
      </c>
      <c r="J32" s="99">
        <f t="shared" si="0"/>
        <v>97.6</v>
      </c>
    </row>
    <row r="33" spans="1:10" ht="38.25">
      <c r="A33" s="1"/>
      <c r="B33" s="25"/>
      <c r="C33" s="16" t="s">
        <v>136</v>
      </c>
      <c r="D33" s="85" t="s">
        <v>144</v>
      </c>
      <c r="E33" s="80" t="s">
        <v>49</v>
      </c>
      <c r="F33" s="85" t="s">
        <v>314</v>
      </c>
      <c r="G33" s="102" t="s">
        <v>315</v>
      </c>
      <c r="H33" s="39">
        <f>65.5-18.3</f>
        <v>47.2</v>
      </c>
      <c r="I33" s="39">
        <v>47.2</v>
      </c>
      <c r="J33" s="99">
        <f t="shared" si="0"/>
        <v>100</v>
      </c>
    </row>
    <row r="34" spans="1:10" s="8" customFormat="1" ht="54">
      <c r="A34" s="3">
        <v>2</v>
      </c>
      <c r="B34" s="96">
        <v>937</v>
      </c>
      <c r="C34" s="13"/>
      <c r="D34" s="13"/>
      <c r="E34" s="13"/>
      <c r="F34" s="13"/>
      <c r="G34" s="14" t="s">
        <v>290</v>
      </c>
      <c r="H34" s="59">
        <f>H35+H134+H188+H294+H477+H514</f>
        <v>559297.6</v>
      </c>
      <c r="I34" s="59">
        <f>I35+I134+I188+I294+I477+I514</f>
        <v>506414.89999999997</v>
      </c>
      <c r="J34" s="206">
        <f t="shared" si="0"/>
        <v>90.5</v>
      </c>
    </row>
    <row r="35" spans="1:10" ht="15.75">
      <c r="A35" s="3"/>
      <c r="B35" s="96"/>
      <c r="C35" s="4" t="s">
        <v>136</v>
      </c>
      <c r="D35" s="11"/>
      <c r="E35" s="11"/>
      <c r="F35" s="11"/>
      <c r="G35" s="15" t="s">
        <v>139</v>
      </c>
      <c r="H35" s="97">
        <f>H36+H41+H55+H60</f>
        <v>111390.70000000001</v>
      </c>
      <c r="I35" s="97">
        <f>I36+I41+I55+I60</f>
        <v>108690.4</v>
      </c>
      <c r="J35" s="206">
        <f t="shared" si="0"/>
        <v>97.6</v>
      </c>
    </row>
    <row r="36" spans="1:10" ht="51.75">
      <c r="A36" s="3"/>
      <c r="B36" s="96"/>
      <c r="C36" s="30" t="s">
        <v>136</v>
      </c>
      <c r="D36" s="30" t="s">
        <v>137</v>
      </c>
      <c r="E36" s="30"/>
      <c r="F36" s="30"/>
      <c r="G36" s="46" t="s">
        <v>22</v>
      </c>
      <c r="H36" s="40">
        <f>H37</f>
        <v>1531.6</v>
      </c>
      <c r="I36" s="40">
        <f>I37</f>
        <v>1881</v>
      </c>
      <c r="J36" s="42">
        <f t="shared" si="0"/>
        <v>122.8</v>
      </c>
    </row>
    <row r="37" spans="1:10" ht="25.5">
      <c r="A37" s="3"/>
      <c r="B37" s="96"/>
      <c r="C37" s="16" t="s">
        <v>136</v>
      </c>
      <c r="D37" s="16" t="s">
        <v>137</v>
      </c>
      <c r="E37" s="80">
        <v>9900000000</v>
      </c>
      <c r="F37" s="16"/>
      <c r="G37" s="55" t="s">
        <v>194</v>
      </c>
      <c r="H37" s="41">
        <f>H39</f>
        <v>1531.6</v>
      </c>
      <c r="I37" s="41">
        <f>I39</f>
        <v>1881</v>
      </c>
      <c r="J37" s="99">
        <f t="shared" si="0"/>
        <v>122.8</v>
      </c>
    </row>
    <row r="38" spans="1:10" ht="38.25">
      <c r="A38" s="3"/>
      <c r="B38" s="96"/>
      <c r="C38" s="16" t="s">
        <v>136</v>
      </c>
      <c r="D38" s="16" t="s">
        <v>137</v>
      </c>
      <c r="E38" s="80">
        <v>9980000000</v>
      </c>
      <c r="F38" s="16"/>
      <c r="G38" s="54" t="s">
        <v>37</v>
      </c>
      <c r="H38" s="41">
        <f>H39</f>
        <v>1531.6</v>
      </c>
      <c r="I38" s="41">
        <f>I39</f>
        <v>1881</v>
      </c>
      <c r="J38" s="99">
        <f t="shared" si="0"/>
        <v>122.8</v>
      </c>
    </row>
    <row r="39" spans="1:10" ht="15.75">
      <c r="A39" s="3"/>
      <c r="B39" s="96"/>
      <c r="C39" s="16" t="s">
        <v>136</v>
      </c>
      <c r="D39" s="16" t="s">
        <v>137</v>
      </c>
      <c r="E39" s="80" t="s">
        <v>191</v>
      </c>
      <c r="F39" s="16"/>
      <c r="G39" s="104" t="s">
        <v>162</v>
      </c>
      <c r="H39" s="39">
        <f>H40</f>
        <v>1531.6</v>
      </c>
      <c r="I39" s="39">
        <f>I40</f>
        <v>1881</v>
      </c>
      <c r="J39" s="99">
        <f t="shared" si="0"/>
        <v>122.8</v>
      </c>
    </row>
    <row r="40" spans="1:10" ht="39">
      <c r="A40" s="3"/>
      <c r="B40" s="96"/>
      <c r="C40" s="16" t="s">
        <v>136</v>
      </c>
      <c r="D40" s="16" t="s">
        <v>137</v>
      </c>
      <c r="E40" s="80" t="s">
        <v>191</v>
      </c>
      <c r="F40" s="16" t="s">
        <v>102</v>
      </c>
      <c r="G40" s="133" t="s">
        <v>126</v>
      </c>
      <c r="H40" s="39">
        <f>1531.6+401.3-401.3</f>
        <v>1531.6</v>
      </c>
      <c r="I40" s="39">
        <v>1881</v>
      </c>
      <c r="J40" s="99">
        <f t="shared" si="0"/>
        <v>122.8</v>
      </c>
    </row>
    <row r="41" spans="1:10" s="26" customFormat="1" ht="76.5">
      <c r="A41" s="23"/>
      <c r="B41" s="24"/>
      <c r="C41" s="30" t="s">
        <v>136</v>
      </c>
      <c r="D41" s="30" t="s">
        <v>142</v>
      </c>
      <c r="E41" s="30"/>
      <c r="F41" s="30"/>
      <c r="G41" s="46" t="s">
        <v>172</v>
      </c>
      <c r="H41" s="40">
        <f>H42</f>
        <v>46601.600000000006</v>
      </c>
      <c r="I41" s="40">
        <f>I42</f>
        <v>46895</v>
      </c>
      <c r="J41" s="99">
        <f t="shared" si="0"/>
        <v>100.6</v>
      </c>
    </row>
    <row r="42" spans="1:10" ht="25.5">
      <c r="A42" s="1"/>
      <c r="B42" s="25"/>
      <c r="C42" s="16" t="s">
        <v>136</v>
      </c>
      <c r="D42" s="16" t="s">
        <v>142</v>
      </c>
      <c r="E42" s="80">
        <v>9900000000</v>
      </c>
      <c r="F42" s="16"/>
      <c r="G42" s="55" t="s">
        <v>194</v>
      </c>
      <c r="H42" s="39">
        <f>H43+H47+H50</f>
        <v>46601.600000000006</v>
      </c>
      <c r="I42" s="39">
        <f>I43+I47+I50</f>
        <v>46895</v>
      </c>
      <c r="J42" s="99">
        <f t="shared" si="0"/>
        <v>100.6</v>
      </c>
    </row>
    <row r="43" spans="1:10" ht="25.5">
      <c r="A43" s="1"/>
      <c r="B43" s="25"/>
      <c r="C43" s="16" t="s">
        <v>136</v>
      </c>
      <c r="D43" s="16" t="s">
        <v>142</v>
      </c>
      <c r="E43" s="80">
        <v>9930000000</v>
      </c>
      <c r="F43" s="16"/>
      <c r="G43" s="22" t="s">
        <v>55</v>
      </c>
      <c r="H43" s="39">
        <f>H44</f>
        <v>382.1</v>
      </c>
      <c r="I43" s="39">
        <f>I44</f>
        <v>286.40000000000003</v>
      </c>
      <c r="J43" s="99">
        <f t="shared" si="0"/>
        <v>75</v>
      </c>
    </row>
    <row r="44" spans="1:10" ht="63.75">
      <c r="A44" s="1"/>
      <c r="B44" s="25"/>
      <c r="C44" s="16" t="s">
        <v>136</v>
      </c>
      <c r="D44" s="16" t="s">
        <v>142</v>
      </c>
      <c r="E44" s="80">
        <v>9930010510</v>
      </c>
      <c r="F44" s="16"/>
      <c r="G44" s="22" t="s">
        <v>20</v>
      </c>
      <c r="H44" s="39">
        <f>H45+H46</f>
        <v>382.1</v>
      </c>
      <c r="I44" s="39">
        <f>I45+I46</f>
        <v>286.40000000000003</v>
      </c>
      <c r="J44" s="99">
        <f t="shared" si="0"/>
        <v>75</v>
      </c>
    </row>
    <row r="45" spans="1:10" ht="38.25">
      <c r="A45" s="1"/>
      <c r="B45" s="25"/>
      <c r="C45" s="16" t="s">
        <v>136</v>
      </c>
      <c r="D45" s="16" t="s">
        <v>142</v>
      </c>
      <c r="E45" s="80">
        <v>9930010510</v>
      </c>
      <c r="F45" s="16" t="s">
        <v>102</v>
      </c>
      <c r="G45" s="107" t="s">
        <v>103</v>
      </c>
      <c r="H45" s="39">
        <v>379.3</v>
      </c>
      <c r="I45" s="41">
        <v>283.60000000000002</v>
      </c>
      <c r="J45" s="99">
        <f t="shared" si="0"/>
        <v>74.8</v>
      </c>
    </row>
    <row r="46" spans="1:10" ht="38.25">
      <c r="A46" s="1"/>
      <c r="B46" s="25"/>
      <c r="C46" s="16" t="s">
        <v>136</v>
      </c>
      <c r="D46" s="16" t="s">
        <v>142</v>
      </c>
      <c r="E46" s="80">
        <v>9930010510</v>
      </c>
      <c r="F46" s="85" t="s">
        <v>314</v>
      </c>
      <c r="G46" s="102" t="s">
        <v>315</v>
      </c>
      <c r="H46" s="39">
        <v>2.8</v>
      </c>
      <c r="I46" s="39">
        <v>2.8</v>
      </c>
      <c r="J46" s="99">
        <f t="shared" si="0"/>
        <v>100</v>
      </c>
    </row>
    <row r="47" spans="1:10" ht="29.25" customHeight="1">
      <c r="A47" s="153"/>
      <c r="B47" s="25"/>
      <c r="C47" s="16" t="s">
        <v>136</v>
      </c>
      <c r="D47" s="16" t="s">
        <v>142</v>
      </c>
      <c r="E47" s="16" t="s">
        <v>31</v>
      </c>
      <c r="F47" s="16"/>
      <c r="G47" s="104" t="s">
        <v>53</v>
      </c>
      <c r="H47" s="39">
        <f>H48</f>
        <v>148.5</v>
      </c>
      <c r="I47" s="39">
        <f>I48</f>
        <v>148.5</v>
      </c>
      <c r="J47" s="99">
        <f t="shared" si="0"/>
        <v>100</v>
      </c>
    </row>
    <row r="48" spans="1:10" ht="25.5">
      <c r="A48" s="153"/>
      <c r="B48" s="25"/>
      <c r="C48" s="16" t="s">
        <v>136</v>
      </c>
      <c r="D48" s="16" t="s">
        <v>142</v>
      </c>
      <c r="E48" s="85" t="s">
        <v>488</v>
      </c>
      <c r="F48" s="16"/>
      <c r="G48" s="54" t="s">
        <v>468</v>
      </c>
      <c r="H48" s="39">
        <f>SUM(H49:H49)</f>
        <v>148.5</v>
      </c>
      <c r="I48" s="39">
        <f>SUM(I49:I49)</f>
        <v>148.5</v>
      </c>
      <c r="J48" s="99">
        <f t="shared" si="0"/>
        <v>100</v>
      </c>
    </row>
    <row r="49" spans="1:10" ht="38.25">
      <c r="A49" s="153"/>
      <c r="B49" s="25"/>
      <c r="C49" s="16" t="s">
        <v>136</v>
      </c>
      <c r="D49" s="16" t="s">
        <v>142</v>
      </c>
      <c r="E49" s="85" t="s">
        <v>488</v>
      </c>
      <c r="F49" s="85" t="s">
        <v>314</v>
      </c>
      <c r="G49" s="102" t="s">
        <v>315</v>
      </c>
      <c r="H49" s="39">
        <v>148.5</v>
      </c>
      <c r="I49" s="39">
        <v>148.5</v>
      </c>
      <c r="J49" s="99">
        <f t="shared" si="0"/>
        <v>100</v>
      </c>
    </row>
    <row r="50" spans="1:10" ht="38.25">
      <c r="A50" s="1"/>
      <c r="B50" s="25"/>
      <c r="C50" s="16" t="s">
        <v>136</v>
      </c>
      <c r="D50" s="16" t="s">
        <v>142</v>
      </c>
      <c r="E50" s="80">
        <v>9980000000</v>
      </c>
      <c r="F50" s="16"/>
      <c r="G50" s="54" t="s">
        <v>37</v>
      </c>
      <c r="H50" s="39">
        <f>H51</f>
        <v>46071.000000000007</v>
      </c>
      <c r="I50" s="39">
        <f>I51</f>
        <v>46460.1</v>
      </c>
      <c r="J50" s="99">
        <f t="shared" si="0"/>
        <v>100.8</v>
      </c>
    </row>
    <row r="51" spans="1:10">
      <c r="A51" s="1"/>
      <c r="B51" s="25"/>
      <c r="C51" s="16" t="s">
        <v>136</v>
      </c>
      <c r="D51" s="16" t="s">
        <v>142</v>
      </c>
      <c r="E51" s="80" t="s">
        <v>50</v>
      </c>
      <c r="F51" s="21"/>
      <c r="G51" s="22" t="s">
        <v>163</v>
      </c>
      <c r="H51" s="39">
        <f>SUM(H52:H54)</f>
        <v>46071.000000000007</v>
      </c>
      <c r="I51" s="39">
        <f>SUM(I52:I54)</f>
        <v>46460.1</v>
      </c>
      <c r="J51" s="99">
        <f t="shared" si="0"/>
        <v>100.8</v>
      </c>
    </row>
    <row r="52" spans="1:10" ht="38.25">
      <c r="A52" s="1"/>
      <c r="B52" s="25"/>
      <c r="C52" s="16" t="s">
        <v>136</v>
      </c>
      <c r="D52" s="16" t="s">
        <v>142</v>
      </c>
      <c r="E52" s="80" t="s">
        <v>50</v>
      </c>
      <c r="F52" s="16" t="s">
        <v>102</v>
      </c>
      <c r="G52" s="55" t="s">
        <v>103</v>
      </c>
      <c r="H52" s="39">
        <f>40190.3-305.6-16-55.5-25-55.6-55.5-90-55.5+234.5+923.5-923.5</f>
        <v>39766.100000000006</v>
      </c>
      <c r="I52" s="39">
        <v>40363.1</v>
      </c>
      <c r="J52" s="99">
        <f t="shared" si="0"/>
        <v>101.5</v>
      </c>
    </row>
    <row r="53" spans="1:10" ht="38.25">
      <c r="A53" s="1"/>
      <c r="B53" s="25"/>
      <c r="C53" s="16" t="s">
        <v>136</v>
      </c>
      <c r="D53" s="16" t="s">
        <v>142</v>
      </c>
      <c r="E53" s="80" t="s">
        <v>50</v>
      </c>
      <c r="F53" s="85" t="s">
        <v>314</v>
      </c>
      <c r="G53" s="102" t="s">
        <v>315</v>
      </c>
      <c r="H53" s="39">
        <f>5766.3+305.6+16+55.5+55.6+25+55.5+90+55.5-160.6</f>
        <v>6264.4000000000005</v>
      </c>
      <c r="I53" s="39">
        <v>6056.7</v>
      </c>
      <c r="J53" s="99">
        <f t="shared" si="0"/>
        <v>96.7</v>
      </c>
    </row>
    <row r="54" spans="1:10" ht="16.5" customHeight="1">
      <c r="A54" s="1"/>
      <c r="B54" s="25"/>
      <c r="C54" s="16" t="s">
        <v>136</v>
      </c>
      <c r="D54" s="16" t="s">
        <v>142</v>
      </c>
      <c r="E54" s="80" t="s">
        <v>50</v>
      </c>
      <c r="F54" s="85" t="s">
        <v>180</v>
      </c>
      <c r="G54" s="215" t="s">
        <v>181</v>
      </c>
      <c r="H54" s="41">
        <f>114.4-73.9</f>
        <v>40.5</v>
      </c>
      <c r="I54" s="103">
        <v>40.299999999999997</v>
      </c>
      <c r="J54" s="99">
        <f t="shared" si="0"/>
        <v>99.5</v>
      </c>
    </row>
    <row r="55" spans="1:10" ht="14.25">
      <c r="A55" s="1"/>
      <c r="B55" s="25"/>
      <c r="C55" s="35" t="s">
        <v>136</v>
      </c>
      <c r="D55" s="35" t="s">
        <v>143</v>
      </c>
      <c r="E55" s="35"/>
      <c r="F55" s="35"/>
      <c r="G55" s="46" t="s">
        <v>442</v>
      </c>
      <c r="H55" s="42">
        <f>SUM(H56)</f>
        <v>13.9</v>
      </c>
      <c r="I55" s="42">
        <f>SUM(I56)</f>
        <v>13.9</v>
      </c>
      <c r="J55" s="58">
        <f t="shared" si="0"/>
        <v>100</v>
      </c>
    </row>
    <row r="56" spans="1:10" ht="25.5">
      <c r="A56" s="1"/>
      <c r="B56" s="25"/>
      <c r="C56" s="16" t="s">
        <v>136</v>
      </c>
      <c r="D56" s="85" t="s">
        <v>143</v>
      </c>
      <c r="E56" s="80">
        <v>9900000000</v>
      </c>
      <c r="F56" s="16"/>
      <c r="G56" s="55" t="s">
        <v>195</v>
      </c>
      <c r="H56" s="39">
        <f t="shared" ref="H56:I58" si="3">H57</f>
        <v>13.9</v>
      </c>
      <c r="I56" s="39">
        <f t="shared" si="3"/>
        <v>13.9</v>
      </c>
      <c r="J56" s="99">
        <f t="shared" si="0"/>
        <v>100</v>
      </c>
    </row>
    <row r="57" spans="1:10" ht="25.5">
      <c r="A57" s="1"/>
      <c r="B57" s="25"/>
      <c r="C57" s="16" t="s">
        <v>136</v>
      </c>
      <c r="D57" s="85" t="s">
        <v>143</v>
      </c>
      <c r="E57" s="80">
        <v>9930000000</v>
      </c>
      <c r="F57" s="16"/>
      <c r="G57" s="22" t="s">
        <v>55</v>
      </c>
      <c r="H57" s="39">
        <f t="shared" si="3"/>
        <v>13.9</v>
      </c>
      <c r="I57" s="39">
        <f t="shared" si="3"/>
        <v>13.9</v>
      </c>
      <c r="J57" s="99">
        <f t="shared" si="0"/>
        <v>100</v>
      </c>
    </row>
    <row r="58" spans="1:10" ht="63.75">
      <c r="A58" s="1"/>
      <c r="B58" s="25"/>
      <c r="C58" s="16" t="s">
        <v>136</v>
      </c>
      <c r="D58" s="85" t="s">
        <v>143</v>
      </c>
      <c r="E58" s="80">
        <v>9930051200</v>
      </c>
      <c r="F58" s="16"/>
      <c r="G58" s="54" t="s">
        <v>416</v>
      </c>
      <c r="H58" s="39">
        <f t="shared" si="3"/>
        <v>13.9</v>
      </c>
      <c r="I58" s="39">
        <f t="shared" si="3"/>
        <v>13.9</v>
      </c>
      <c r="J58" s="99">
        <f t="shared" si="0"/>
        <v>100</v>
      </c>
    </row>
    <row r="59" spans="1:10" ht="38.25">
      <c r="A59" s="1"/>
      <c r="B59" s="25"/>
      <c r="C59" s="16" t="s">
        <v>136</v>
      </c>
      <c r="D59" s="85" t="s">
        <v>143</v>
      </c>
      <c r="E59" s="80">
        <v>9930051200</v>
      </c>
      <c r="F59" s="85" t="s">
        <v>314</v>
      </c>
      <c r="G59" s="102" t="s">
        <v>315</v>
      </c>
      <c r="H59" s="118">
        <v>13.9</v>
      </c>
      <c r="I59" s="118">
        <v>13.9</v>
      </c>
      <c r="J59" s="99">
        <f t="shared" si="0"/>
        <v>100</v>
      </c>
    </row>
    <row r="60" spans="1:10" s="26" customFormat="1" ht="15.75" customHeight="1">
      <c r="A60" s="23"/>
      <c r="B60" s="24"/>
      <c r="C60" s="30" t="s">
        <v>136</v>
      </c>
      <c r="D60" s="30" t="s">
        <v>9</v>
      </c>
      <c r="E60" s="33"/>
      <c r="F60" s="33"/>
      <c r="G60" s="46" t="s">
        <v>145</v>
      </c>
      <c r="H60" s="40">
        <f>H61+H76+H89+H98</f>
        <v>63243.600000000006</v>
      </c>
      <c r="I60" s="40">
        <f>I61+I76+I89+I98</f>
        <v>59900.5</v>
      </c>
      <c r="J60" s="42">
        <f t="shared" si="0"/>
        <v>94.7</v>
      </c>
    </row>
    <row r="61" spans="1:10" ht="63.75">
      <c r="A61" s="1"/>
      <c r="B61" s="25"/>
      <c r="C61" s="16" t="s">
        <v>136</v>
      </c>
      <c r="D61" s="16" t="s">
        <v>9</v>
      </c>
      <c r="E61" s="73" t="s">
        <v>111</v>
      </c>
      <c r="F61" s="16"/>
      <c r="G61" s="53" t="s">
        <v>544</v>
      </c>
      <c r="H61" s="100">
        <f>H62</f>
        <v>14698.800000000001</v>
      </c>
      <c r="I61" s="100">
        <f>I62</f>
        <v>12708.199999999999</v>
      </c>
      <c r="J61" s="62">
        <f t="shared" si="0"/>
        <v>86.5</v>
      </c>
    </row>
    <row r="62" spans="1:10" ht="38.25">
      <c r="A62" s="1"/>
      <c r="B62" s="25"/>
      <c r="C62" s="16" t="s">
        <v>136</v>
      </c>
      <c r="D62" s="16" t="s">
        <v>9</v>
      </c>
      <c r="E62" s="52" t="s">
        <v>112</v>
      </c>
      <c r="F62" s="16"/>
      <c r="G62" s="48" t="s">
        <v>219</v>
      </c>
      <c r="H62" s="98">
        <f>H63+H66</f>
        <v>14698.800000000001</v>
      </c>
      <c r="I62" s="98">
        <f>I63+I66</f>
        <v>12708.199999999999</v>
      </c>
      <c r="J62" s="58">
        <f t="shared" si="0"/>
        <v>86.5</v>
      </c>
    </row>
    <row r="63" spans="1:10" ht="38.25">
      <c r="A63" s="1"/>
      <c r="B63" s="25"/>
      <c r="C63" s="16" t="s">
        <v>136</v>
      </c>
      <c r="D63" s="16" t="s">
        <v>9</v>
      </c>
      <c r="E63" s="21" t="s">
        <v>366</v>
      </c>
      <c r="F63" s="16"/>
      <c r="G63" s="104" t="s">
        <v>367</v>
      </c>
      <c r="H63" s="103">
        <f>H64</f>
        <v>245.3</v>
      </c>
      <c r="I63" s="103">
        <f>I64</f>
        <v>245.3</v>
      </c>
      <c r="J63" s="99">
        <f t="shared" si="0"/>
        <v>100</v>
      </c>
    </row>
    <row r="64" spans="1:10" ht="38.25">
      <c r="A64" s="1"/>
      <c r="B64" s="25"/>
      <c r="C64" s="16" t="s">
        <v>136</v>
      </c>
      <c r="D64" s="16" t="s">
        <v>9</v>
      </c>
      <c r="E64" s="85" t="s">
        <v>221</v>
      </c>
      <c r="F64" s="16"/>
      <c r="G64" s="101" t="s">
        <v>220</v>
      </c>
      <c r="H64" s="41">
        <f>H65</f>
        <v>245.3</v>
      </c>
      <c r="I64" s="41">
        <f>I65</f>
        <v>245.3</v>
      </c>
      <c r="J64" s="99">
        <f t="shared" si="0"/>
        <v>100</v>
      </c>
    </row>
    <row r="65" spans="1:10" ht="38.25">
      <c r="A65" s="1"/>
      <c r="B65" s="25"/>
      <c r="C65" s="16" t="s">
        <v>136</v>
      </c>
      <c r="D65" s="16" t="s">
        <v>9</v>
      </c>
      <c r="E65" s="85" t="s">
        <v>221</v>
      </c>
      <c r="F65" s="85" t="s">
        <v>314</v>
      </c>
      <c r="G65" s="102" t="s">
        <v>315</v>
      </c>
      <c r="H65" s="41">
        <f>250-4.7</f>
        <v>245.3</v>
      </c>
      <c r="I65" s="41">
        <v>245.3</v>
      </c>
      <c r="J65" s="99">
        <f t="shared" si="0"/>
        <v>100</v>
      </c>
    </row>
    <row r="66" spans="1:10" ht="63.75">
      <c r="A66" s="1"/>
      <c r="B66" s="25"/>
      <c r="C66" s="16" t="s">
        <v>136</v>
      </c>
      <c r="D66" s="16" t="s">
        <v>9</v>
      </c>
      <c r="E66" s="21" t="s">
        <v>368</v>
      </c>
      <c r="F66" s="85"/>
      <c r="G66" s="104" t="s">
        <v>369</v>
      </c>
      <c r="H66" s="41">
        <f>H67+H69+H71+H74</f>
        <v>14453.500000000002</v>
      </c>
      <c r="I66" s="41">
        <f>I67+I69+I71+I74</f>
        <v>12462.9</v>
      </c>
      <c r="J66" s="99">
        <f t="shared" si="0"/>
        <v>86.2</v>
      </c>
    </row>
    <row r="67" spans="1:10" ht="51">
      <c r="A67" s="1"/>
      <c r="B67" s="25"/>
      <c r="C67" s="16" t="s">
        <v>136</v>
      </c>
      <c r="D67" s="16" t="s">
        <v>9</v>
      </c>
      <c r="E67" s="74" t="s">
        <v>113</v>
      </c>
      <c r="F67" s="16"/>
      <c r="G67" s="101" t="s">
        <v>222</v>
      </c>
      <c r="H67" s="41">
        <f>H68</f>
        <v>194.5</v>
      </c>
      <c r="I67" s="41">
        <f>I68</f>
        <v>194.5</v>
      </c>
      <c r="J67" s="99">
        <f t="shared" si="0"/>
        <v>100</v>
      </c>
    </row>
    <row r="68" spans="1:10" ht="38.25">
      <c r="A68" s="1"/>
      <c r="B68" s="25"/>
      <c r="C68" s="16" t="s">
        <v>136</v>
      </c>
      <c r="D68" s="16" t="s">
        <v>9</v>
      </c>
      <c r="E68" s="74" t="s">
        <v>113</v>
      </c>
      <c r="F68" s="85" t="s">
        <v>314</v>
      </c>
      <c r="G68" s="102" t="s">
        <v>315</v>
      </c>
      <c r="H68" s="41">
        <f>100+54.1+40.4</f>
        <v>194.5</v>
      </c>
      <c r="I68" s="41">
        <f>100+54.1+40.4</f>
        <v>194.5</v>
      </c>
      <c r="J68" s="99">
        <f t="shared" si="0"/>
        <v>100</v>
      </c>
    </row>
    <row r="69" spans="1:10" ht="76.5">
      <c r="A69" s="1"/>
      <c r="B69" s="25"/>
      <c r="C69" s="16" t="s">
        <v>136</v>
      </c>
      <c r="D69" s="16" t="s">
        <v>9</v>
      </c>
      <c r="E69" s="74" t="s">
        <v>114</v>
      </c>
      <c r="F69" s="16"/>
      <c r="G69" s="101" t="s">
        <v>223</v>
      </c>
      <c r="H69" s="41">
        <f>H70</f>
        <v>309.5</v>
      </c>
      <c r="I69" s="41">
        <f>I70</f>
        <v>278</v>
      </c>
      <c r="J69" s="99">
        <f t="shared" si="0"/>
        <v>89.8</v>
      </c>
    </row>
    <row r="70" spans="1:10" ht="38.25">
      <c r="A70" s="1"/>
      <c r="B70" s="25"/>
      <c r="C70" s="16" t="s">
        <v>136</v>
      </c>
      <c r="D70" s="16" t="s">
        <v>9</v>
      </c>
      <c r="E70" s="74" t="s">
        <v>114</v>
      </c>
      <c r="F70" s="85" t="s">
        <v>314</v>
      </c>
      <c r="G70" s="102" t="s">
        <v>315</v>
      </c>
      <c r="H70" s="41">
        <f>310-0.5</f>
        <v>309.5</v>
      </c>
      <c r="I70" s="41">
        <v>278</v>
      </c>
      <c r="J70" s="99">
        <f t="shared" si="0"/>
        <v>89.8</v>
      </c>
    </row>
    <row r="71" spans="1:10" ht="38.25">
      <c r="A71" s="1"/>
      <c r="B71" s="25"/>
      <c r="C71" s="16" t="s">
        <v>136</v>
      </c>
      <c r="D71" s="16" t="s">
        <v>9</v>
      </c>
      <c r="E71" s="74" t="s">
        <v>115</v>
      </c>
      <c r="F71" s="16"/>
      <c r="G71" s="101" t="s">
        <v>224</v>
      </c>
      <c r="H71" s="41">
        <f>SUM(H72:H73)</f>
        <v>11449.500000000002</v>
      </c>
      <c r="I71" s="41">
        <f>SUM(I72:I73)</f>
        <v>9490.4</v>
      </c>
      <c r="J71" s="99">
        <f t="shared" si="0"/>
        <v>82.9</v>
      </c>
    </row>
    <row r="72" spans="1:10" ht="38.25">
      <c r="A72" s="1"/>
      <c r="B72" s="25"/>
      <c r="C72" s="16" t="s">
        <v>136</v>
      </c>
      <c r="D72" s="16" t="s">
        <v>9</v>
      </c>
      <c r="E72" s="74" t="s">
        <v>115</v>
      </c>
      <c r="F72" s="85" t="s">
        <v>314</v>
      </c>
      <c r="G72" s="102" t="s">
        <v>315</v>
      </c>
      <c r="H72" s="41">
        <f>3928+123.9-99.2+577+1749.2+1560-98.2-22.4+300+1188.7-37.8+2257.9</f>
        <v>11427.100000000002</v>
      </c>
      <c r="I72" s="41">
        <v>9468</v>
      </c>
      <c r="J72" s="99">
        <f t="shared" si="0"/>
        <v>82.9</v>
      </c>
    </row>
    <row r="73" spans="1:10" ht="19.5" customHeight="1">
      <c r="A73" s="153"/>
      <c r="B73" s="25"/>
      <c r="C73" s="16" t="s">
        <v>136</v>
      </c>
      <c r="D73" s="16" t="s">
        <v>9</v>
      </c>
      <c r="E73" s="74" t="s">
        <v>115</v>
      </c>
      <c r="F73" s="84" t="s">
        <v>180</v>
      </c>
      <c r="G73" s="215" t="s">
        <v>181</v>
      </c>
      <c r="H73" s="41">
        <v>22.4</v>
      </c>
      <c r="I73" s="41">
        <v>22.4</v>
      </c>
      <c r="J73" s="99">
        <f t="shared" si="0"/>
        <v>100</v>
      </c>
    </row>
    <row r="74" spans="1:10" ht="38.25">
      <c r="A74" s="153"/>
      <c r="B74" s="25"/>
      <c r="C74" s="85" t="s">
        <v>136</v>
      </c>
      <c r="D74" s="85" t="s">
        <v>9</v>
      </c>
      <c r="E74" s="74" t="s">
        <v>805</v>
      </c>
      <c r="F74" s="84"/>
      <c r="G74" s="102" t="s">
        <v>806</v>
      </c>
      <c r="H74" s="41">
        <f>H75</f>
        <v>2500</v>
      </c>
      <c r="I74" s="41">
        <f>I75</f>
        <v>2500</v>
      </c>
      <c r="J74" s="99">
        <f t="shared" si="0"/>
        <v>100</v>
      </c>
    </row>
    <row r="75" spans="1:10" ht="63.75">
      <c r="A75" s="153"/>
      <c r="B75" s="25"/>
      <c r="C75" s="85" t="s">
        <v>136</v>
      </c>
      <c r="D75" s="85" t="s">
        <v>9</v>
      </c>
      <c r="E75" s="74" t="s">
        <v>805</v>
      </c>
      <c r="F75" s="84" t="s">
        <v>15</v>
      </c>
      <c r="G75" s="102" t="s">
        <v>696</v>
      </c>
      <c r="H75" s="41">
        <v>2500</v>
      </c>
      <c r="I75" s="41">
        <v>2500</v>
      </c>
      <c r="J75" s="99">
        <f t="shared" si="0"/>
        <v>100</v>
      </c>
    </row>
    <row r="76" spans="1:10" ht="63.75">
      <c r="A76" s="1"/>
      <c r="B76" s="25"/>
      <c r="C76" s="16" t="s">
        <v>136</v>
      </c>
      <c r="D76" s="16" t="s">
        <v>9</v>
      </c>
      <c r="E76" s="73" t="s">
        <v>196</v>
      </c>
      <c r="F76" s="16"/>
      <c r="G76" s="63" t="s">
        <v>533</v>
      </c>
      <c r="H76" s="100">
        <f>H77</f>
        <v>1023</v>
      </c>
      <c r="I76" s="100">
        <f>I77</f>
        <v>813</v>
      </c>
      <c r="J76" s="62">
        <f t="shared" si="0"/>
        <v>79.5</v>
      </c>
    </row>
    <row r="77" spans="1:10" ht="51">
      <c r="A77" s="1"/>
      <c r="B77" s="25"/>
      <c r="C77" s="16" t="s">
        <v>136</v>
      </c>
      <c r="D77" s="16" t="s">
        <v>9</v>
      </c>
      <c r="E77" s="21" t="s">
        <v>197</v>
      </c>
      <c r="F77" s="16"/>
      <c r="G77" s="48" t="s">
        <v>198</v>
      </c>
      <c r="H77" s="98">
        <f>H78</f>
        <v>1023</v>
      </c>
      <c r="I77" s="98">
        <f>I78</f>
        <v>813</v>
      </c>
      <c r="J77" s="58">
        <f t="shared" si="0"/>
        <v>79.5</v>
      </c>
    </row>
    <row r="78" spans="1:10" ht="51">
      <c r="A78" s="1"/>
      <c r="B78" s="25"/>
      <c r="C78" s="16" t="s">
        <v>136</v>
      </c>
      <c r="D78" s="16" t="s">
        <v>9</v>
      </c>
      <c r="E78" s="21" t="s">
        <v>312</v>
      </c>
      <c r="F78" s="16"/>
      <c r="G78" s="104" t="s">
        <v>532</v>
      </c>
      <c r="H78" s="103">
        <f>H79+H81+H83+H85+H87</f>
        <v>1023</v>
      </c>
      <c r="I78" s="103">
        <f>I79+I81+I83+I85+I87</f>
        <v>813</v>
      </c>
      <c r="J78" s="99">
        <f t="shared" si="0"/>
        <v>79.5</v>
      </c>
    </row>
    <row r="79" spans="1:10" ht="51">
      <c r="A79" s="1"/>
      <c r="B79" s="25"/>
      <c r="C79" s="16" t="s">
        <v>136</v>
      </c>
      <c r="D79" s="16" t="s">
        <v>9</v>
      </c>
      <c r="E79" s="74" t="s">
        <v>313</v>
      </c>
      <c r="F79" s="16"/>
      <c r="G79" s="104" t="s">
        <v>527</v>
      </c>
      <c r="H79" s="39">
        <f>H80</f>
        <v>99</v>
      </c>
      <c r="I79" s="39">
        <f>I80</f>
        <v>99</v>
      </c>
      <c r="J79" s="99">
        <f t="shared" ref="J79:J80" si="4">ROUND((I79/H79*100),1)</f>
        <v>100</v>
      </c>
    </row>
    <row r="80" spans="1:10" ht="38.25">
      <c r="A80" s="1"/>
      <c r="B80" s="25"/>
      <c r="C80" s="16" t="s">
        <v>136</v>
      </c>
      <c r="D80" s="16" t="s">
        <v>9</v>
      </c>
      <c r="E80" s="74" t="s">
        <v>313</v>
      </c>
      <c r="F80" s="85" t="s">
        <v>314</v>
      </c>
      <c r="G80" s="102" t="s">
        <v>315</v>
      </c>
      <c r="H80" s="39">
        <v>99</v>
      </c>
      <c r="I80" s="39">
        <v>99</v>
      </c>
      <c r="J80" s="99">
        <f t="shared" si="4"/>
        <v>100</v>
      </c>
    </row>
    <row r="81" spans="1:10" ht="51">
      <c r="A81" s="1"/>
      <c r="B81" s="25"/>
      <c r="C81" s="16" t="s">
        <v>136</v>
      </c>
      <c r="D81" s="16" t="s">
        <v>9</v>
      </c>
      <c r="E81" s="74" t="s">
        <v>528</v>
      </c>
      <c r="F81" s="16"/>
      <c r="G81" s="104" t="s">
        <v>595</v>
      </c>
      <c r="H81" s="39">
        <f>H82</f>
        <v>510</v>
      </c>
      <c r="I81" s="39">
        <f t="shared" ref="I81" si="5">I82</f>
        <v>510</v>
      </c>
      <c r="J81" s="99">
        <f t="shared" ref="J81:J142" si="6">ROUND((I81/H81*100),1)</f>
        <v>100</v>
      </c>
    </row>
    <row r="82" spans="1:10" ht="38.25">
      <c r="A82" s="1"/>
      <c r="B82" s="25"/>
      <c r="C82" s="16" t="s">
        <v>136</v>
      </c>
      <c r="D82" s="16" t="s">
        <v>9</v>
      </c>
      <c r="E82" s="74" t="s">
        <v>528</v>
      </c>
      <c r="F82" s="85" t="s">
        <v>314</v>
      </c>
      <c r="G82" s="102" t="s">
        <v>315</v>
      </c>
      <c r="H82" s="39">
        <f>300+210</f>
        <v>510</v>
      </c>
      <c r="I82" s="39">
        <f>300+210</f>
        <v>510</v>
      </c>
      <c r="J82" s="99">
        <f t="shared" si="6"/>
        <v>100</v>
      </c>
    </row>
    <row r="83" spans="1:10" ht="51">
      <c r="A83" s="1"/>
      <c r="B83" s="25"/>
      <c r="C83" s="16" t="s">
        <v>136</v>
      </c>
      <c r="D83" s="16" t="s">
        <v>9</v>
      </c>
      <c r="E83" s="74" t="s">
        <v>530</v>
      </c>
      <c r="F83" s="16"/>
      <c r="G83" s="104" t="s">
        <v>529</v>
      </c>
      <c r="H83" s="39">
        <f>H84</f>
        <v>99</v>
      </c>
      <c r="I83" s="41">
        <f t="shared" ref="I83" si="7">I84</f>
        <v>99</v>
      </c>
      <c r="J83" s="99">
        <f t="shared" si="6"/>
        <v>100</v>
      </c>
    </row>
    <row r="84" spans="1:10" ht="38.25">
      <c r="A84" s="1"/>
      <c r="B84" s="25"/>
      <c r="C84" s="16" t="s">
        <v>136</v>
      </c>
      <c r="D84" s="16" t="s">
        <v>9</v>
      </c>
      <c r="E84" s="74" t="s">
        <v>530</v>
      </c>
      <c r="F84" s="85" t="s">
        <v>314</v>
      </c>
      <c r="G84" s="102" t="s">
        <v>315</v>
      </c>
      <c r="H84" s="39">
        <v>99</v>
      </c>
      <c r="I84" s="39">
        <v>99</v>
      </c>
      <c r="J84" s="99">
        <f t="shared" si="6"/>
        <v>100</v>
      </c>
    </row>
    <row r="85" spans="1:10" ht="76.5">
      <c r="A85" s="1"/>
      <c r="B85" s="25"/>
      <c r="C85" s="16" t="s">
        <v>136</v>
      </c>
      <c r="D85" s="16" t="s">
        <v>9</v>
      </c>
      <c r="E85" s="74" t="s">
        <v>531</v>
      </c>
      <c r="F85" s="16"/>
      <c r="G85" s="104" t="s">
        <v>596</v>
      </c>
      <c r="H85" s="39">
        <f>H86</f>
        <v>210</v>
      </c>
      <c r="I85" s="39">
        <f>I86</f>
        <v>0</v>
      </c>
      <c r="J85" s="99">
        <f t="shared" si="6"/>
        <v>0</v>
      </c>
    </row>
    <row r="86" spans="1:10" ht="38.25">
      <c r="A86" s="1"/>
      <c r="B86" s="25"/>
      <c r="C86" s="16" t="s">
        <v>136</v>
      </c>
      <c r="D86" s="16" t="s">
        <v>9</v>
      </c>
      <c r="E86" s="74" t="s">
        <v>531</v>
      </c>
      <c r="F86" s="85" t="s">
        <v>314</v>
      </c>
      <c r="G86" s="102" t="s">
        <v>315</v>
      </c>
      <c r="H86" s="39">
        <f>1950.9-1740.9</f>
        <v>210</v>
      </c>
      <c r="I86" s="39">
        <v>0</v>
      </c>
      <c r="J86" s="99">
        <f t="shared" si="6"/>
        <v>0</v>
      </c>
    </row>
    <row r="87" spans="1:10" ht="38.25">
      <c r="A87" s="1"/>
      <c r="B87" s="25"/>
      <c r="C87" s="16" t="s">
        <v>136</v>
      </c>
      <c r="D87" s="16" t="s">
        <v>9</v>
      </c>
      <c r="E87" s="74" t="s">
        <v>646</v>
      </c>
      <c r="F87" s="16"/>
      <c r="G87" s="102" t="s">
        <v>647</v>
      </c>
      <c r="H87" s="41">
        <f>H88</f>
        <v>105</v>
      </c>
      <c r="I87" s="41">
        <f>I88</f>
        <v>105</v>
      </c>
      <c r="J87" s="99">
        <f t="shared" si="6"/>
        <v>100</v>
      </c>
    </row>
    <row r="88" spans="1:10" ht="38.25">
      <c r="A88" s="1"/>
      <c r="B88" s="25"/>
      <c r="C88" s="16" t="s">
        <v>136</v>
      </c>
      <c r="D88" s="16" t="s">
        <v>9</v>
      </c>
      <c r="E88" s="74" t="s">
        <v>646</v>
      </c>
      <c r="F88" s="85" t="s">
        <v>314</v>
      </c>
      <c r="G88" s="102" t="s">
        <v>315</v>
      </c>
      <c r="H88" s="41">
        <v>105</v>
      </c>
      <c r="I88" s="41">
        <v>105</v>
      </c>
      <c r="J88" s="99">
        <f t="shared" si="6"/>
        <v>100</v>
      </c>
    </row>
    <row r="89" spans="1:10" ht="50.25" customHeight="1">
      <c r="A89" s="153"/>
      <c r="B89" s="25"/>
      <c r="C89" s="5" t="s">
        <v>136</v>
      </c>
      <c r="D89" s="5" t="s">
        <v>9</v>
      </c>
      <c r="E89" s="73" t="s">
        <v>85</v>
      </c>
      <c r="F89" s="16"/>
      <c r="G89" s="53" t="s">
        <v>541</v>
      </c>
      <c r="H89" s="124">
        <f>H90</f>
        <v>1028.2</v>
      </c>
      <c r="I89" s="124">
        <f>I90</f>
        <v>942.59999999999991</v>
      </c>
      <c r="J89" s="62">
        <f t="shared" si="6"/>
        <v>91.7</v>
      </c>
    </row>
    <row r="90" spans="1:10" ht="63.75">
      <c r="A90" s="153"/>
      <c r="B90" s="25"/>
      <c r="C90" s="16" t="s">
        <v>136</v>
      </c>
      <c r="D90" s="16" t="s">
        <v>9</v>
      </c>
      <c r="E90" s="52" t="s">
        <v>671</v>
      </c>
      <c r="F90" s="16"/>
      <c r="G90" s="60" t="s">
        <v>672</v>
      </c>
      <c r="H90" s="98">
        <f>H91</f>
        <v>1028.2</v>
      </c>
      <c r="I90" s="98">
        <f>I91</f>
        <v>942.59999999999991</v>
      </c>
      <c r="J90" s="58">
        <f t="shared" si="6"/>
        <v>91.7</v>
      </c>
    </row>
    <row r="91" spans="1:10" ht="63.75">
      <c r="A91" s="153"/>
      <c r="B91" s="25"/>
      <c r="C91" s="16" t="s">
        <v>136</v>
      </c>
      <c r="D91" s="16" t="s">
        <v>9</v>
      </c>
      <c r="E91" s="21" t="s">
        <v>676</v>
      </c>
      <c r="F91" s="16"/>
      <c r="G91" s="102" t="s">
        <v>677</v>
      </c>
      <c r="H91" s="103">
        <f>H92+H94+H96</f>
        <v>1028.2</v>
      </c>
      <c r="I91" s="103">
        <f>I92+I94+I96</f>
        <v>942.59999999999991</v>
      </c>
      <c r="J91" s="99">
        <f t="shared" si="6"/>
        <v>91.7</v>
      </c>
    </row>
    <row r="92" spans="1:10" ht="63.75">
      <c r="A92" s="153"/>
      <c r="B92" s="25"/>
      <c r="C92" s="16" t="s">
        <v>136</v>
      </c>
      <c r="D92" s="16" t="s">
        <v>9</v>
      </c>
      <c r="E92" s="21" t="s">
        <v>678</v>
      </c>
      <c r="F92" s="85"/>
      <c r="G92" s="102" t="s">
        <v>668</v>
      </c>
      <c r="H92" s="41">
        <f>H93</f>
        <v>532.50000000000011</v>
      </c>
      <c r="I92" s="41">
        <f>I93</f>
        <v>528.4</v>
      </c>
      <c r="J92" s="99">
        <f t="shared" si="6"/>
        <v>99.2</v>
      </c>
    </row>
    <row r="93" spans="1:10" ht="38.25">
      <c r="A93" s="153"/>
      <c r="B93" s="25"/>
      <c r="C93" s="16" t="s">
        <v>136</v>
      </c>
      <c r="D93" s="16" t="s">
        <v>9</v>
      </c>
      <c r="E93" s="21" t="s">
        <v>678</v>
      </c>
      <c r="F93" s="85" t="s">
        <v>314</v>
      </c>
      <c r="G93" s="102" t="s">
        <v>315</v>
      </c>
      <c r="H93" s="41">
        <f>135+362.7+113-82.8-1.1+5.7</f>
        <v>532.50000000000011</v>
      </c>
      <c r="I93" s="39">
        <v>528.4</v>
      </c>
      <c r="J93" s="99">
        <f t="shared" si="6"/>
        <v>99.2</v>
      </c>
    </row>
    <row r="94" spans="1:10" ht="76.5">
      <c r="A94" s="153"/>
      <c r="B94" s="25"/>
      <c r="C94" s="16" t="s">
        <v>136</v>
      </c>
      <c r="D94" s="16" t="s">
        <v>9</v>
      </c>
      <c r="E94" s="21" t="s">
        <v>746</v>
      </c>
      <c r="F94" s="85"/>
      <c r="G94" s="102" t="s">
        <v>747</v>
      </c>
      <c r="H94" s="41">
        <f>H95</f>
        <v>10</v>
      </c>
      <c r="I94" s="41">
        <f>I95</f>
        <v>8.4</v>
      </c>
      <c r="J94" s="99">
        <f t="shared" si="6"/>
        <v>84</v>
      </c>
    </row>
    <row r="95" spans="1:10" ht="38.25">
      <c r="A95" s="153"/>
      <c r="B95" s="25"/>
      <c r="C95" s="16" t="s">
        <v>136</v>
      </c>
      <c r="D95" s="16" t="s">
        <v>9</v>
      </c>
      <c r="E95" s="21" t="s">
        <v>746</v>
      </c>
      <c r="F95" s="85" t="s">
        <v>314</v>
      </c>
      <c r="G95" s="102" t="s">
        <v>315</v>
      </c>
      <c r="H95" s="41">
        <f>8.4+1.6</f>
        <v>10</v>
      </c>
      <c r="I95" s="41">
        <v>8.4</v>
      </c>
      <c r="J95" s="99">
        <f t="shared" si="6"/>
        <v>84</v>
      </c>
    </row>
    <row r="96" spans="1:10" ht="38.25">
      <c r="A96" s="153"/>
      <c r="B96" s="25"/>
      <c r="C96" s="16" t="s">
        <v>136</v>
      </c>
      <c r="D96" s="16" t="s">
        <v>9</v>
      </c>
      <c r="E96" s="21" t="s">
        <v>759</v>
      </c>
      <c r="F96" s="85"/>
      <c r="G96" s="160" t="s">
        <v>758</v>
      </c>
      <c r="H96" s="41">
        <f>H97</f>
        <v>485.7</v>
      </c>
      <c r="I96" s="41">
        <f>I97</f>
        <v>405.8</v>
      </c>
      <c r="J96" s="99">
        <f t="shared" si="6"/>
        <v>83.5</v>
      </c>
    </row>
    <row r="97" spans="1:10" ht="38.25">
      <c r="A97" s="153"/>
      <c r="B97" s="25"/>
      <c r="C97" s="16" t="s">
        <v>136</v>
      </c>
      <c r="D97" s="16" t="s">
        <v>9</v>
      </c>
      <c r="E97" s="21" t="s">
        <v>759</v>
      </c>
      <c r="F97" s="85" t="s">
        <v>314</v>
      </c>
      <c r="G97" s="102" t="s">
        <v>315</v>
      </c>
      <c r="H97" s="41">
        <v>485.7</v>
      </c>
      <c r="I97" s="39">
        <v>405.8</v>
      </c>
      <c r="J97" s="99">
        <f t="shared" si="6"/>
        <v>83.5</v>
      </c>
    </row>
    <row r="98" spans="1:10" ht="25.5">
      <c r="A98" s="1"/>
      <c r="B98" s="25"/>
      <c r="C98" s="5" t="s">
        <v>136</v>
      </c>
      <c r="D98" s="5" t="s">
        <v>9</v>
      </c>
      <c r="E98" s="87">
        <v>9900000000</v>
      </c>
      <c r="F98" s="5"/>
      <c r="G98" s="88" t="s">
        <v>194</v>
      </c>
      <c r="H98" s="100">
        <f>H99+H102+H106+H120+H130</f>
        <v>46493.600000000006</v>
      </c>
      <c r="I98" s="100">
        <f>I99+I102+I106+I120+I130</f>
        <v>45436.7</v>
      </c>
      <c r="J98" s="99">
        <f t="shared" si="6"/>
        <v>97.7</v>
      </c>
    </row>
    <row r="99" spans="1:10" ht="14.25">
      <c r="A99" s="153"/>
      <c r="B99" s="25"/>
      <c r="C99" s="16" t="s">
        <v>136</v>
      </c>
      <c r="D99" s="16" t="s">
        <v>9</v>
      </c>
      <c r="E99" s="80">
        <v>9920000000</v>
      </c>
      <c r="F99" s="35"/>
      <c r="G99" s="162" t="s">
        <v>5</v>
      </c>
      <c r="H99" s="99">
        <f>H100</f>
        <v>1507.6</v>
      </c>
      <c r="I99" s="99">
        <f>I100</f>
        <v>1348.9</v>
      </c>
      <c r="J99" s="99">
        <f t="shared" si="6"/>
        <v>89.5</v>
      </c>
    </row>
    <row r="100" spans="1:10" ht="25.5">
      <c r="A100" s="153"/>
      <c r="B100" s="25"/>
      <c r="C100" s="16" t="s">
        <v>136</v>
      </c>
      <c r="D100" s="16" t="s">
        <v>9</v>
      </c>
      <c r="E100" s="80" t="s">
        <v>51</v>
      </c>
      <c r="F100" s="21"/>
      <c r="G100" s="22" t="s">
        <v>13</v>
      </c>
      <c r="H100" s="39">
        <f>H101</f>
        <v>1507.6</v>
      </c>
      <c r="I100" s="39">
        <f>I101</f>
        <v>1348.9</v>
      </c>
      <c r="J100" s="99">
        <f t="shared" si="6"/>
        <v>89.5</v>
      </c>
    </row>
    <row r="101" spans="1:10" ht="38.25">
      <c r="A101" s="153"/>
      <c r="B101" s="25"/>
      <c r="C101" s="16" t="s">
        <v>136</v>
      </c>
      <c r="D101" s="16" t="s">
        <v>9</v>
      </c>
      <c r="E101" s="80" t="s">
        <v>51</v>
      </c>
      <c r="F101" s="85" t="s">
        <v>314</v>
      </c>
      <c r="G101" s="102" t="s">
        <v>315</v>
      </c>
      <c r="H101" s="39">
        <f>165.3+26.4+158.5+214.9+607.5+325.9+9.1</f>
        <v>1507.6</v>
      </c>
      <c r="I101" s="41">
        <v>1348.9</v>
      </c>
      <c r="J101" s="99">
        <f t="shared" si="6"/>
        <v>89.5</v>
      </c>
    </row>
    <row r="102" spans="1:10" ht="25.5">
      <c r="A102" s="1"/>
      <c r="B102" s="25"/>
      <c r="C102" s="16" t="s">
        <v>136</v>
      </c>
      <c r="D102" s="16" t="s">
        <v>9</v>
      </c>
      <c r="E102" s="80">
        <v>9930000000</v>
      </c>
      <c r="F102" s="16"/>
      <c r="G102" s="22" t="s">
        <v>55</v>
      </c>
      <c r="H102" s="39">
        <f>H103</f>
        <v>198</v>
      </c>
      <c r="I102" s="39">
        <f>I103</f>
        <v>176</v>
      </c>
      <c r="J102" s="99">
        <f t="shared" si="6"/>
        <v>88.9</v>
      </c>
    </row>
    <row r="103" spans="1:10" ht="38.25">
      <c r="A103" s="1"/>
      <c r="B103" s="25"/>
      <c r="C103" s="16" t="s">
        <v>136</v>
      </c>
      <c r="D103" s="16" t="s">
        <v>9</v>
      </c>
      <c r="E103" s="80">
        <v>9930010540</v>
      </c>
      <c r="F103" s="16"/>
      <c r="G103" s="22" t="s">
        <v>21</v>
      </c>
      <c r="H103" s="39">
        <f>H104+H105</f>
        <v>198</v>
      </c>
      <c r="I103" s="39">
        <f>I104+I105</f>
        <v>176</v>
      </c>
      <c r="J103" s="99">
        <f t="shared" si="6"/>
        <v>88.9</v>
      </c>
    </row>
    <row r="104" spans="1:10" ht="38.25">
      <c r="A104" s="1"/>
      <c r="B104" s="25"/>
      <c r="C104" s="16" t="s">
        <v>136</v>
      </c>
      <c r="D104" s="16" t="s">
        <v>9</v>
      </c>
      <c r="E104" s="80">
        <v>9930010540</v>
      </c>
      <c r="F104" s="16" t="s">
        <v>102</v>
      </c>
      <c r="G104" s="107" t="s">
        <v>103</v>
      </c>
      <c r="H104" s="39">
        <v>171.3</v>
      </c>
      <c r="I104" s="41">
        <v>149.30000000000001</v>
      </c>
      <c r="J104" s="99">
        <f t="shared" si="6"/>
        <v>87.2</v>
      </c>
    </row>
    <row r="105" spans="1:10" ht="38.25">
      <c r="A105" s="1"/>
      <c r="B105" s="25"/>
      <c r="C105" s="16" t="s">
        <v>136</v>
      </c>
      <c r="D105" s="16" t="s">
        <v>9</v>
      </c>
      <c r="E105" s="80">
        <v>9930010540</v>
      </c>
      <c r="F105" s="85" t="s">
        <v>314</v>
      </c>
      <c r="G105" s="102" t="s">
        <v>315</v>
      </c>
      <c r="H105" s="39">
        <v>26.7</v>
      </c>
      <c r="I105" s="39">
        <v>26.7</v>
      </c>
      <c r="J105" s="99">
        <f t="shared" si="6"/>
        <v>100</v>
      </c>
    </row>
    <row r="106" spans="1:10" ht="29.25" customHeight="1">
      <c r="A106" s="1"/>
      <c r="B106" s="25"/>
      <c r="C106" s="16" t="s">
        <v>136</v>
      </c>
      <c r="D106" s="16" t="s">
        <v>9</v>
      </c>
      <c r="E106" s="16" t="s">
        <v>31</v>
      </c>
      <c r="F106" s="16"/>
      <c r="G106" s="104" t="s">
        <v>53</v>
      </c>
      <c r="H106" s="39">
        <f>H107+H112+H116+H118</f>
        <v>20674.2</v>
      </c>
      <c r="I106" s="39">
        <f>I107+I112+I116+I118</f>
        <v>20540.8</v>
      </c>
      <c r="J106" s="99">
        <f t="shared" si="6"/>
        <v>99.4</v>
      </c>
    </row>
    <row r="107" spans="1:10" ht="25.5">
      <c r="A107" s="1"/>
      <c r="B107" s="25"/>
      <c r="C107" s="16" t="s">
        <v>136</v>
      </c>
      <c r="D107" s="16" t="s">
        <v>9</v>
      </c>
      <c r="E107" s="84" t="s">
        <v>286</v>
      </c>
      <c r="F107" s="16"/>
      <c r="G107" s="104" t="s">
        <v>54</v>
      </c>
      <c r="H107" s="39">
        <f>SUM(H108:H111)</f>
        <v>7956.6</v>
      </c>
      <c r="I107" s="39">
        <f>SUM(I108:I111)</f>
        <v>7823.4000000000005</v>
      </c>
      <c r="J107" s="99">
        <f t="shared" si="6"/>
        <v>98.3</v>
      </c>
    </row>
    <row r="108" spans="1:10" ht="38.25">
      <c r="A108" s="1"/>
      <c r="B108" s="25"/>
      <c r="C108" s="16" t="s">
        <v>136</v>
      </c>
      <c r="D108" s="16" t="s">
        <v>9</v>
      </c>
      <c r="E108" s="84" t="s">
        <v>286</v>
      </c>
      <c r="F108" s="85" t="s">
        <v>314</v>
      </c>
      <c r="G108" s="102" t="s">
        <v>315</v>
      </c>
      <c r="H108" s="39">
        <v>241</v>
      </c>
      <c r="I108" s="118">
        <v>189.9</v>
      </c>
      <c r="J108" s="99">
        <f t="shared" si="6"/>
        <v>78.8</v>
      </c>
    </row>
    <row r="109" spans="1:10">
      <c r="A109" s="1"/>
      <c r="B109" s="25"/>
      <c r="C109" s="16" t="s">
        <v>136</v>
      </c>
      <c r="D109" s="16" t="s">
        <v>9</v>
      </c>
      <c r="E109" s="84" t="s">
        <v>286</v>
      </c>
      <c r="F109" s="16" t="s">
        <v>129</v>
      </c>
      <c r="G109" s="102" t="s">
        <v>130</v>
      </c>
      <c r="H109" s="39">
        <f>359-39.6</f>
        <v>319.39999999999998</v>
      </c>
      <c r="I109" s="39">
        <v>243.3</v>
      </c>
      <c r="J109" s="99">
        <f t="shared" si="6"/>
        <v>76.2</v>
      </c>
    </row>
    <row r="110" spans="1:10">
      <c r="A110" s="153"/>
      <c r="B110" s="25"/>
      <c r="C110" s="16" t="s">
        <v>136</v>
      </c>
      <c r="D110" s="16" t="s">
        <v>9</v>
      </c>
      <c r="E110" s="84" t="s">
        <v>286</v>
      </c>
      <c r="F110" s="85" t="s">
        <v>466</v>
      </c>
      <c r="G110" s="102" t="s">
        <v>467</v>
      </c>
      <c r="H110" s="39">
        <f>19.6+21.5+6+766.2+383.3</f>
        <v>1196.6000000000001</v>
      </c>
      <c r="I110" s="39">
        <f>19.6+21.5+6+766.2+383.3</f>
        <v>1196.6000000000001</v>
      </c>
      <c r="J110" s="99">
        <f t="shared" si="6"/>
        <v>100</v>
      </c>
    </row>
    <row r="111" spans="1:10" ht="15.75" customHeight="1">
      <c r="A111" s="1"/>
      <c r="B111" s="25"/>
      <c r="C111" s="16" t="s">
        <v>136</v>
      </c>
      <c r="D111" s="16" t="s">
        <v>9</v>
      </c>
      <c r="E111" s="84" t="s">
        <v>286</v>
      </c>
      <c r="F111" s="84" t="s">
        <v>180</v>
      </c>
      <c r="G111" s="215" t="s">
        <v>181</v>
      </c>
      <c r="H111" s="39">
        <f>602-400+4328.7+28.7+900.7+92.1+607.8+39.6</f>
        <v>6199.6</v>
      </c>
      <c r="I111" s="39">
        <v>6193.6</v>
      </c>
      <c r="J111" s="99">
        <f t="shared" si="6"/>
        <v>99.9</v>
      </c>
    </row>
    <row r="112" spans="1:10" ht="25.5">
      <c r="A112" s="153"/>
      <c r="B112" s="25"/>
      <c r="C112" s="16" t="s">
        <v>136</v>
      </c>
      <c r="D112" s="16" t="s">
        <v>9</v>
      </c>
      <c r="E112" s="85" t="s">
        <v>488</v>
      </c>
      <c r="F112" s="16"/>
      <c r="G112" s="54" t="s">
        <v>468</v>
      </c>
      <c r="H112" s="39">
        <f>SUM(H113:H115)</f>
        <v>3529.2000000000003</v>
      </c>
      <c r="I112" s="39">
        <f>SUM(I113:I115)</f>
        <v>3529.2000000000003</v>
      </c>
      <c r="J112" s="99">
        <f t="shared" si="6"/>
        <v>100</v>
      </c>
    </row>
    <row r="113" spans="1:10" ht="38.25">
      <c r="A113" s="153"/>
      <c r="B113" s="25"/>
      <c r="C113" s="16" t="s">
        <v>136</v>
      </c>
      <c r="D113" s="16" t="s">
        <v>9</v>
      </c>
      <c r="E113" s="85" t="s">
        <v>488</v>
      </c>
      <c r="F113" s="85" t="s">
        <v>314</v>
      </c>
      <c r="G113" s="102" t="s">
        <v>315</v>
      </c>
      <c r="H113" s="39">
        <f>76.4-9.1</f>
        <v>67.300000000000011</v>
      </c>
      <c r="I113" s="39">
        <v>67.3</v>
      </c>
      <c r="J113" s="99">
        <f t="shared" si="6"/>
        <v>100</v>
      </c>
    </row>
    <row r="114" spans="1:10">
      <c r="A114" s="153"/>
      <c r="B114" s="25"/>
      <c r="C114" s="16" t="s">
        <v>136</v>
      </c>
      <c r="D114" s="16" t="s">
        <v>9</v>
      </c>
      <c r="E114" s="85" t="s">
        <v>488</v>
      </c>
      <c r="F114" s="85" t="s">
        <v>466</v>
      </c>
      <c r="G114" s="102" t="s">
        <v>467</v>
      </c>
      <c r="H114" s="39">
        <f>28.1</f>
        <v>28.1</v>
      </c>
      <c r="I114" s="39">
        <f>28.1</f>
        <v>28.1</v>
      </c>
      <c r="J114" s="99">
        <f t="shared" si="6"/>
        <v>100</v>
      </c>
    </row>
    <row r="115" spans="1:10" ht="15.75" customHeight="1">
      <c r="A115" s="153"/>
      <c r="B115" s="25"/>
      <c r="C115" s="16" t="s">
        <v>136</v>
      </c>
      <c r="D115" s="16" t="s">
        <v>9</v>
      </c>
      <c r="E115" s="85" t="s">
        <v>488</v>
      </c>
      <c r="F115" s="84" t="s">
        <v>180</v>
      </c>
      <c r="G115" s="215" t="s">
        <v>181</v>
      </c>
      <c r="H115" s="39">
        <f>400+100+2991.2-28.7-28.7</f>
        <v>3433.8</v>
      </c>
      <c r="I115" s="39">
        <f>400+100+2991.2-28.7-28.7</f>
        <v>3433.8</v>
      </c>
      <c r="J115" s="99">
        <f t="shared" si="6"/>
        <v>100</v>
      </c>
    </row>
    <row r="116" spans="1:10">
      <c r="A116" s="153"/>
      <c r="B116" s="25"/>
      <c r="C116" s="16" t="s">
        <v>136</v>
      </c>
      <c r="D116" s="16" t="s">
        <v>9</v>
      </c>
      <c r="E116" s="85" t="s">
        <v>783</v>
      </c>
      <c r="F116" s="84"/>
      <c r="G116" s="102" t="s">
        <v>780</v>
      </c>
      <c r="H116" s="39">
        <f>H117</f>
        <v>9178.4</v>
      </c>
      <c r="I116" s="39">
        <f>I117</f>
        <v>9178.4</v>
      </c>
      <c r="J116" s="99">
        <f t="shared" si="6"/>
        <v>100</v>
      </c>
    </row>
    <row r="117" spans="1:10" ht="63.75">
      <c r="A117" s="153"/>
      <c r="B117" s="25"/>
      <c r="C117" s="16" t="s">
        <v>136</v>
      </c>
      <c r="D117" s="16" t="s">
        <v>9</v>
      </c>
      <c r="E117" s="85" t="s">
        <v>783</v>
      </c>
      <c r="F117" s="16" t="s">
        <v>15</v>
      </c>
      <c r="G117" s="102" t="s">
        <v>696</v>
      </c>
      <c r="H117" s="39">
        <f>300+5954.9+328+2595.5+2500-2500</f>
        <v>9178.4</v>
      </c>
      <c r="I117" s="39">
        <f>300+5954.9+328+2595.5+2500-2500</f>
        <v>9178.4</v>
      </c>
      <c r="J117" s="99">
        <f t="shared" si="6"/>
        <v>100</v>
      </c>
    </row>
    <row r="118" spans="1:10" ht="39" customHeight="1">
      <c r="A118" s="153"/>
      <c r="B118" s="25"/>
      <c r="C118" s="16" t="s">
        <v>136</v>
      </c>
      <c r="D118" s="16" t="s">
        <v>9</v>
      </c>
      <c r="E118" s="85" t="s">
        <v>589</v>
      </c>
      <c r="F118" s="16"/>
      <c r="G118" s="54" t="s">
        <v>590</v>
      </c>
      <c r="H118" s="41">
        <f>SUM(H119:H119)</f>
        <v>10</v>
      </c>
      <c r="I118" s="41">
        <f>SUM(I119:I119)</f>
        <v>9.8000000000000007</v>
      </c>
      <c r="J118" s="99">
        <f t="shared" si="6"/>
        <v>98</v>
      </c>
    </row>
    <row r="119" spans="1:10" ht="38.25">
      <c r="A119" s="153"/>
      <c r="B119" s="25"/>
      <c r="C119" s="16" t="s">
        <v>136</v>
      </c>
      <c r="D119" s="16" t="s">
        <v>9</v>
      </c>
      <c r="E119" s="85" t="s">
        <v>589</v>
      </c>
      <c r="F119" s="85" t="s">
        <v>314</v>
      </c>
      <c r="G119" s="102" t="s">
        <v>315</v>
      </c>
      <c r="H119" s="41">
        <v>10</v>
      </c>
      <c r="I119" s="39">
        <v>9.8000000000000007</v>
      </c>
      <c r="J119" s="99">
        <f t="shared" si="6"/>
        <v>98</v>
      </c>
    </row>
    <row r="120" spans="1:10" ht="25.5">
      <c r="A120" s="1"/>
      <c r="B120" s="25"/>
      <c r="C120" s="16" t="s">
        <v>136</v>
      </c>
      <c r="D120" s="16" t="s">
        <v>9</v>
      </c>
      <c r="E120" s="85" t="s">
        <v>283</v>
      </c>
      <c r="F120" s="16"/>
      <c r="G120" s="104" t="s">
        <v>284</v>
      </c>
      <c r="H120" s="39">
        <f>H121+H125</f>
        <v>23613.5</v>
      </c>
      <c r="I120" s="39">
        <f>I121+I125</f>
        <v>22871.5</v>
      </c>
      <c r="J120" s="99">
        <f t="shared" si="6"/>
        <v>96.9</v>
      </c>
    </row>
    <row r="121" spans="1:10" ht="38.25">
      <c r="A121" s="1"/>
      <c r="B121" s="25"/>
      <c r="C121" s="16" t="s">
        <v>136</v>
      </c>
      <c r="D121" s="16" t="s">
        <v>9</v>
      </c>
      <c r="E121" s="21" t="s">
        <v>285</v>
      </c>
      <c r="F121" s="47"/>
      <c r="G121" s="54" t="s">
        <v>425</v>
      </c>
      <c r="H121" s="41">
        <f>SUM(H122:H124)</f>
        <v>8726.7000000000007</v>
      </c>
      <c r="I121" s="41">
        <f>SUM(I122:I124)</f>
        <v>8720.7000000000007</v>
      </c>
      <c r="J121" s="99">
        <f t="shared" si="6"/>
        <v>99.9</v>
      </c>
    </row>
    <row r="122" spans="1:10" ht="25.5">
      <c r="A122" s="1"/>
      <c r="B122" s="25"/>
      <c r="C122" s="16" t="s">
        <v>136</v>
      </c>
      <c r="D122" s="16" t="s">
        <v>9</v>
      </c>
      <c r="E122" s="21" t="s">
        <v>285</v>
      </c>
      <c r="F122" s="16" t="s">
        <v>104</v>
      </c>
      <c r="G122" s="107" t="s">
        <v>179</v>
      </c>
      <c r="H122" s="41">
        <v>7803.3</v>
      </c>
      <c r="I122" s="41">
        <v>7803.3</v>
      </c>
      <c r="J122" s="99">
        <f t="shared" si="6"/>
        <v>100</v>
      </c>
    </row>
    <row r="123" spans="1:10" ht="38.25">
      <c r="A123" s="1"/>
      <c r="B123" s="25"/>
      <c r="C123" s="16" t="s">
        <v>136</v>
      </c>
      <c r="D123" s="16" t="s">
        <v>9</v>
      </c>
      <c r="E123" s="21" t="s">
        <v>285</v>
      </c>
      <c r="F123" s="85" t="s">
        <v>314</v>
      </c>
      <c r="G123" s="102" t="s">
        <v>315</v>
      </c>
      <c r="H123" s="41">
        <f>686.8+60+150+25.6-3.6</f>
        <v>918.8</v>
      </c>
      <c r="I123" s="39">
        <v>912.8</v>
      </c>
      <c r="J123" s="99">
        <f t="shared" si="6"/>
        <v>99.3</v>
      </c>
    </row>
    <row r="124" spans="1:10" ht="14.25" customHeight="1">
      <c r="A124" s="1"/>
      <c r="B124" s="25"/>
      <c r="C124" s="16" t="s">
        <v>136</v>
      </c>
      <c r="D124" s="16" t="s">
        <v>9</v>
      </c>
      <c r="E124" s="21" t="s">
        <v>285</v>
      </c>
      <c r="F124" s="84" t="s">
        <v>180</v>
      </c>
      <c r="G124" s="215" t="s">
        <v>181</v>
      </c>
      <c r="H124" s="41">
        <f>1+3.6</f>
        <v>4.5999999999999996</v>
      </c>
      <c r="I124" s="39">
        <v>4.5999999999999996</v>
      </c>
      <c r="J124" s="99">
        <f t="shared" si="6"/>
        <v>100</v>
      </c>
    </row>
    <row r="125" spans="1:10" ht="25.5">
      <c r="A125" s="1"/>
      <c r="B125" s="25"/>
      <c r="C125" s="16" t="s">
        <v>136</v>
      </c>
      <c r="D125" s="16" t="s">
        <v>9</v>
      </c>
      <c r="E125" s="21" t="s">
        <v>287</v>
      </c>
      <c r="F125" s="47"/>
      <c r="G125" s="54" t="s">
        <v>426</v>
      </c>
      <c r="H125" s="41">
        <f>SUM(H126:H129)</f>
        <v>14886.8</v>
      </c>
      <c r="I125" s="41">
        <f>SUM(I126:I129)</f>
        <v>14150.8</v>
      </c>
      <c r="J125" s="99">
        <f t="shared" si="6"/>
        <v>95.1</v>
      </c>
    </row>
    <row r="126" spans="1:10" ht="25.5">
      <c r="A126" s="1"/>
      <c r="B126" s="25"/>
      <c r="C126" s="16" t="s">
        <v>136</v>
      </c>
      <c r="D126" s="16" t="s">
        <v>9</v>
      </c>
      <c r="E126" s="21" t="s">
        <v>287</v>
      </c>
      <c r="F126" s="16" t="s">
        <v>104</v>
      </c>
      <c r="G126" s="107" t="s">
        <v>179</v>
      </c>
      <c r="H126" s="41">
        <f>6912.1-37.1</f>
        <v>6875</v>
      </c>
      <c r="I126" s="41">
        <v>6792.9</v>
      </c>
      <c r="J126" s="99">
        <f t="shared" si="6"/>
        <v>98.8</v>
      </c>
    </row>
    <row r="127" spans="1:10" ht="38.25">
      <c r="A127" s="1"/>
      <c r="B127" s="25"/>
      <c r="C127" s="16" t="s">
        <v>136</v>
      </c>
      <c r="D127" s="16" t="s">
        <v>9</v>
      </c>
      <c r="E127" s="21" t="s">
        <v>287</v>
      </c>
      <c r="F127" s="85" t="s">
        <v>314</v>
      </c>
      <c r="G127" s="102" t="s">
        <v>315</v>
      </c>
      <c r="H127" s="41">
        <f>8951.4+20.2-28.1-60-10+125.9-1000-166</f>
        <v>7833.4</v>
      </c>
      <c r="I127" s="103">
        <v>7202.9</v>
      </c>
      <c r="J127" s="58">
        <f t="shared" si="6"/>
        <v>92</v>
      </c>
    </row>
    <row r="128" spans="1:10">
      <c r="A128" s="153"/>
      <c r="B128" s="25"/>
      <c r="C128" s="16" t="s">
        <v>136</v>
      </c>
      <c r="D128" s="16" t="s">
        <v>9</v>
      </c>
      <c r="E128" s="21" t="s">
        <v>287</v>
      </c>
      <c r="F128" s="85" t="s">
        <v>466</v>
      </c>
      <c r="G128" s="102" t="s">
        <v>467</v>
      </c>
      <c r="H128" s="118">
        <v>11.9</v>
      </c>
      <c r="I128" s="41">
        <v>11.9</v>
      </c>
      <c r="J128" s="99">
        <f t="shared" si="6"/>
        <v>100</v>
      </c>
    </row>
    <row r="129" spans="1:10" ht="18" customHeight="1">
      <c r="A129" s="1"/>
      <c r="B129" s="25"/>
      <c r="C129" s="16" t="s">
        <v>136</v>
      </c>
      <c r="D129" s="16" t="s">
        <v>9</v>
      </c>
      <c r="E129" s="21" t="s">
        <v>287</v>
      </c>
      <c r="F129" s="84" t="s">
        <v>180</v>
      </c>
      <c r="G129" s="215" t="s">
        <v>181</v>
      </c>
      <c r="H129" s="118">
        <f>128.6+10+27.9</f>
        <v>166.5</v>
      </c>
      <c r="I129" s="41">
        <v>143.1</v>
      </c>
      <c r="J129" s="99">
        <f t="shared" si="6"/>
        <v>85.9</v>
      </c>
    </row>
    <row r="130" spans="1:10" ht="38.25">
      <c r="A130" s="1"/>
      <c r="B130" s="25"/>
      <c r="C130" s="16" t="s">
        <v>136</v>
      </c>
      <c r="D130" s="16" t="s">
        <v>9</v>
      </c>
      <c r="E130" s="80">
        <v>9980000000</v>
      </c>
      <c r="F130" s="16"/>
      <c r="G130" s="54" t="s">
        <v>37</v>
      </c>
      <c r="H130" s="39">
        <f>H131</f>
        <v>500.3</v>
      </c>
      <c r="I130" s="39">
        <f>I131</f>
        <v>499.5</v>
      </c>
      <c r="J130" s="99">
        <f t="shared" si="6"/>
        <v>99.8</v>
      </c>
    </row>
    <row r="131" spans="1:10">
      <c r="A131" s="1"/>
      <c r="B131" s="25"/>
      <c r="C131" s="16" t="s">
        <v>136</v>
      </c>
      <c r="D131" s="16" t="s">
        <v>9</v>
      </c>
      <c r="E131" s="80" t="s">
        <v>52</v>
      </c>
      <c r="F131" s="16"/>
      <c r="G131" s="109" t="s">
        <v>428</v>
      </c>
      <c r="H131" s="39">
        <f>H132+H133</f>
        <v>500.3</v>
      </c>
      <c r="I131" s="39">
        <f>I132+I133</f>
        <v>499.5</v>
      </c>
      <c r="J131" s="99">
        <f t="shared" si="6"/>
        <v>99.8</v>
      </c>
    </row>
    <row r="132" spans="1:10" ht="38.25">
      <c r="A132" s="1"/>
      <c r="B132" s="25"/>
      <c r="C132" s="16" t="s">
        <v>136</v>
      </c>
      <c r="D132" s="16" t="s">
        <v>9</v>
      </c>
      <c r="E132" s="80" t="s">
        <v>52</v>
      </c>
      <c r="F132" s="16" t="s">
        <v>102</v>
      </c>
      <c r="G132" s="55" t="s">
        <v>103</v>
      </c>
      <c r="H132" s="39">
        <f>349.6-59.6</f>
        <v>290</v>
      </c>
      <c r="I132" s="103">
        <v>290</v>
      </c>
      <c r="J132" s="99">
        <f t="shared" si="6"/>
        <v>100</v>
      </c>
    </row>
    <row r="133" spans="1:10" ht="38.25">
      <c r="A133" s="1"/>
      <c r="B133" s="25"/>
      <c r="C133" s="16" t="s">
        <v>136</v>
      </c>
      <c r="D133" s="16" t="s">
        <v>9</v>
      </c>
      <c r="E133" s="80" t="s">
        <v>52</v>
      </c>
      <c r="F133" s="85" t="s">
        <v>314</v>
      </c>
      <c r="G133" s="102" t="s">
        <v>315</v>
      </c>
      <c r="H133" s="39">
        <f>276.3-125.6+59.6</f>
        <v>210.3</v>
      </c>
      <c r="I133" s="41">
        <v>209.5</v>
      </c>
      <c r="J133" s="58">
        <f t="shared" si="6"/>
        <v>99.6</v>
      </c>
    </row>
    <row r="134" spans="1:10" ht="45">
      <c r="A134" s="3"/>
      <c r="B134" s="96"/>
      <c r="C134" s="4" t="s">
        <v>141</v>
      </c>
      <c r="D134" s="3"/>
      <c r="E134" s="3"/>
      <c r="F134" s="3"/>
      <c r="G134" s="49" t="s">
        <v>146</v>
      </c>
      <c r="H134" s="97">
        <f>H135+H145+H167+H176</f>
        <v>8083.9999999999991</v>
      </c>
      <c r="I134" s="97">
        <f>I135+I145+I167+I176</f>
        <v>8120.6999999999989</v>
      </c>
      <c r="J134" s="62">
        <f t="shared" si="6"/>
        <v>100.5</v>
      </c>
    </row>
    <row r="135" spans="1:10" ht="15.75">
      <c r="A135" s="3"/>
      <c r="B135" s="96"/>
      <c r="C135" s="28" t="s">
        <v>141</v>
      </c>
      <c r="D135" s="28" t="s">
        <v>142</v>
      </c>
      <c r="E135" s="28"/>
      <c r="F135" s="34"/>
      <c r="G135" s="46" t="s">
        <v>23</v>
      </c>
      <c r="H135" s="40">
        <f>H136</f>
        <v>2003.9</v>
      </c>
      <c r="I135" s="40">
        <f>I136</f>
        <v>2181.6</v>
      </c>
      <c r="J135" s="58">
        <f t="shared" si="6"/>
        <v>108.9</v>
      </c>
    </row>
    <row r="136" spans="1:10" ht="25.5">
      <c r="A136" s="3"/>
      <c r="B136" s="96"/>
      <c r="C136" s="16" t="s">
        <v>141</v>
      </c>
      <c r="D136" s="16" t="s">
        <v>142</v>
      </c>
      <c r="E136" s="80">
        <v>9900000000</v>
      </c>
      <c r="F136" s="34"/>
      <c r="G136" s="55" t="s">
        <v>194</v>
      </c>
      <c r="H136" s="41">
        <f>H137</f>
        <v>2003.9</v>
      </c>
      <c r="I136" s="41">
        <f>I137</f>
        <v>2181.6</v>
      </c>
      <c r="J136" s="99">
        <f t="shared" si="6"/>
        <v>108.9</v>
      </c>
    </row>
    <row r="137" spans="1:10" ht="26.25">
      <c r="A137" s="3"/>
      <c r="B137" s="96"/>
      <c r="C137" s="16" t="s">
        <v>141</v>
      </c>
      <c r="D137" s="16" t="s">
        <v>142</v>
      </c>
      <c r="E137" s="80">
        <v>9930000000</v>
      </c>
      <c r="F137" s="16"/>
      <c r="G137" s="22" t="s">
        <v>55</v>
      </c>
      <c r="H137" s="41">
        <f>H138+H141+H143</f>
        <v>2003.9</v>
      </c>
      <c r="I137" s="41">
        <f>I138+I141+I143</f>
        <v>2181.6</v>
      </c>
      <c r="J137" s="99">
        <f t="shared" si="6"/>
        <v>108.9</v>
      </c>
    </row>
    <row r="138" spans="1:10" ht="51.75">
      <c r="A138" s="3"/>
      <c r="B138" s="96"/>
      <c r="C138" s="16" t="s">
        <v>141</v>
      </c>
      <c r="D138" s="16" t="s">
        <v>142</v>
      </c>
      <c r="E138" s="80">
        <v>9930059302</v>
      </c>
      <c r="F138" s="16"/>
      <c r="G138" s="159" t="s">
        <v>693</v>
      </c>
      <c r="H138" s="39">
        <f>SUM(H139:H140)</f>
        <v>1764.8000000000002</v>
      </c>
      <c r="I138" s="39">
        <f>SUM(I139:I140)</f>
        <v>1764.8000000000002</v>
      </c>
      <c r="J138" s="99">
        <f t="shared" si="6"/>
        <v>100</v>
      </c>
    </row>
    <row r="139" spans="1:10" ht="38.25">
      <c r="A139" s="3"/>
      <c r="B139" s="96"/>
      <c r="C139" s="16" t="s">
        <v>141</v>
      </c>
      <c r="D139" s="16" t="s">
        <v>142</v>
      </c>
      <c r="E139" s="80">
        <v>9930059302</v>
      </c>
      <c r="F139" s="16" t="s">
        <v>102</v>
      </c>
      <c r="G139" s="55" t="s">
        <v>103</v>
      </c>
      <c r="H139" s="39">
        <f>1122.8+158.9+239.1-239.1</f>
        <v>1281.7</v>
      </c>
      <c r="I139" s="39">
        <f>1122.8+158.9+239.1-239.1</f>
        <v>1281.7</v>
      </c>
      <c r="J139" s="99">
        <f t="shared" si="6"/>
        <v>100</v>
      </c>
    </row>
    <row r="140" spans="1:10" ht="38.25">
      <c r="A140" s="3"/>
      <c r="B140" s="96"/>
      <c r="C140" s="16" t="s">
        <v>141</v>
      </c>
      <c r="D140" s="16" t="s">
        <v>142</v>
      </c>
      <c r="E140" s="80">
        <v>9930059302</v>
      </c>
      <c r="F140" s="85" t="s">
        <v>314</v>
      </c>
      <c r="G140" s="102" t="s">
        <v>315</v>
      </c>
      <c r="H140" s="39">
        <f>642-158.9</f>
        <v>483.1</v>
      </c>
      <c r="I140" s="39">
        <f>642-158.9</f>
        <v>483.1</v>
      </c>
      <c r="J140" s="99">
        <f t="shared" si="6"/>
        <v>100</v>
      </c>
    </row>
    <row r="141" spans="1:10" ht="80.25" customHeight="1">
      <c r="A141" s="3"/>
      <c r="B141" s="96"/>
      <c r="C141" s="85" t="s">
        <v>141</v>
      </c>
      <c r="D141" s="85" t="s">
        <v>142</v>
      </c>
      <c r="E141" s="80" t="s">
        <v>807</v>
      </c>
      <c r="F141" s="85"/>
      <c r="G141" s="102" t="s">
        <v>808</v>
      </c>
      <c r="H141" s="39">
        <f>H142</f>
        <v>239.1</v>
      </c>
      <c r="I141" s="39">
        <f>I142</f>
        <v>239.1</v>
      </c>
      <c r="J141" s="99">
        <f t="shared" si="6"/>
        <v>100</v>
      </c>
    </row>
    <row r="142" spans="1:10" ht="38.25">
      <c r="A142" s="3"/>
      <c r="B142" s="96"/>
      <c r="C142" s="85" t="s">
        <v>141</v>
      </c>
      <c r="D142" s="85" t="s">
        <v>142</v>
      </c>
      <c r="E142" s="80" t="s">
        <v>807</v>
      </c>
      <c r="F142" s="85" t="s">
        <v>102</v>
      </c>
      <c r="G142" s="102" t="s">
        <v>103</v>
      </c>
      <c r="H142" s="39">
        <v>239.1</v>
      </c>
      <c r="I142" s="39">
        <v>239.1</v>
      </c>
      <c r="J142" s="99">
        <f t="shared" si="6"/>
        <v>100</v>
      </c>
    </row>
    <row r="143" spans="1:10" ht="77.25">
      <c r="A143" s="3"/>
      <c r="B143" s="96"/>
      <c r="C143" s="85" t="s">
        <v>141</v>
      </c>
      <c r="D143" s="85" t="s">
        <v>142</v>
      </c>
      <c r="E143" s="80">
        <v>9930058792</v>
      </c>
      <c r="F143" s="85"/>
      <c r="G143" s="130" t="s">
        <v>892</v>
      </c>
      <c r="H143" s="229">
        <f>H144</f>
        <v>0</v>
      </c>
      <c r="I143" s="229">
        <f>I144</f>
        <v>177.7</v>
      </c>
      <c r="J143" s="227"/>
    </row>
    <row r="144" spans="1:10" ht="38.25">
      <c r="A144" s="3"/>
      <c r="B144" s="96"/>
      <c r="C144" s="85" t="s">
        <v>141</v>
      </c>
      <c r="D144" s="85" t="s">
        <v>142</v>
      </c>
      <c r="E144" s="80">
        <v>9930058792</v>
      </c>
      <c r="F144" s="85" t="s">
        <v>102</v>
      </c>
      <c r="G144" s="102" t="s">
        <v>103</v>
      </c>
      <c r="H144" s="229">
        <f>177.7-177.7</f>
        <v>0</v>
      </c>
      <c r="I144" s="229">
        <v>177.7</v>
      </c>
      <c r="J144" s="227"/>
    </row>
    <row r="145" spans="1:10" ht="51.75">
      <c r="A145" s="3"/>
      <c r="B145" s="96"/>
      <c r="C145" s="28" t="s">
        <v>141</v>
      </c>
      <c r="D145" s="28" t="s">
        <v>147</v>
      </c>
      <c r="E145" s="28"/>
      <c r="F145" s="34"/>
      <c r="G145" s="46" t="s">
        <v>174</v>
      </c>
      <c r="H145" s="40">
        <f>H146+H163</f>
        <v>4490.3999999999996</v>
      </c>
      <c r="I145" s="40">
        <f>I146+I163</f>
        <v>4453.0999999999995</v>
      </c>
      <c r="J145" s="42">
        <f t="shared" ref="J145:J203" si="8">ROUND((I145/H145*100),1)</f>
        <v>99.2</v>
      </c>
    </row>
    <row r="146" spans="1:10" ht="64.5">
      <c r="A146" s="3"/>
      <c r="B146" s="96"/>
      <c r="C146" s="21" t="s">
        <v>141</v>
      </c>
      <c r="D146" s="21" t="s">
        <v>147</v>
      </c>
      <c r="E146" s="73" t="s">
        <v>74</v>
      </c>
      <c r="F146" s="16"/>
      <c r="G146" s="64" t="s">
        <v>545</v>
      </c>
      <c r="H146" s="59">
        <f>H147+H151+H157</f>
        <v>150.69999999999999</v>
      </c>
      <c r="I146" s="59">
        <f>I147+I151+I157</f>
        <v>150.69999999999999</v>
      </c>
      <c r="J146" s="65">
        <f t="shared" si="8"/>
        <v>100</v>
      </c>
    </row>
    <row r="147" spans="1:10" ht="51.75">
      <c r="A147" s="3"/>
      <c r="B147" s="96"/>
      <c r="C147" s="21" t="s">
        <v>141</v>
      </c>
      <c r="D147" s="21" t="s">
        <v>147</v>
      </c>
      <c r="E147" s="52" t="s">
        <v>75</v>
      </c>
      <c r="F147" s="16"/>
      <c r="G147" s="48" t="s">
        <v>485</v>
      </c>
      <c r="H147" s="98">
        <f>H149</f>
        <v>80.7</v>
      </c>
      <c r="I147" s="98">
        <f>I149</f>
        <v>80.7</v>
      </c>
      <c r="J147" s="58">
        <f t="shared" si="8"/>
        <v>100</v>
      </c>
    </row>
    <row r="148" spans="1:10" ht="64.5">
      <c r="A148" s="3"/>
      <c r="B148" s="96"/>
      <c r="C148" s="21" t="s">
        <v>141</v>
      </c>
      <c r="D148" s="21" t="s">
        <v>147</v>
      </c>
      <c r="E148" s="21" t="s">
        <v>326</v>
      </c>
      <c r="F148" s="16"/>
      <c r="G148" s="104" t="s">
        <v>446</v>
      </c>
      <c r="H148" s="103">
        <f>H149</f>
        <v>80.7</v>
      </c>
      <c r="I148" s="103">
        <f>I149</f>
        <v>80.7</v>
      </c>
      <c r="J148" s="58">
        <f t="shared" si="8"/>
        <v>100</v>
      </c>
    </row>
    <row r="149" spans="1:10" ht="51.75">
      <c r="A149" s="3"/>
      <c r="B149" s="96"/>
      <c r="C149" s="21" t="s">
        <v>141</v>
      </c>
      <c r="D149" s="21" t="s">
        <v>147</v>
      </c>
      <c r="E149" s="74" t="s">
        <v>76</v>
      </c>
      <c r="F149" s="16"/>
      <c r="G149" s="104" t="s">
        <v>305</v>
      </c>
      <c r="H149" s="41">
        <f>H150</f>
        <v>80.7</v>
      </c>
      <c r="I149" s="41">
        <f>I150</f>
        <v>80.7</v>
      </c>
      <c r="J149" s="99">
        <f t="shared" si="8"/>
        <v>100</v>
      </c>
    </row>
    <row r="150" spans="1:10" ht="38.25">
      <c r="A150" s="3"/>
      <c r="B150" s="96"/>
      <c r="C150" s="21" t="s">
        <v>141</v>
      </c>
      <c r="D150" s="21" t="s">
        <v>147</v>
      </c>
      <c r="E150" s="74" t="s">
        <v>76</v>
      </c>
      <c r="F150" s="85" t="s">
        <v>314</v>
      </c>
      <c r="G150" s="102" t="s">
        <v>315</v>
      </c>
      <c r="H150" s="41">
        <f>20+10+50.7</f>
        <v>80.7</v>
      </c>
      <c r="I150" s="41">
        <f>20+10+50.7</f>
        <v>80.7</v>
      </c>
      <c r="J150" s="99">
        <f t="shared" si="8"/>
        <v>100</v>
      </c>
    </row>
    <row r="151" spans="1:10" ht="51.75">
      <c r="A151" s="3"/>
      <c r="B151" s="96"/>
      <c r="C151" s="21" t="s">
        <v>141</v>
      </c>
      <c r="D151" s="21" t="s">
        <v>147</v>
      </c>
      <c r="E151" s="52" t="s">
        <v>79</v>
      </c>
      <c r="F151" s="16"/>
      <c r="G151" s="48" t="s">
        <v>304</v>
      </c>
      <c r="H151" s="98">
        <f>H153+H155</f>
        <v>5</v>
      </c>
      <c r="I151" s="98">
        <f>I153+I155</f>
        <v>5</v>
      </c>
      <c r="J151" s="99">
        <f t="shared" si="8"/>
        <v>100</v>
      </c>
    </row>
    <row r="152" spans="1:10" ht="64.5">
      <c r="A152" s="3"/>
      <c r="B152" s="96"/>
      <c r="C152" s="21" t="s">
        <v>141</v>
      </c>
      <c r="D152" s="21" t="s">
        <v>147</v>
      </c>
      <c r="E152" s="21" t="s">
        <v>329</v>
      </c>
      <c r="F152" s="16"/>
      <c r="G152" s="104" t="s">
        <v>482</v>
      </c>
      <c r="H152" s="103">
        <f>H153+H155</f>
        <v>5</v>
      </c>
      <c r="I152" s="103">
        <f>I153+I155</f>
        <v>5</v>
      </c>
      <c r="J152" s="99">
        <f t="shared" si="8"/>
        <v>100</v>
      </c>
    </row>
    <row r="153" spans="1:10" ht="25.5">
      <c r="A153" s="3"/>
      <c r="B153" s="96"/>
      <c r="C153" s="21" t="s">
        <v>141</v>
      </c>
      <c r="D153" s="21" t="s">
        <v>147</v>
      </c>
      <c r="E153" s="74" t="s">
        <v>80</v>
      </c>
      <c r="F153" s="16"/>
      <c r="G153" s="102" t="s">
        <v>375</v>
      </c>
      <c r="H153" s="41">
        <f>H154</f>
        <v>4</v>
      </c>
      <c r="I153" s="41">
        <f>I154</f>
        <v>4</v>
      </c>
      <c r="J153" s="99">
        <f t="shared" si="8"/>
        <v>100</v>
      </c>
    </row>
    <row r="154" spans="1:10" ht="38.25">
      <c r="A154" s="3"/>
      <c r="B154" s="96"/>
      <c r="C154" s="21" t="s">
        <v>141</v>
      </c>
      <c r="D154" s="21" t="s">
        <v>147</v>
      </c>
      <c r="E154" s="74" t="s">
        <v>80</v>
      </c>
      <c r="F154" s="85" t="s">
        <v>314</v>
      </c>
      <c r="G154" s="102" t="s">
        <v>315</v>
      </c>
      <c r="H154" s="41">
        <v>4</v>
      </c>
      <c r="I154" s="41">
        <v>4</v>
      </c>
      <c r="J154" s="99">
        <f t="shared" si="8"/>
        <v>100</v>
      </c>
    </row>
    <row r="155" spans="1:10" ht="38.25">
      <c r="A155" s="3"/>
      <c r="B155" s="96"/>
      <c r="C155" s="21" t="s">
        <v>141</v>
      </c>
      <c r="D155" s="21" t="s">
        <v>147</v>
      </c>
      <c r="E155" s="74" t="s">
        <v>81</v>
      </c>
      <c r="F155" s="16"/>
      <c r="G155" s="102" t="s">
        <v>330</v>
      </c>
      <c r="H155" s="41">
        <f>H156</f>
        <v>1</v>
      </c>
      <c r="I155" s="41">
        <f>I156</f>
        <v>1</v>
      </c>
      <c r="J155" s="99">
        <f t="shared" si="8"/>
        <v>100</v>
      </c>
    </row>
    <row r="156" spans="1:10" ht="38.25">
      <c r="A156" s="3"/>
      <c r="B156" s="96"/>
      <c r="C156" s="21" t="s">
        <v>141</v>
      </c>
      <c r="D156" s="21" t="s">
        <v>147</v>
      </c>
      <c r="E156" s="74" t="s">
        <v>81</v>
      </c>
      <c r="F156" s="85" t="s">
        <v>314</v>
      </c>
      <c r="G156" s="102" t="s">
        <v>315</v>
      </c>
      <c r="H156" s="41">
        <v>1</v>
      </c>
      <c r="I156" s="41">
        <v>1</v>
      </c>
      <c r="J156" s="99">
        <f t="shared" si="8"/>
        <v>100</v>
      </c>
    </row>
    <row r="157" spans="1:10" ht="64.5">
      <c r="A157" s="3"/>
      <c r="B157" s="96"/>
      <c r="C157" s="21" t="s">
        <v>141</v>
      </c>
      <c r="D157" s="21" t="s">
        <v>147</v>
      </c>
      <c r="E157" s="52" t="s">
        <v>82</v>
      </c>
      <c r="F157" s="16"/>
      <c r="G157" s="48" t="s">
        <v>301</v>
      </c>
      <c r="H157" s="98">
        <f>H159+H161</f>
        <v>65</v>
      </c>
      <c r="I157" s="98">
        <f>I159+I161</f>
        <v>65</v>
      </c>
      <c r="J157" s="58">
        <f t="shared" si="8"/>
        <v>100</v>
      </c>
    </row>
    <row r="158" spans="1:10" ht="51">
      <c r="A158" s="3"/>
      <c r="B158" s="96"/>
      <c r="C158" s="21" t="s">
        <v>141</v>
      </c>
      <c r="D158" s="21" t="s">
        <v>147</v>
      </c>
      <c r="E158" s="21" t="s">
        <v>445</v>
      </c>
      <c r="F158" s="16"/>
      <c r="G158" s="102" t="s">
        <v>483</v>
      </c>
      <c r="H158" s="41">
        <f>H159+H161</f>
        <v>65</v>
      </c>
      <c r="I158" s="41">
        <f>I159+I161</f>
        <v>65</v>
      </c>
      <c r="J158" s="99">
        <f t="shared" si="8"/>
        <v>100</v>
      </c>
    </row>
    <row r="159" spans="1:10" ht="25.5">
      <c r="A159" s="3"/>
      <c r="B159" s="96"/>
      <c r="C159" s="21" t="s">
        <v>141</v>
      </c>
      <c r="D159" s="21" t="s">
        <v>147</v>
      </c>
      <c r="E159" s="74" t="s">
        <v>83</v>
      </c>
      <c r="F159" s="16"/>
      <c r="G159" s="102" t="s">
        <v>375</v>
      </c>
      <c r="H159" s="41">
        <f>H160</f>
        <v>60</v>
      </c>
      <c r="I159" s="41">
        <f>I160</f>
        <v>60</v>
      </c>
      <c r="J159" s="99">
        <f t="shared" si="8"/>
        <v>100</v>
      </c>
    </row>
    <row r="160" spans="1:10" ht="38.25">
      <c r="A160" s="3"/>
      <c r="B160" s="96"/>
      <c r="C160" s="21" t="s">
        <v>141</v>
      </c>
      <c r="D160" s="21" t="s">
        <v>147</v>
      </c>
      <c r="E160" s="74" t="s">
        <v>83</v>
      </c>
      <c r="F160" s="85" t="s">
        <v>314</v>
      </c>
      <c r="G160" s="102" t="s">
        <v>315</v>
      </c>
      <c r="H160" s="41">
        <v>60</v>
      </c>
      <c r="I160" s="41">
        <v>60</v>
      </c>
      <c r="J160" s="99">
        <f t="shared" si="8"/>
        <v>100</v>
      </c>
    </row>
    <row r="161" spans="1:10" ht="38.25">
      <c r="A161" s="3"/>
      <c r="B161" s="96"/>
      <c r="C161" s="21" t="s">
        <v>141</v>
      </c>
      <c r="D161" s="21" t="s">
        <v>147</v>
      </c>
      <c r="E161" s="74" t="s">
        <v>84</v>
      </c>
      <c r="F161" s="16"/>
      <c r="G161" s="102" t="s">
        <v>332</v>
      </c>
      <c r="H161" s="41">
        <f>H162</f>
        <v>5</v>
      </c>
      <c r="I161" s="41">
        <f>I162</f>
        <v>5</v>
      </c>
      <c r="J161" s="99">
        <f t="shared" si="8"/>
        <v>100</v>
      </c>
    </row>
    <row r="162" spans="1:10" ht="38.25">
      <c r="A162" s="3"/>
      <c r="B162" s="96"/>
      <c r="C162" s="21" t="s">
        <v>141</v>
      </c>
      <c r="D162" s="21" t="s">
        <v>147</v>
      </c>
      <c r="E162" s="74" t="s">
        <v>84</v>
      </c>
      <c r="F162" s="85" t="s">
        <v>314</v>
      </c>
      <c r="G162" s="102" t="s">
        <v>315</v>
      </c>
      <c r="H162" s="41">
        <v>5</v>
      </c>
      <c r="I162" s="41">
        <v>5</v>
      </c>
      <c r="J162" s="99">
        <f t="shared" si="8"/>
        <v>100</v>
      </c>
    </row>
    <row r="163" spans="1:10" ht="25.5">
      <c r="A163" s="3"/>
      <c r="B163" s="96"/>
      <c r="C163" s="83" t="s">
        <v>141</v>
      </c>
      <c r="D163" s="83" t="s">
        <v>147</v>
      </c>
      <c r="E163" s="73" t="s">
        <v>283</v>
      </c>
      <c r="F163" s="33"/>
      <c r="G163" s="88" t="s">
        <v>194</v>
      </c>
      <c r="H163" s="61">
        <f>H164</f>
        <v>4339.7</v>
      </c>
      <c r="I163" s="61">
        <f>I164</f>
        <v>4302.3999999999996</v>
      </c>
      <c r="J163" s="62">
        <f t="shared" si="8"/>
        <v>99.1</v>
      </c>
    </row>
    <row r="164" spans="1:10" ht="25.5">
      <c r="A164" s="3"/>
      <c r="B164" s="96"/>
      <c r="C164" s="21" t="s">
        <v>141</v>
      </c>
      <c r="D164" s="21" t="s">
        <v>147</v>
      </c>
      <c r="E164" s="21" t="s">
        <v>282</v>
      </c>
      <c r="F164" s="16"/>
      <c r="G164" s="54" t="s">
        <v>417</v>
      </c>
      <c r="H164" s="98">
        <f>H165+H166</f>
        <v>4339.7</v>
      </c>
      <c r="I164" s="98">
        <f>I165+I166</f>
        <v>4302.3999999999996</v>
      </c>
      <c r="J164" s="58">
        <f t="shared" si="8"/>
        <v>99.1</v>
      </c>
    </row>
    <row r="165" spans="1:10" ht="25.5">
      <c r="A165" s="3"/>
      <c r="B165" s="96"/>
      <c r="C165" s="21" t="s">
        <v>141</v>
      </c>
      <c r="D165" s="21" t="s">
        <v>147</v>
      </c>
      <c r="E165" s="21" t="s">
        <v>282</v>
      </c>
      <c r="F165" s="16" t="s">
        <v>104</v>
      </c>
      <c r="G165" s="107" t="s">
        <v>179</v>
      </c>
      <c r="H165" s="41">
        <f>3898.9+267.3-8</f>
        <v>4158.2</v>
      </c>
      <c r="I165" s="41">
        <v>4120.8999999999996</v>
      </c>
      <c r="J165" s="99">
        <f t="shared" si="8"/>
        <v>99.1</v>
      </c>
    </row>
    <row r="166" spans="1:10" ht="38.25">
      <c r="A166" s="3"/>
      <c r="B166" s="96"/>
      <c r="C166" s="21" t="s">
        <v>141</v>
      </c>
      <c r="D166" s="21" t="s">
        <v>147</v>
      </c>
      <c r="E166" s="21" t="s">
        <v>282</v>
      </c>
      <c r="F166" s="85" t="s">
        <v>314</v>
      </c>
      <c r="G166" s="102" t="s">
        <v>315</v>
      </c>
      <c r="H166" s="41">
        <f>164.5+17</f>
        <v>181.5</v>
      </c>
      <c r="I166" s="41">
        <f>164.5+17</f>
        <v>181.5</v>
      </c>
      <c r="J166" s="99">
        <f t="shared" si="8"/>
        <v>100</v>
      </c>
    </row>
    <row r="167" spans="1:10" ht="15.75">
      <c r="A167" s="3"/>
      <c r="B167" s="96"/>
      <c r="C167" s="52" t="s">
        <v>141</v>
      </c>
      <c r="D167" s="52" t="s">
        <v>158</v>
      </c>
      <c r="E167" s="52"/>
      <c r="F167" s="47"/>
      <c r="G167" s="48" t="s">
        <v>293</v>
      </c>
      <c r="H167" s="98">
        <f t="shared" ref="H167:I169" si="9">H168</f>
        <v>1549.3</v>
      </c>
      <c r="I167" s="98">
        <f t="shared" si="9"/>
        <v>1445.6</v>
      </c>
      <c r="J167" s="58">
        <f t="shared" si="8"/>
        <v>93.3</v>
      </c>
    </row>
    <row r="168" spans="1:10" ht="64.5">
      <c r="A168" s="3"/>
      <c r="B168" s="96"/>
      <c r="C168" s="52" t="s">
        <v>141</v>
      </c>
      <c r="D168" s="52" t="s">
        <v>158</v>
      </c>
      <c r="E168" s="73" t="s">
        <v>74</v>
      </c>
      <c r="F168" s="16"/>
      <c r="G168" s="64" t="s">
        <v>545</v>
      </c>
      <c r="H168" s="100">
        <f t="shared" si="9"/>
        <v>1549.3</v>
      </c>
      <c r="I168" s="100">
        <f t="shared" si="9"/>
        <v>1445.6</v>
      </c>
      <c r="J168" s="62">
        <f t="shared" si="8"/>
        <v>93.3</v>
      </c>
    </row>
    <row r="169" spans="1:10" ht="39">
      <c r="A169" s="3"/>
      <c r="B169" s="96"/>
      <c r="C169" s="52" t="s">
        <v>141</v>
      </c>
      <c r="D169" s="52" t="s">
        <v>158</v>
      </c>
      <c r="E169" s="52" t="s">
        <v>77</v>
      </c>
      <c r="F169" s="16"/>
      <c r="G169" s="48" t="s">
        <v>294</v>
      </c>
      <c r="H169" s="98">
        <f t="shared" si="9"/>
        <v>1549.3</v>
      </c>
      <c r="I169" s="98">
        <f t="shared" si="9"/>
        <v>1445.6</v>
      </c>
      <c r="J169" s="58">
        <f t="shared" si="8"/>
        <v>93.3</v>
      </c>
    </row>
    <row r="170" spans="1:10" ht="51.75">
      <c r="A170" s="3"/>
      <c r="B170" s="96"/>
      <c r="C170" s="21" t="s">
        <v>141</v>
      </c>
      <c r="D170" s="21" t="s">
        <v>158</v>
      </c>
      <c r="E170" s="21" t="s">
        <v>77</v>
      </c>
      <c r="F170" s="16"/>
      <c r="G170" s="104" t="s">
        <v>327</v>
      </c>
      <c r="H170" s="103">
        <f>H171+H173</f>
        <v>1549.3</v>
      </c>
      <c r="I170" s="103">
        <f>I171+I173</f>
        <v>1445.6</v>
      </c>
      <c r="J170" s="99">
        <f t="shared" si="8"/>
        <v>93.3</v>
      </c>
    </row>
    <row r="171" spans="1:10" ht="51">
      <c r="A171" s="3"/>
      <c r="B171" s="96"/>
      <c r="C171" s="21" t="s">
        <v>141</v>
      </c>
      <c r="D171" s="21" t="s">
        <v>158</v>
      </c>
      <c r="E171" s="74" t="s">
        <v>78</v>
      </c>
      <c r="F171" s="16"/>
      <c r="G171" s="102" t="s">
        <v>604</v>
      </c>
      <c r="H171" s="41">
        <f>H172</f>
        <v>916.8</v>
      </c>
      <c r="I171" s="41">
        <f>I172</f>
        <v>813.1</v>
      </c>
      <c r="J171" s="99">
        <f t="shared" si="8"/>
        <v>88.7</v>
      </c>
    </row>
    <row r="172" spans="1:10" ht="38.25">
      <c r="A172" s="3"/>
      <c r="B172" s="96"/>
      <c r="C172" s="21" t="s">
        <v>141</v>
      </c>
      <c r="D172" s="21" t="s">
        <v>158</v>
      </c>
      <c r="E172" s="74" t="s">
        <v>78</v>
      </c>
      <c r="F172" s="85" t="s">
        <v>314</v>
      </c>
      <c r="G172" s="102" t="s">
        <v>315</v>
      </c>
      <c r="H172" s="41">
        <v>916.8</v>
      </c>
      <c r="I172" s="39">
        <v>813.1</v>
      </c>
      <c r="J172" s="99">
        <f t="shared" si="8"/>
        <v>88.7</v>
      </c>
    </row>
    <row r="173" spans="1:10" ht="43.5" customHeight="1">
      <c r="A173" s="3"/>
      <c r="B173" s="96"/>
      <c r="C173" s="21" t="s">
        <v>141</v>
      </c>
      <c r="D173" s="21" t="s">
        <v>158</v>
      </c>
      <c r="E173" s="74" t="s">
        <v>602</v>
      </c>
      <c r="F173" s="16"/>
      <c r="G173" s="102" t="s">
        <v>603</v>
      </c>
      <c r="H173" s="41">
        <f>SUM(H174:H175)</f>
        <v>632.5</v>
      </c>
      <c r="I173" s="41">
        <f>SUM(I174:I175)</f>
        <v>632.5</v>
      </c>
      <c r="J173" s="99">
        <f t="shared" si="8"/>
        <v>100</v>
      </c>
    </row>
    <row r="174" spans="1:10" ht="25.5">
      <c r="A174" s="3"/>
      <c r="B174" s="96"/>
      <c r="C174" s="21" t="s">
        <v>141</v>
      </c>
      <c r="D174" s="21" t="s">
        <v>158</v>
      </c>
      <c r="E174" s="74" t="s">
        <v>602</v>
      </c>
      <c r="F174" s="16" t="s">
        <v>104</v>
      </c>
      <c r="G174" s="107" t="s">
        <v>179</v>
      </c>
      <c r="H174" s="41">
        <v>50</v>
      </c>
      <c r="I174" s="41">
        <v>50</v>
      </c>
      <c r="J174" s="99">
        <f t="shared" si="8"/>
        <v>100</v>
      </c>
    </row>
    <row r="175" spans="1:10" ht="38.25">
      <c r="A175" s="3"/>
      <c r="B175" s="96"/>
      <c r="C175" s="21" t="s">
        <v>141</v>
      </c>
      <c r="D175" s="21" t="s">
        <v>158</v>
      </c>
      <c r="E175" s="74" t="s">
        <v>602</v>
      </c>
      <c r="F175" s="85" t="s">
        <v>314</v>
      </c>
      <c r="G175" s="102" t="s">
        <v>315</v>
      </c>
      <c r="H175" s="41">
        <f>683.2-50-50.7</f>
        <v>582.5</v>
      </c>
      <c r="I175" s="41">
        <f>683.2-50-50.7</f>
        <v>582.5</v>
      </c>
      <c r="J175" s="99">
        <f t="shared" si="8"/>
        <v>100</v>
      </c>
    </row>
    <row r="176" spans="1:10" ht="39">
      <c r="A176" s="3"/>
      <c r="B176" s="96"/>
      <c r="C176" s="28" t="s">
        <v>141</v>
      </c>
      <c r="D176" s="28" t="s">
        <v>169</v>
      </c>
      <c r="E176" s="28"/>
      <c r="F176" s="34"/>
      <c r="G176" s="46" t="s">
        <v>27</v>
      </c>
      <c r="H176" s="40">
        <f>H177+H182</f>
        <v>40.4</v>
      </c>
      <c r="I176" s="40">
        <f>I177+I182</f>
        <v>40.4</v>
      </c>
      <c r="J176" s="58">
        <f t="shared" si="8"/>
        <v>100</v>
      </c>
    </row>
    <row r="177" spans="1:10" ht="50.25" customHeight="1">
      <c r="A177" s="3"/>
      <c r="B177" s="96"/>
      <c r="C177" s="21" t="s">
        <v>141</v>
      </c>
      <c r="D177" s="21" t="s">
        <v>169</v>
      </c>
      <c r="E177" s="73" t="s">
        <v>116</v>
      </c>
      <c r="F177" s="16"/>
      <c r="G177" s="53" t="s">
        <v>546</v>
      </c>
      <c r="H177" s="100">
        <f t="shared" ref="H177:I180" si="10">H178</f>
        <v>11</v>
      </c>
      <c r="I177" s="100">
        <f t="shared" si="10"/>
        <v>11</v>
      </c>
      <c r="J177" s="62">
        <f t="shared" si="8"/>
        <v>100</v>
      </c>
    </row>
    <row r="178" spans="1:10" ht="51">
      <c r="A178" s="3"/>
      <c r="B178" s="96"/>
      <c r="C178" s="21" t="s">
        <v>141</v>
      </c>
      <c r="D178" s="21" t="s">
        <v>169</v>
      </c>
      <c r="E178" s="52" t="s">
        <v>117</v>
      </c>
      <c r="F178" s="16"/>
      <c r="G178" s="60" t="s">
        <v>265</v>
      </c>
      <c r="H178" s="58">
        <f t="shared" si="10"/>
        <v>11</v>
      </c>
      <c r="I178" s="58">
        <f t="shared" si="10"/>
        <v>11</v>
      </c>
      <c r="J178" s="58">
        <f t="shared" si="8"/>
        <v>100</v>
      </c>
    </row>
    <row r="179" spans="1:10" ht="38.25">
      <c r="A179" s="3"/>
      <c r="B179" s="96"/>
      <c r="C179" s="21" t="s">
        <v>141</v>
      </c>
      <c r="D179" s="21" t="s">
        <v>169</v>
      </c>
      <c r="E179" s="21" t="s">
        <v>335</v>
      </c>
      <c r="F179" s="16"/>
      <c r="G179" s="102" t="s">
        <v>336</v>
      </c>
      <c r="H179" s="41">
        <f t="shared" si="10"/>
        <v>11</v>
      </c>
      <c r="I179" s="41">
        <f t="shared" si="10"/>
        <v>11</v>
      </c>
      <c r="J179" s="99">
        <f t="shared" si="8"/>
        <v>100</v>
      </c>
    </row>
    <row r="180" spans="1:10" ht="63.75">
      <c r="A180" s="3"/>
      <c r="B180" s="96"/>
      <c r="C180" s="21" t="s">
        <v>141</v>
      </c>
      <c r="D180" s="21" t="s">
        <v>169</v>
      </c>
      <c r="E180" s="21" t="s">
        <v>266</v>
      </c>
      <c r="F180" s="16"/>
      <c r="G180" s="102" t="s">
        <v>610</v>
      </c>
      <c r="H180" s="41">
        <f t="shared" si="10"/>
        <v>11</v>
      </c>
      <c r="I180" s="41">
        <f t="shared" si="10"/>
        <v>11</v>
      </c>
      <c r="J180" s="99">
        <f t="shared" si="8"/>
        <v>100</v>
      </c>
    </row>
    <row r="181" spans="1:10" ht="25.5">
      <c r="A181" s="3"/>
      <c r="B181" s="96"/>
      <c r="C181" s="21" t="s">
        <v>141</v>
      </c>
      <c r="D181" s="21" t="s">
        <v>169</v>
      </c>
      <c r="E181" s="21" t="s">
        <v>266</v>
      </c>
      <c r="F181" s="85" t="s">
        <v>104</v>
      </c>
      <c r="G181" s="55" t="s">
        <v>179</v>
      </c>
      <c r="H181" s="41">
        <f>34-23</f>
        <v>11</v>
      </c>
      <c r="I181" s="41">
        <f>34-23</f>
        <v>11</v>
      </c>
      <c r="J181" s="99">
        <f t="shared" si="8"/>
        <v>100</v>
      </c>
    </row>
    <row r="182" spans="1:10" ht="64.5">
      <c r="A182" s="3"/>
      <c r="B182" s="96"/>
      <c r="C182" s="73" t="s">
        <v>141</v>
      </c>
      <c r="D182" s="73" t="s">
        <v>169</v>
      </c>
      <c r="E182" s="73" t="s">
        <v>337</v>
      </c>
      <c r="F182" s="16"/>
      <c r="G182" s="64" t="s">
        <v>517</v>
      </c>
      <c r="H182" s="100">
        <f>H183</f>
        <v>29.4</v>
      </c>
      <c r="I182" s="100">
        <f>I183</f>
        <v>29.4</v>
      </c>
      <c r="J182" s="62">
        <f t="shared" si="8"/>
        <v>100</v>
      </c>
    </row>
    <row r="183" spans="1:10" ht="51.75">
      <c r="A183" s="3"/>
      <c r="B183" s="96"/>
      <c r="C183" s="21" t="s">
        <v>141</v>
      </c>
      <c r="D183" s="21" t="s">
        <v>169</v>
      </c>
      <c r="E183" s="52" t="s">
        <v>338</v>
      </c>
      <c r="F183" s="16"/>
      <c r="G183" s="48" t="s">
        <v>339</v>
      </c>
      <c r="H183" s="58">
        <f>H184+H186</f>
        <v>29.4</v>
      </c>
      <c r="I183" s="58">
        <f>I184+I186</f>
        <v>29.4</v>
      </c>
      <c r="J183" s="58">
        <f t="shared" si="8"/>
        <v>100</v>
      </c>
    </row>
    <row r="184" spans="1:10" ht="38.25">
      <c r="A184" s="3"/>
      <c r="B184" s="96"/>
      <c r="C184" s="21" t="s">
        <v>141</v>
      </c>
      <c r="D184" s="21" t="s">
        <v>169</v>
      </c>
      <c r="E184" s="21" t="s">
        <v>654</v>
      </c>
      <c r="F184" s="16"/>
      <c r="G184" s="102" t="s">
        <v>695</v>
      </c>
      <c r="H184" s="99">
        <f>H185</f>
        <v>23.4</v>
      </c>
      <c r="I184" s="99">
        <f>I185</f>
        <v>23.4</v>
      </c>
      <c r="J184" s="99">
        <f t="shared" si="8"/>
        <v>100</v>
      </c>
    </row>
    <row r="185" spans="1:10" ht="38.25">
      <c r="A185" s="3"/>
      <c r="B185" s="96"/>
      <c r="C185" s="21" t="s">
        <v>141</v>
      </c>
      <c r="D185" s="21" t="s">
        <v>169</v>
      </c>
      <c r="E185" s="21" t="s">
        <v>654</v>
      </c>
      <c r="F185" s="85" t="s">
        <v>314</v>
      </c>
      <c r="G185" s="102" t="s">
        <v>315</v>
      </c>
      <c r="H185" s="41">
        <v>23.4</v>
      </c>
      <c r="I185" s="41">
        <v>23.4</v>
      </c>
      <c r="J185" s="99">
        <f t="shared" si="8"/>
        <v>100</v>
      </c>
    </row>
    <row r="186" spans="1:10" ht="25.5">
      <c r="A186" s="3"/>
      <c r="B186" s="96"/>
      <c r="C186" s="21" t="s">
        <v>141</v>
      </c>
      <c r="D186" s="21" t="s">
        <v>169</v>
      </c>
      <c r="E186" s="21" t="s">
        <v>656</v>
      </c>
      <c r="F186" s="16"/>
      <c r="G186" s="102" t="s">
        <v>657</v>
      </c>
      <c r="H186" s="99">
        <f>H187</f>
        <v>6</v>
      </c>
      <c r="I186" s="99">
        <f>I187</f>
        <v>6</v>
      </c>
      <c r="J186" s="99">
        <f t="shared" si="8"/>
        <v>100</v>
      </c>
    </row>
    <row r="187" spans="1:10" ht="38.25">
      <c r="A187" s="3"/>
      <c r="B187" s="96"/>
      <c r="C187" s="21" t="s">
        <v>141</v>
      </c>
      <c r="D187" s="21" t="s">
        <v>169</v>
      </c>
      <c r="E187" s="21" t="s">
        <v>656</v>
      </c>
      <c r="F187" s="85" t="s">
        <v>314</v>
      </c>
      <c r="G187" s="102" t="s">
        <v>315</v>
      </c>
      <c r="H187" s="41">
        <v>6</v>
      </c>
      <c r="I187" s="41">
        <v>6</v>
      </c>
      <c r="J187" s="99">
        <f t="shared" si="8"/>
        <v>100</v>
      </c>
    </row>
    <row r="188" spans="1:10" ht="15.75">
      <c r="A188" s="3"/>
      <c r="B188" s="96"/>
      <c r="C188" s="4" t="s">
        <v>142</v>
      </c>
      <c r="D188" s="3"/>
      <c r="E188" s="3"/>
      <c r="F188" s="3"/>
      <c r="G188" s="49" t="s">
        <v>148</v>
      </c>
      <c r="H188" s="59">
        <f>H189+H201+H215+H277</f>
        <v>167969.40000000002</v>
      </c>
      <c r="I188" s="59">
        <f>I189+I201+I215+I277</f>
        <v>153416.70000000001</v>
      </c>
      <c r="J188" s="206">
        <f t="shared" si="8"/>
        <v>91.3</v>
      </c>
    </row>
    <row r="189" spans="1:10" s="32" customFormat="1" ht="14.25">
      <c r="A189" s="29"/>
      <c r="B189" s="24"/>
      <c r="C189" s="30" t="s">
        <v>142</v>
      </c>
      <c r="D189" s="30" t="s">
        <v>143</v>
      </c>
      <c r="E189" s="30"/>
      <c r="F189" s="30"/>
      <c r="G189" s="45" t="s">
        <v>151</v>
      </c>
      <c r="H189" s="40">
        <f t="shared" ref="H189:I191" si="11">H190</f>
        <v>1503.9</v>
      </c>
      <c r="I189" s="40">
        <f t="shared" si="11"/>
        <v>1503.8</v>
      </c>
      <c r="J189" s="58">
        <f t="shared" si="8"/>
        <v>100</v>
      </c>
    </row>
    <row r="190" spans="1:10" s="32" customFormat="1" ht="63.75">
      <c r="A190" s="29"/>
      <c r="B190" s="24"/>
      <c r="C190" s="17" t="s">
        <v>142</v>
      </c>
      <c r="D190" s="17" t="s">
        <v>143</v>
      </c>
      <c r="E190" s="74">
        <v>400000000</v>
      </c>
      <c r="F190" s="30"/>
      <c r="G190" s="64" t="s">
        <v>520</v>
      </c>
      <c r="H190" s="100">
        <f t="shared" si="11"/>
        <v>1503.9</v>
      </c>
      <c r="I190" s="100">
        <f t="shared" si="11"/>
        <v>1503.8</v>
      </c>
      <c r="J190" s="62">
        <f t="shared" si="8"/>
        <v>100</v>
      </c>
    </row>
    <row r="191" spans="1:10" s="32" customFormat="1" ht="41.25" customHeight="1">
      <c r="A191" s="29"/>
      <c r="B191" s="24"/>
      <c r="C191" s="47" t="s">
        <v>142</v>
      </c>
      <c r="D191" s="47" t="s">
        <v>143</v>
      </c>
      <c r="E191" s="75">
        <v>410000000</v>
      </c>
      <c r="F191" s="30"/>
      <c r="G191" s="46" t="s">
        <v>230</v>
      </c>
      <c r="H191" s="98">
        <f t="shared" si="11"/>
        <v>1503.9</v>
      </c>
      <c r="I191" s="98">
        <f t="shared" si="11"/>
        <v>1503.8</v>
      </c>
      <c r="J191" s="58">
        <f t="shared" si="8"/>
        <v>100</v>
      </c>
    </row>
    <row r="192" spans="1:10" s="32" customFormat="1" ht="25.5">
      <c r="A192" s="29"/>
      <c r="B192" s="24"/>
      <c r="C192" s="85" t="s">
        <v>142</v>
      </c>
      <c r="D192" s="85" t="s">
        <v>143</v>
      </c>
      <c r="E192" s="74">
        <v>410100000</v>
      </c>
      <c r="F192" s="30"/>
      <c r="G192" s="101" t="s">
        <v>343</v>
      </c>
      <c r="H192" s="103">
        <f>H193+H195+H197+H199</f>
        <v>1503.9</v>
      </c>
      <c r="I192" s="103">
        <f>I193+I195+I197+I199</f>
        <v>1503.8</v>
      </c>
      <c r="J192" s="99">
        <f t="shared" si="8"/>
        <v>100</v>
      </c>
    </row>
    <row r="193" spans="1:10" s="32" customFormat="1" ht="51">
      <c r="A193" s="29"/>
      <c r="B193" s="24"/>
      <c r="C193" s="85" t="s">
        <v>142</v>
      </c>
      <c r="D193" s="85" t="s">
        <v>143</v>
      </c>
      <c r="E193" s="74" t="s">
        <v>231</v>
      </c>
      <c r="F193" s="16"/>
      <c r="G193" s="22" t="s">
        <v>70</v>
      </c>
      <c r="H193" s="39">
        <f>H194</f>
        <v>100</v>
      </c>
      <c r="I193" s="39">
        <f>I194</f>
        <v>100</v>
      </c>
      <c r="J193" s="99">
        <f t="shared" si="8"/>
        <v>100</v>
      </c>
    </row>
    <row r="194" spans="1:10" s="32" customFormat="1" ht="63.75">
      <c r="A194" s="29"/>
      <c r="B194" s="24"/>
      <c r="C194" s="85" t="s">
        <v>142</v>
      </c>
      <c r="D194" s="85" t="s">
        <v>143</v>
      </c>
      <c r="E194" s="74" t="s">
        <v>231</v>
      </c>
      <c r="F194" s="16" t="s">
        <v>15</v>
      </c>
      <c r="G194" s="102" t="s">
        <v>501</v>
      </c>
      <c r="H194" s="39">
        <v>100</v>
      </c>
      <c r="I194" s="39">
        <v>100</v>
      </c>
      <c r="J194" s="99">
        <f t="shared" si="8"/>
        <v>100</v>
      </c>
    </row>
    <row r="195" spans="1:10" s="32" customFormat="1" ht="25.5">
      <c r="A195" s="29"/>
      <c r="B195" s="24"/>
      <c r="C195" s="85" t="s">
        <v>142</v>
      </c>
      <c r="D195" s="85" t="s">
        <v>143</v>
      </c>
      <c r="E195" s="74" t="s">
        <v>458</v>
      </c>
      <c r="F195" s="16"/>
      <c r="G195" s="104" t="s">
        <v>240</v>
      </c>
      <c r="H195" s="39">
        <f t="shared" ref="H195:I195" si="12">H196</f>
        <v>408.9</v>
      </c>
      <c r="I195" s="39">
        <f t="shared" si="12"/>
        <v>408.9</v>
      </c>
      <c r="J195" s="99">
        <f t="shared" si="8"/>
        <v>100</v>
      </c>
    </row>
    <row r="196" spans="1:10" s="32" customFormat="1" ht="38.25">
      <c r="A196" s="29"/>
      <c r="B196" s="24"/>
      <c r="C196" s="85" t="s">
        <v>142</v>
      </c>
      <c r="D196" s="85" t="s">
        <v>143</v>
      </c>
      <c r="E196" s="74" t="s">
        <v>458</v>
      </c>
      <c r="F196" s="85" t="s">
        <v>314</v>
      </c>
      <c r="G196" s="102" t="s">
        <v>315</v>
      </c>
      <c r="H196" s="39">
        <f>463.5-10-44.6</f>
        <v>408.9</v>
      </c>
      <c r="I196" s="39">
        <f>463.5-10-44.6</f>
        <v>408.9</v>
      </c>
      <c r="J196" s="99">
        <f t="shared" si="8"/>
        <v>100</v>
      </c>
    </row>
    <row r="197" spans="1:10" s="32" customFormat="1" ht="63.75">
      <c r="A197" s="29"/>
      <c r="B197" s="24"/>
      <c r="C197" s="85" t="s">
        <v>142</v>
      </c>
      <c r="D197" s="85" t="s">
        <v>143</v>
      </c>
      <c r="E197" s="74" t="s">
        <v>307</v>
      </c>
      <c r="F197" s="16"/>
      <c r="G197" s="102" t="s">
        <v>318</v>
      </c>
      <c r="H197" s="39">
        <f>H198</f>
        <v>500</v>
      </c>
      <c r="I197" s="39">
        <f>I198</f>
        <v>499.9</v>
      </c>
      <c r="J197" s="99">
        <f t="shared" si="8"/>
        <v>100</v>
      </c>
    </row>
    <row r="198" spans="1:10" ht="63.75">
      <c r="A198" s="1"/>
      <c r="B198" s="25"/>
      <c r="C198" s="85" t="s">
        <v>142</v>
      </c>
      <c r="D198" s="85" t="s">
        <v>143</v>
      </c>
      <c r="E198" s="74" t="s">
        <v>307</v>
      </c>
      <c r="F198" s="16" t="s">
        <v>15</v>
      </c>
      <c r="G198" s="102" t="s">
        <v>501</v>
      </c>
      <c r="H198" s="39">
        <v>500</v>
      </c>
      <c r="I198" s="113">
        <v>499.9</v>
      </c>
      <c r="J198" s="99">
        <f t="shared" si="8"/>
        <v>100</v>
      </c>
    </row>
    <row r="199" spans="1:10" ht="65.25" customHeight="1">
      <c r="A199" s="153"/>
      <c r="B199" s="25"/>
      <c r="C199" s="85" t="s">
        <v>142</v>
      </c>
      <c r="D199" s="85" t="s">
        <v>143</v>
      </c>
      <c r="E199" s="74" t="s">
        <v>784</v>
      </c>
      <c r="F199" s="85"/>
      <c r="G199" s="102" t="s">
        <v>785</v>
      </c>
      <c r="H199" s="41">
        <f>H200</f>
        <v>495</v>
      </c>
      <c r="I199" s="41">
        <f>I200</f>
        <v>495</v>
      </c>
      <c r="J199" s="99">
        <f t="shared" si="8"/>
        <v>100</v>
      </c>
    </row>
    <row r="200" spans="1:10" ht="63.75">
      <c r="A200" s="153"/>
      <c r="B200" s="25"/>
      <c r="C200" s="85" t="s">
        <v>142</v>
      </c>
      <c r="D200" s="85" t="s">
        <v>143</v>
      </c>
      <c r="E200" s="74" t="s">
        <v>784</v>
      </c>
      <c r="F200" s="16" t="s">
        <v>15</v>
      </c>
      <c r="G200" s="102" t="s">
        <v>696</v>
      </c>
      <c r="H200" s="41">
        <f>500-5</f>
        <v>495</v>
      </c>
      <c r="I200" s="41">
        <f>500-5</f>
        <v>495</v>
      </c>
      <c r="J200" s="99">
        <f t="shared" si="8"/>
        <v>100</v>
      </c>
    </row>
    <row r="201" spans="1:10" ht="15">
      <c r="A201" s="1"/>
      <c r="B201" s="25"/>
      <c r="C201" s="30" t="s">
        <v>142</v>
      </c>
      <c r="D201" s="30" t="s">
        <v>149</v>
      </c>
      <c r="E201" s="30"/>
      <c r="F201" s="30"/>
      <c r="G201" s="27" t="s">
        <v>1</v>
      </c>
      <c r="H201" s="40">
        <f t="shared" ref="H201:I203" si="13">H202</f>
        <v>24622.1</v>
      </c>
      <c r="I201" s="86">
        <f t="shared" si="13"/>
        <v>19926.599999999999</v>
      </c>
      <c r="J201" s="213">
        <f t="shared" si="8"/>
        <v>80.900000000000006</v>
      </c>
    </row>
    <row r="202" spans="1:10" ht="66.75" customHeight="1">
      <c r="A202" s="1"/>
      <c r="B202" s="25"/>
      <c r="C202" s="5" t="s">
        <v>142</v>
      </c>
      <c r="D202" s="5" t="s">
        <v>149</v>
      </c>
      <c r="E202" s="73" t="s">
        <v>108</v>
      </c>
      <c r="F202" s="30"/>
      <c r="G202" s="64" t="s">
        <v>522</v>
      </c>
      <c r="H202" s="100">
        <f t="shared" si="13"/>
        <v>24622.1</v>
      </c>
      <c r="I202" s="100">
        <f t="shared" si="13"/>
        <v>19926.599999999999</v>
      </c>
      <c r="J202" s="62">
        <f t="shared" si="8"/>
        <v>80.900000000000006</v>
      </c>
    </row>
    <row r="203" spans="1:10" ht="63.75">
      <c r="A203" s="1"/>
      <c r="B203" s="25"/>
      <c r="C203" s="16" t="s">
        <v>142</v>
      </c>
      <c r="D203" s="16" t="s">
        <v>149</v>
      </c>
      <c r="E203" s="125" t="s">
        <v>319</v>
      </c>
      <c r="F203" s="30"/>
      <c r="G203" s="46" t="s">
        <v>264</v>
      </c>
      <c r="H203" s="98">
        <f t="shared" si="13"/>
        <v>24622.1</v>
      </c>
      <c r="I203" s="98">
        <f t="shared" si="13"/>
        <v>19926.599999999999</v>
      </c>
      <c r="J203" s="58">
        <f t="shared" si="8"/>
        <v>80.900000000000006</v>
      </c>
    </row>
    <row r="204" spans="1:10" ht="25.5">
      <c r="A204" s="1"/>
      <c r="B204" s="25"/>
      <c r="C204" s="16" t="s">
        <v>142</v>
      </c>
      <c r="D204" s="16" t="s">
        <v>149</v>
      </c>
      <c r="E204" s="129" t="s">
        <v>453</v>
      </c>
      <c r="F204" s="30"/>
      <c r="G204" s="102" t="s">
        <v>454</v>
      </c>
      <c r="H204" s="39">
        <f>H205+H207+H209+H211+H213</f>
        <v>24622.1</v>
      </c>
      <c r="I204" s="39">
        <f>I205+I207+I209+I211+I213</f>
        <v>19926.599999999999</v>
      </c>
      <c r="J204" s="99">
        <f t="shared" ref="J204:J262" si="14">ROUND((I204/H204*100),1)</f>
        <v>80.900000000000006</v>
      </c>
    </row>
    <row r="205" spans="1:10" ht="76.5">
      <c r="A205" s="1"/>
      <c r="B205" s="25"/>
      <c r="C205" s="16" t="s">
        <v>142</v>
      </c>
      <c r="D205" s="16" t="s">
        <v>149</v>
      </c>
      <c r="E205" s="74" t="s">
        <v>471</v>
      </c>
      <c r="F205" s="30"/>
      <c r="G205" s="101" t="s">
        <v>320</v>
      </c>
      <c r="H205" s="39">
        <f>H206</f>
        <v>4689.2</v>
      </c>
      <c r="I205" s="39">
        <f>I206</f>
        <v>4078.6</v>
      </c>
      <c r="J205" s="99">
        <f t="shared" si="14"/>
        <v>87</v>
      </c>
    </row>
    <row r="206" spans="1:10" ht="38.25">
      <c r="A206" s="1"/>
      <c r="B206" s="25"/>
      <c r="C206" s="16" t="s">
        <v>142</v>
      </c>
      <c r="D206" s="16" t="s">
        <v>149</v>
      </c>
      <c r="E206" s="74" t="s">
        <v>471</v>
      </c>
      <c r="F206" s="85" t="s">
        <v>314</v>
      </c>
      <c r="G206" s="102" t="s">
        <v>315</v>
      </c>
      <c r="H206" s="39">
        <v>4689.2</v>
      </c>
      <c r="I206" s="113">
        <v>4078.6</v>
      </c>
      <c r="J206" s="99">
        <f t="shared" si="14"/>
        <v>87</v>
      </c>
    </row>
    <row r="207" spans="1:10" ht="63.75">
      <c r="A207" s="1"/>
      <c r="B207" s="25"/>
      <c r="C207" s="16" t="s">
        <v>142</v>
      </c>
      <c r="D207" s="16" t="s">
        <v>149</v>
      </c>
      <c r="E207" s="74" t="s">
        <v>523</v>
      </c>
      <c r="F207" s="16"/>
      <c r="G207" s="130" t="s">
        <v>524</v>
      </c>
      <c r="H207" s="39">
        <f>H208</f>
        <v>53</v>
      </c>
      <c r="I207" s="39">
        <f>I208</f>
        <v>53</v>
      </c>
      <c r="J207" s="99">
        <f t="shared" si="14"/>
        <v>100</v>
      </c>
    </row>
    <row r="208" spans="1:10" ht="38.25">
      <c r="A208" s="1"/>
      <c r="B208" s="25"/>
      <c r="C208" s="16" t="s">
        <v>142</v>
      </c>
      <c r="D208" s="16" t="s">
        <v>149</v>
      </c>
      <c r="E208" s="74" t="s">
        <v>523</v>
      </c>
      <c r="F208" s="85" t="s">
        <v>314</v>
      </c>
      <c r="G208" s="102" t="s">
        <v>315</v>
      </c>
      <c r="H208" s="39">
        <f>80-27</f>
        <v>53</v>
      </c>
      <c r="I208" s="39">
        <f>80-27</f>
        <v>53</v>
      </c>
      <c r="J208" s="99">
        <f t="shared" si="14"/>
        <v>100</v>
      </c>
    </row>
    <row r="209" spans="1:10" ht="76.5">
      <c r="A209" s="1"/>
      <c r="B209" s="25"/>
      <c r="C209" s="16" t="s">
        <v>142</v>
      </c>
      <c r="D209" s="16" t="s">
        <v>149</v>
      </c>
      <c r="E209" s="74" t="s">
        <v>477</v>
      </c>
      <c r="F209" s="16"/>
      <c r="G209" s="130" t="s">
        <v>481</v>
      </c>
      <c r="H209" s="39">
        <f>H210</f>
        <v>1021.1</v>
      </c>
      <c r="I209" s="39">
        <f>I210</f>
        <v>981.2</v>
      </c>
      <c r="J209" s="99">
        <f t="shared" si="14"/>
        <v>96.1</v>
      </c>
    </row>
    <row r="210" spans="1:10" ht="38.25">
      <c r="A210" s="1"/>
      <c r="B210" s="25"/>
      <c r="C210" s="16" t="s">
        <v>142</v>
      </c>
      <c r="D210" s="16" t="s">
        <v>149</v>
      </c>
      <c r="E210" s="74" t="s">
        <v>477</v>
      </c>
      <c r="F210" s="85" t="s">
        <v>314</v>
      </c>
      <c r="G210" s="102" t="s">
        <v>315</v>
      </c>
      <c r="H210" s="39">
        <f>855.5+13+80.6+72</f>
        <v>1021.1</v>
      </c>
      <c r="I210" s="113">
        <v>981.2</v>
      </c>
      <c r="J210" s="99">
        <f t="shared" si="14"/>
        <v>96.1</v>
      </c>
    </row>
    <row r="211" spans="1:10" ht="89.25">
      <c r="A211" s="1"/>
      <c r="B211" s="25"/>
      <c r="C211" s="16" t="s">
        <v>142</v>
      </c>
      <c r="D211" s="16" t="s">
        <v>149</v>
      </c>
      <c r="E211" s="74">
        <v>920110300</v>
      </c>
      <c r="F211" s="85"/>
      <c r="G211" s="54" t="s">
        <v>622</v>
      </c>
      <c r="H211" s="39">
        <f>H212</f>
        <v>18756.8</v>
      </c>
      <c r="I211" s="39">
        <f>I212</f>
        <v>14711.8</v>
      </c>
      <c r="J211" s="99">
        <f t="shared" si="14"/>
        <v>78.400000000000006</v>
      </c>
    </row>
    <row r="212" spans="1:10" ht="38.25">
      <c r="A212" s="1"/>
      <c r="B212" s="25"/>
      <c r="C212" s="16" t="s">
        <v>142</v>
      </c>
      <c r="D212" s="16" t="s">
        <v>149</v>
      </c>
      <c r="E212" s="74">
        <v>920110300</v>
      </c>
      <c r="F212" s="85" t="s">
        <v>314</v>
      </c>
      <c r="G212" s="102" t="s">
        <v>315</v>
      </c>
      <c r="H212" s="39">
        <v>18756.8</v>
      </c>
      <c r="I212" s="113">
        <v>14711.8</v>
      </c>
      <c r="J212" s="99">
        <f t="shared" si="14"/>
        <v>78.400000000000006</v>
      </c>
    </row>
    <row r="213" spans="1:10" ht="38.25">
      <c r="A213" s="153"/>
      <c r="B213" s="25"/>
      <c r="C213" s="16" t="s">
        <v>142</v>
      </c>
      <c r="D213" s="16" t="s">
        <v>149</v>
      </c>
      <c r="E213" s="74" t="s">
        <v>719</v>
      </c>
      <c r="F213" s="16"/>
      <c r="G213" s="130" t="s">
        <v>720</v>
      </c>
      <c r="H213" s="39">
        <f>H214</f>
        <v>102</v>
      </c>
      <c r="I213" s="39">
        <f>I214</f>
        <v>102</v>
      </c>
      <c r="J213" s="99">
        <f t="shared" si="14"/>
        <v>100</v>
      </c>
    </row>
    <row r="214" spans="1:10" ht="38.25">
      <c r="A214" s="153"/>
      <c r="B214" s="25"/>
      <c r="C214" s="16" t="s">
        <v>142</v>
      </c>
      <c r="D214" s="16" t="s">
        <v>149</v>
      </c>
      <c r="E214" s="74" t="s">
        <v>719</v>
      </c>
      <c r="F214" s="85" t="s">
        <v>314</v>
      </c>
      <c r="G214" s="102" t="s">
        <v>315</v>
      </c>
      <c r="H214" s="39">
        <v>102</v>
      </c>
      <c r="I214" s="39">
        <v>102</v>
      </c>
      <c r="J214" s="99">
        <f t="shared" si="14"/>
        <v>100</v>
      </c>
    </row>
    <row r="215" spans="1:10" ht="28.5">
      <c r="A215" s="1"/>
      <c r="B215" s="25"/>
      <c r="C215" s="30" t="s">
        <v>142</v>
      </c>
      <c r="D215" s="30" t="s">
        <v>147</v>
      </c>
      <c r="E215" s="30"/>
      <c r="F215" s="30"/>
      <c r="G215" s="50" t="s">
        <v>292</v>
      </c>
      <c r="H215" s="40">
        <f>H216+H241+H254+H271</f>
        <v>141582.20000000001</v>
      </c>
      <c r="I215" s="40">
        <f>I216+I241+I254+I271</f>
        <v>131725.1</v>
      </c>
      <c r="J215" s="214">
        <f t="shared" si="14"/>
        <v>93</v>
      </c>
    </row>
    <row r="216" spans="1:10" ht="66" customHeight="1">
      <c r="A216" s="1"/>
      <c r="B216" s="25"/>
      <c r="C216" s="5" t="s">
        <v>142</v>
      </c>
      <c r="D216" s="5" t="s">
        <v>147</v>
      </c>
      <c r="E216" s="73" t="s">
        <v>108</v>
      </c>
      <c r="F216" s="30"/>
      <c r="G216" s="64" t="s">
        <v>522</v>
      </c>
      <c r="H216" s="100">
        <f>H217</f>
        <v>129498.7</v>
      </c>
      <c r="I216" s="100">
        <f>I217</f>
        <v>121344.1</v>
      </c>
      <c r="J216" s="62">
        <f t="shared" si="14"/>
        <v>93.7</v>
      </c>
    </row>
    <row r="217" spans="1:10" ht="63.75">
      <c r="A217" s="1"/>
      <c r="B217" s="25"/>
      <c r="C217" s="16" t="s">
        <v>142</v>
      </c>
      <c r="D217" s="16" t="s">
        <v>147</v>
      </c>
      <c r="E217" s="125" t="s">
        <v>109</v>
      </c>
      <c r="F217" s="122"/>
      <c r="G217" s="126" t="s">
        <v>229</v>
      </c>
      <c r="H217" s="127">
        <f>H218</f>
        <v>129498.7</v>
      </c>
      <c r="I217" s="127">
        <f>I218</f>
        <v>121344.1</v>
      </c>
      <c r="J217" s="58">
        <f t="shared" si="14"/>
        <v>93.7</v>
      </c>
    </row>
    <row r="218" spans="1:10" ht="38.25">
      <c r="A218" s="1"/>
      <c r="B218" s="25"/>
      <c r="C218" s="16" t="s">
        <v>142</v>
      </c>
      <c r="D218" s="16" t="s">
        <v>147</v>
      </c>
      <c r="E218" s="129" t="s">
        <v>452</v>
      </c>
      <c r="F218" s="122"/>
      <c r="G218" s="119" t="s">
        <v>474</v>
      </c>
      <c r="H218" s="127">
        <f>H219+H221+H223+H225+H227+H229+H231+H233+H235+H237+H239</f>
        <v>129498.7</v>
      </c>
      <c r="I218" s="127">
        <f>I219+I221+I223+I225+I227+I229+I231+I233+I235+I237+I239</f>
        <v>121344.1</v>
      </c>
      <c r="J218" s="99">
        <f t="shared" si="14"/>
        <v>93.7</v>
      </c>
    </row>
    <row r="219" spans="1:10" ht="89.25">
      <c r="A219" s="1"/>
      <c r="B219" s="25"/>
      <c r="C219" s="16" t="s">
        <v>142</v>
      </c>
      <c r="D219" s="16" t="s">
        <v>147</v>
      </c>
      <c r="E219" s="79" t="s">
        <v>110</v>
      </c>
      <c r="F219" s="122"/>
      <c r="G219" s="119" t="s">
        <v>451</v>
      </c>
      <c r="H219" s="113">
        <f>H220</f>
        <v>8763.2999999999993</v>
      </c>
      <c r="I219" s="113">
        <f>I220</f>
        <v>8763.2999999999993</v>
      </c>
      <c r="J219" s="99">
        <f t="shared" si="14"/>
        <v>100</v>
      </c>
    </row>
    <row r="220" spans="1:10" ht="38.25">
      <c r="A220" s="1"/>
      <c r="B220" s="25"/>
      <c r="C220" s="16" t="s">
        <v>142</v>
      </c>
      <c r="D220" s="16" t="s">
        <v>147</v>
      </c>
      <c r="E220" s="79" t="s">
        <v>110</v>
      </c>
      <c r="F220" s="85" t="s">
        <v>314</v>
      </c>
      <c r="G220" s="102" t="s">
        <v>315</v>
      </c>
      <c r="H220" s="113">
        <f>11023-300-300-1659.7</f>
        <v>8763.2999999999993</v>
      </c>
      <c r="I220" s="113">
        <f>11023-300-300-1659.7</f>
        <v>8763.2999999999993</v>
      </c>
      <c r="J220" s="99">
        <f t="shared" si="14"/>
        <v>100</v>
      </c>
    </row>
    <row r="221" spans="1:10" ht="63.75">
      <c r="A221" s="1"/>
      <c r="B221" s="25"/>
      <c r="C221" s="16" t="s">
        <v>142</v>
      </c>
      <c r="D221" s="16" t="s">
        <v>147</v>
      </c>
      <c r="E221" s="79">
        <v>910110520</v>
      </c>
      <c r="F221" s="122"/>
      <c r="G221" s="119" t="s">
        <v>261</v>
      </c>
      <c r="H221" s="113">
        <f>H222</f>
        <v>11938.8</v>
      </c>
      <c r="I221" s="113">
        <f>I222</f>
        <v>11938.8</v>
      </c>
      <c r="J221" s="99">
        <f t="shared" si="14"/>
        <v>100</v>
      </c>
    </row>
    <row r="222" spans="1:10" ht="38.25">
      <c r="A222" s="1"/>
      <c r="B222" s="25"/>
      <c r="C222" s="16" t="s">
        <v>142</v>
      </c>
      <c r="D222" s="16" t="s">
        <v>147</v>
      </c>
      <c r="E222" s="79">
        <v>910110520</v>
      </c>
      <c r="F222" s="85" t="s">
        <v>314</v>
      </c>
      <c r="G222" s="102" t="s">
        <v>14</v>
      </c>
      <c r="H222" s="113">
        <f>12096.8-158</f>
        <v>11938.8</v>
      </c>
      <c r="I222" s="113">
        <f>12096.8-158</f>
        <v>11938.8</v>
      </c>
      <c r="J222" s="99">
        <f t="shared" si="14"/>
        <v>100</v>
      </c>
    </row>
    <row r="223" spans="1:10" ht="25.5">
      <c r="A223" s="1"/>
      <c r="B223" s="25"/>
      <c r="C223" s="16" t="s">
        <v>142</v>
      </c>
      <c r="D223" s="16" t="s">
        <v>147</v>
      </c>
      <c r="E223" s="79" t="s">
        <v>263</v>
      </c>
      <c r="F223" s="128"/>
      <c r="G223" s="102" t="s">
        <v>262</v>
      </c>
      <c r="H223" s="113">
        <f>H224</f>
        <v>15736.2</v>
      </c>
      <c r="I223" s="113">
        <f>I224</f>
        <v>14705</v>
      </c>
      <c r="J223" s="99">
        <f t="shared" si="14"/>
        <v>93.4</v>
      </c>
    </row>
    <row r="224" spans="1:10" ht="38.25">
      <c r="A224" s="1"/>
      <c r="B224" s="25"/>
      <c r="C224" s="16" t="s">
        <v>142</v>
      </c>
      <c r="D224" s="16" t="s">
        <v>147</v>
      </c>
      <c r="E224" s="79" t="s">
        <v>263</v>
      </c>
      <c r="F224" s="85" t="s">
        <v>314</v>
      </c>
      <c r="G224" s="102" t="s">
        <v>315</v>
      </c>
      <c r="H224" s="113">
        <f>15436.2+300+500-500</f>
        <v>15736.2</v>
      </c>
      <c r="I224" s="41">
        <v>14705</v>
      </c>
      <c r="J224" s="99">
        <f t="shared" si="14"/>
        <v>93.4</v>
      </c>
    </row>
    <row r="225" spans="1:10" ht="90" customHeight="1">
      <c r="A225" s="1"/>
      <c r="B225" s="25"/>
      <c r="C225" s="16" t="s">
        <v>142</v>
      </c>
      <c r="D225" s="16" t="s">
        <v>147</v>
      </c>
      <c r="E225" s="79" t="s">
        <v>591</v>
      </c>
      <c r="F225" s="128"/>
      <c r="G225" s="102" t="s">
        <v>592</v>
      </c>
      <c r="H225" s="113">
        <f>H226</f>
        <v>1545.8000000000002</v>
      </c>
      <c r="I225" s="113">
        <f>I226</f>
        <v>1526</v>
      </c>
      <c r="J225" s="99">
        <f t="shared" si="14"/>
        <v>98.7</v>
      </c>
    </row>
    <row r="226" spans="1:10" ht="38.25">
      <c r="A226" s="1"/>
      <c r="B226" s="25"/>
      <c r="C226" s="16" t="s">
        <v>142</v>
      </c>
      <c r="D226" s="16" t="s">
        <v>147</v>
      </c>
      <c r="E226" s="79" t="s">
        <v>591</v>
      </c>
      <c r="F226" s="85" t="s">
        <v>314</v>
      </c>
      <c r="G226" s="102" t="s">
        <v>315</v>
      </c>
      <c r="H226" s="113">
        <f>320+300+27.9+1539.4-102-2.5-13+1656-1700-480</f>
        <v>1545.8000000000002</v>
      </c>
      <c r="I226" s="113">
        <v>1526</v>
      </c>
      <c r="J226" s="99">
        <f t="shared" si="14"/>
        <v>98.7</v>
      </c>
    </row>
    <row r="227" spans="1:10" ht="25.5">
      <c r="A227" s="153"/>
      <c r="B227" s="25"/>
      <c r="C227" s="16" t="s">
        <v>142</v>
      </c>
      <c r="D227" s="16" t="s">
        <v>147</v>
      </c>
      <c r="E227" s="79" t="s">
        <v>707</v>
      </c>
      <c r="F227" s="85"/>
      <c r="G227" s="161" t="s">
        <v>706</v>
      </c>
      <c r="H227" s="113">
        <f>H228</f>
        <v>99.2</v>
      </c>
      <c r="I227" s="113">
        <f>I228</f>
        <v>99.2</v>
      </c>
      <c r="J227" s="99">
        <f t="shared" si="14"/>
        <v>100</v>
      </c>
    </row>
    <row r="228" spans="1:10" ht="38.25">
      <c r="A228" s="153"/>
      <c r="B228" s="25"/>
      <c r="C228" s="16" t="s">
        <v>142</v>
      </c>
      <c r="D228" s="16" t="s">
        <v>147</v>
      </c>
      <c r="E228" s="79" t="s">
        <v>707</v>
      </c>
      <c r="F228" s="85" t="s">
        <v>314</v>
      </c>
      <c r="G228" s="102" t="s">
        <v>315</v>
      </c>
      <c r="H228" s="113">
        <v>99.2</v>
      </c>
      <c r="I228" s="113">
        <v>99.2</v>
      </c>
      <c r="J228" s="99">
        <f t="shared" si="14"/>
        <v>100</v>
      </c>
    </row>
    <row r="229" spans="1:10" ht="51">
      <c r="A229" s="1"/>
      <c r="B229" s="25"/>
      <c r="C229" s="16" t="s">
        <v>142</v>
      </c>
      <c r="D229" s="16" t="s">
        <v>147</v>
      </c>
      <c r="E229" s="79" t="s">
        <v>624</v>
      </c>
      <c r="F229" s="85"/>
      <c r="G229" s="152" t="s">
        <v>623</v>
      </c>
      <c r="H229" s="113">
        <f>H230</f>
        <v>1288.3000000000002</v>
      </c>
      <c r="I229" s="113">
        <f>I230</f>
        <v>878.6</v>
      </c>
      <c r="J229" s="99">
        <f t="shared" si="14"/>
        <v>68.2</v>
      </c>
    </row>
    <row r="230" spans="1:10" ht="38.25">
      <c r="A230" s="1"/>
      <c r="B230" s="25"/>
      <c r="C230" s="16" t="s">
        <v>142</v>
      </c>
      <c r="D230" s="16" t="s">
        <v>147</v>
      </c>
      <c r="E230" s="79" t="s">
        <v>624</v>
      </c>
      <c r="F230" s="85" t="s">
        <v>314</v>
      </c>
      <c r="G230" s="102" t="s">
        <v>315</v>
      </c>
      <c r="H230" s="113">
        <f>2320.3-251.1-780.9</f>
        <v>1288.3000000000002</v>
      </c>
      <c r="I230" s="113">
        <v>878.6</v>
      </c>
      <c r="J230" s="99">
        <f t="shared" si="14"/>
        <v>68.2</v>
      </c>
    </row>
    <row r="231" spans="1:10" ht="63.75">
      <c r="A231" s="1"/>
      <c r="B231" s="25"/>
      <c r="C231" s="16" t="s">
        <v>142</v>
      </c>
      <c r="D231" s="16" t="s">
        <v>147</v>
      </c>
      <c r="E231" s="79">
        <v>910111020</v>
      </c>
      <c r="F231" s="85"/>
      <c r="G231" s="152" t="s">
        <v>625</v>
      </c>
      <c r="H231" s="113">
        <f>H232</f>
        <v>4731.8</v>
      </c>
      <c r="I231" s="113">
        <f>I232</f>
        <v>3392.2</v>
      </c>
      <c r="J231" s="99">
        <f t="shared" si="14"/>
        <v>71.7</v>
      </c>
    </row>
    <row r="232" spans="1:10" ht="38.25">
      <c r="A232" s="1"/>
      <c r="B232" s="25"/>
      <c r="C232" s="16" t="s">
        <v>142</v>
      </c>
      <c r="D232" s="16" t="s">
        <v>147</v>
      </c>
      <c r="E232" s="79">
        <v>910111020</v>
      </c>
      <c r="F232" s="85" t="s">
        <v>314</v>
      </c>
      <c r="G232" s="102" t="s">
        <v>315</v>
      </c>
      <c r="H232" s="113">
        <v>4731.8</v>
      </c>
      <c r="I232" s="103">
        <v>3392.2</v>
      </c>
      <c r="J232" s="99">
        <f t="shared" si="14"/>
        <v>71.7</v>
      </c>
    </row>
    <row r="233" spans="1:10" ht="25.5">
      <c r="A233" s="1"/>
      <c r="B233" s="25"/>
      <c r="C233" s="16" t="s">
        <v>142</v>
      </c>
      <c r="D233" s="16" t="s">
        <v>147</v>
      </c>
      <c r="E233" s="79" t="s">
        <v>619</v>
      </c>
      <c r="F233" s="85"/>
      <c r="G233" s="102" t="s">
        <v>620</v>
      </c>
      <c r="H233" s="113">
        <f>H234</f>
        <v>38078.1</v>
      </c>
      <c r="I233" s="113">
        <f>I234</f>
        <v>33140.800000000003</v>
      </c>
      <c r="J233" s="99">
        <f t="shared" si="14"/>
        <v>87</v>
      </c>
    </row>
    <row r="234" spans="1:10" ht="38.25">
      <c r="A234" s="1"/>
      <c r="B234" s="25"/>
      <c r="C234" s="16" t="s">
        <v>142</v>
      </c>
      <c r="D234" s="16" t="s">
        <v>147</v>
      </c>
      <c r="E234" s="79" t="s">
        <v>619</v>
      </c>
      <c r="F234" s="85" t="s">
        <v>314</v>
      </c>
      <c r="G234" s="102" t="s">
        <v>315</v>
      </c>
      <c r="H234" s="113">
        <f>10097.7+98.7+18501.8+9142.9-1656+1893</f>
        <v>38078.1</v>
      </c>
      <c r="I234" s="41">
        <v>33140.800000000003</v>
      </c>
      <c r="J234" s="99">
        <f t="shared" si="14"/>
        <v>87</v>
      </c>
    </row>
    <row r="235" spans="1:10" ht="25.5">
      <c r="A235" s="1"/>
      <c r="B235" s="25"/>
      <c r="C235" s="16" t="s">
        <v>142</v>
      </c>
      <c r="D235" s="16" t="s">
        <v>147</v>
      </c>
      <c r="E235" s="79">
        <v>910111050</v>
      </c>
      <c r="F235" s="85"/>
      <c r="G235" s="102" t="s">
        <v>621</v>
      </c>
      <c r="H235" s="113">
        <f>H236</f>
        <v>41082.5</v>
      </c>
      <c r="I235" s="113">
        <f>I236</f>
        <v>41082.5</v>
      </c>
      <c r="J235" s="99">
        <f t="shared" si="14"/>
        <v>100</v>
      </c>
    </row>
    <row r="236" spans="1:10" ht="38.25">
      <c r="A236" s="1"/>
      <c r="B236" s="25"/>
      <c r="C236" s="16" t="s">
        <v>142</v>
      </c>
      <c r="D236" s="16" t="s">
        <v>147</v>
      </c>
      <c r="E236" s="79">
        <v>910111050</v>
      </c>
      <c r="F236" s="85" t="s">
        <v>314</v>
      </c>
      <c r="G236" s="102" t="s">
        <v>315</v>
      </c>
      <c r="H236" s="113">
        <f>40390.6+691.9</f>
        <v>41082.5</v>
      </c>
      <c r="I236" s="41">
        <v>41082.5</v>
      </c>
      <c r="J236" s="99">
        <f t="shared" si="14"/>
        <v>100</v>
      </c>
    </row>
    <row r="237" spans="1:10" ht="25.5">
      <c r="A237" s="153"/>
      <c r="B237" s="25"/>
      <c r="C237" s="16" t="s">
        <v>142</v>
      </c>
      <c r="D237" s="16" t="s">
        <v>147</v>
      </c>
      <c r="E237" s="79" t="s">
        <v>717</v>
      </c>
      <c r="F237" s="85"/>
      <c r="G237" s="102" t="s">
        <v>718</v>
      </c>
      <c r="H237" s="113">
        <f>H238</f>
        <v>5606.7</v>
      </c>
      <c r="I237" s="113">
        <f>I238</f>
        <v>5606.6</v>
      </c>
      <c r="J237" s="99">
        <f t="shared" si="14"/>
        <v>100</v>
      </c>
    </row>
    <row r="238" spans="1:10" ht="38.25">
      <c r="A238" s="153"/>
      <c r="B238" s="25"/>
      <c r="C238" s="16" t="s">
        <v>142</v>
      </c>
      <c r="D238" s="16" t="s">
        <v>147</v>
      </c>
      <c r="E238" s="79" t="s">
        <v>717</v>
      </c>
      <c r="F238" s="85" t="s">
        <v>314</v>
      </c>
      <c r="G238" s="102" t="s">
        <v>315</v>
      </c>
      <c r="H238" s="113">
        <f>5200+351.4+500-444.7</f>
        <v>5606.7</v>
      </c>
      <c r="I238" s="113">
        <v>5606.6</v>
      </c>
      <c r="J238" s="99">
        <f t="shared" si="14"/>
        <v>100</v>
      </c>
    </row>
    <row r="239" spans="1:10" ht="38.25">
      <c r="A239" s="153"/>
      <c r="B239" s="25"/>
      <c r="C239" s="16" t="s">
        <v>142</v>
      </c>
      <c r="D239" s="16" t="s">
        <v>147</v>
      </c>
      <c r="E239" s="79" t="s">
        <v>661</v>
      </c>
      <c r="F239" s="85"/>
      <c r="G239" s="102" t="s">
        <v>662</v>
      </c>
      <c r="H239" s="113">
        <f>H240</f>
        <v>628</v>
      </c>
      <c r="I239" s="113">
        <f>I240</f>
        <v>211.1</v>
      </c>
      <c r="J239" s="99">
        <f t="shared" si="14"/>
        <v>33.6</v>
      </c>
    </row>
    <row r="240" spans="1:10" ht="38.25">
      <c r="A240" s="153"/>
      <c r="B240" s="25"/>
      <c r="C240" s="16" t="s">
        <v>142</v>
      </c>
      <c r="D240" s="16" t="s">
        <v>147</v>
      </c>
      <c r="E240" s="79" t="s">
        <v>661</v>
      </c>
      <c r="F240" s="85" t="s">
        <v>314</v>
      </c>
      <c r="G240" s="102" t="s">
        <v>315</v>
      </c>
      <c r="H240" s="113">
        <f>700-72</f>
        <v>628</v>
      </c>
      <c r="I240" s="41">
        <v>211.1</v>
      </c>
      <c r="J240" s="99">
        <f t="shared" si="14"/>
        <v>33.6</v>
      </c>
    </row>
    <row r="241" spans="1:10" ht="52.5" customHeight="1">
      <c r="A241" s="153"/>
      <c r="B241" s="25"/>
      <c r="C241" s="5" t="s">
        <v>142</v>
      </c>
      <c r="D241" s="5" t="s">
        <v>147</v>
      </c>
      <c r="E241" s="73" t="s">
        <v>85</v>
      </c>
      <c r="F241" s="16"/>
      <c r="G241" s="53" t="s">
        <v>541</v>
      </c>
      <c r="H241" s="124">
        <f>H242+H248</f>
        <v>3003.5</v>
      </c>
      <c r="I241" s="124">
        <f>I242+I248</f>
        <v>1639.8</v>
      </c>
      <c r="J241" s="62">
        <f t="shared" si="14"/>
        <v>54.6</v>
      </c>
    </row>
    <row r="242" spans="1:10" ht="55.5" customHeight="1">
      <c r="A242" s="153"/>
      <c r="B242" s="25"/>
      <c r="C242" s="16" t="s">
        <v>142</v>
      </c>
      <c r="D242" s="16" t="s">
        <v>147</v>
      </c>
      <c r="E242" s="52" t="s">
        <v>671</v>
      </c>
      <c r="F242" s="16"/>
      <c r="G242" s="60" t="s">
        <v>672</v>
      </c>
      <c r="H242" s="98">
        <f>H243</f>
        <v>1774.8999999999999</v>
      </c>
      <c r="I242" s="98">
        <f>I243</f>
        <v>1618.3</v>
      </c>
      <c r="J242" s="58">
        <f t="shared" si="14"/>
        <v>91.2</v>
      </c>
    </row>
    <row r="243" spans="1:10" ht="63.75">
      <c r="A243" s="153"/>
      <c r="B243" s="25"/>
      <c r="C243" s="16" t="s">
        <v>142</v>
      </c>
      <c r="D243" s="16" t="s">
        <v>147</v>
      </c>
      <c r="E243" s="21" t="s">
        <v>679</v>
      </c>
      <c r="F243" s="85"/>
      <c r="G243" s="102" t="s">
        <v>681</v>
      </c>
      <c r="H243" s="41">
        <f>H244+H246</f>
        <v>1774.8999999999999</v>
      </c>
      <c r="I243" s="41">
        <f>I244+I246</f>
        <v>1618.3</v>
      </c>
      <c r="J243" s="99">
        <f t="shared" si="14"/>
        <v>91.2</v>
      </c>
    </row>
    <row r="244" spans="1:10" ht="53.25" customHeight="1">
      <c r="A244" s="153"/>
      <c r="B244" s="25"/>
      <c r="C244" s="16" t="s">
        <v>142</v>
      </c>
      <c r="D244" s="16" t="s">
        <v>147</v>
      </c>
      <c r="E244" s="21" t="s">
        <v>680</v>
      </c>
      <c r="F244" s="85"/>
      <c r="G244" s="102" t="s">
        <v>668</v>
      </c>
      <c r="H244" s="41">
        <f>H245</f>
        <v>1175.0999999999999</v>
      </c>
      <c r="I244" s="41">
        <f>I245</f>
        <v>1018.5</v>
      </c>
      <c r="J244" s="99">
        <f t="shared" si="14"/>
        <v>86.7</v>
      </c>
    </row>
    <row r="245" spans="1:10" ht="38.25">
      <c r="A245" s="153"/>
      <c r="B245" s="25"/>
      <c r="C245" s="16" t="s">
        <v>142</v>
      </c>
      <c r="D245" s="16" t="s">
        <v>147</v>
      </c>
      <c r="E245" s="21" t="s">
        <v>680</v>
      </c>
      <c r="F245" s="85" t="s">
        <v>314</v>
      </c>
      <c r="G245" s="102" t="s">
        <v>315</v>
      </c>
      <c r="H245" s="41">
        <f>253.4+3604.6+30-2399.3-313.8-247.7+247.9</f>
        <v>1175.0999999999999</v>
      </c>
      <c r="I245" s="41">
        <v>1018.5</v>
      </c>
      <c r="J245" s="99">
        <f t="shared" si="14"/>
        <v>86.7</v>
      </c>
    </row>
    <row r="246" spans="1:10" ht="38.25">
      <c r="A246" s="153"/>
      <c r="B246" s="25"/>
      <c r="C246" s="16" t="s">
        <v>142</v>
      </c>
      <c r="D246" s="16" t="s">
        <v>147</v>
      </c>
      <c r="E246" s="21" t="s">
        <v>766</v>
      </c>
      <c r="F246" s="85"/>
      <c r="G246" s="160" t="s">
        <v>758</v>
      </c>
      <c r="H246" s="41">
        <f>H247</f>
        <v>599.79999999999995</v>
      </c>
      <c r="I246" s="41">
        <f>I247</f>
        <v>599.79999999999995</v>
      </c>
      <c r="J246" s="99">
        <f t="shared" si="14"/>
        <v>100</v>
      </c>
    </row>
    <row r="247" spans="1:10" ht="38.25">
      <c r="A247" s="153"/>
      <c r="B247" s="25"/>
      <c r="C247" s="16" t="s">
        <v>142</v>
      </c>
      <c r="D247" s="16" t="s">
        <v>147</v>
      </c>
      <c r="E247" s="21" t="s">
        <v>766</v>
      </c>
      <c r="F247" s="85" t="s">
        <v>314</v>
      </c>
      <c r="G247" s="102" t="s">
        <v>315</v>
      </c>
      <c r="H247" s="41">
        <f>600-0.2</f>
        <v>599.79999999999995</v>
      </c>
      <c r="I247" s="41">
        <f>600-0.2</f>
        <v>599.79999999999995</v>
      </c>
      <c r="J247" s="99">
        <f t="shared" si="14"/>
        <v>100</v>
      </c>
    </row>
    <row r="248" spans="1:10" ht="63.75">
      <c r="A248" s="153"/>
      <c r="B248" s="25"/>
      <c r="C248" s="16" t="s">
        <v>142</v>
      </c>
      <c r="D248" s="16" t="s">
        <v>147</v>
      </c>
      <c r="E248" s="52" t="s">
        <v>768</v>
      </c>
      <c r="F248" s="16"/>
      <c r="G248" s="60" t="s">
        <v>773</v>
      </c>
      <c r="H248" s="98">
        <f>H249</f>
        <v>1228.5999999999999</v>
      </c>
      <c r="I248" s="98">
        <f>I249</f>
        <v>21.5</v>
      </c>
      <c r="J248" s="58">
        <f t="shared" si="14"/>
        <v>1.7</v>
      </c>
    </row>
    <row r="249" spans="1:10" ht="76.5" customHeight="1">
      <c r="A249" s="153"/>
      <c r="B249" s="25"/>
      <c r="C249" s="16" t="s">
        <v>142</v>
      </c>
      <c r="D249" s="16" t="s">
        <v>147</v>
      </c>
      <c r="E249" s="21" t="s">
        <v>774</v>
      </c>
      <c r="F249" s="16"/>
      <c r="G249" s="102" t="s">
        <v>777</v>
      </c>
      <c r="H249" s="103">
        <f>H250+H252</f>
        <v>1228.5999999999999</v>
      </c>
      <c r="I249" s="103">
        <f>I250+I252</f>
        <v>21.5</v>
      </c>
      <c r="J249" s="99">
        <f t="shared" si="14"/>
        <v>1.7</v>
      </c>
    </row>
    <row r="250" spans="1:10" ht="51">
      <c r="A250" s="153"/>
      <c r="B250" s="25"/>
      <c r="C250" s="16" t="s">
        <v>142</v>
      </c>
      <c r="D250" s="16" t="s">
        <v>147</v>
      </c>
      <c r="E250" s="21" t="s">
        <v>769</v>
      </c>
      <c r="F250" s="85"/>
      <c r="G250" s="102" t="s">
        <v>770</v>
      </c>
      <c r="H250" s="41">
        <f>H251</f>
        <v>1042.3999999999999</v>
      </c>
      <c r="I250" s="41">
        <f>I251</f>
        <v>21.5</v>
      </c>
      <c r="J250" s="99">
        <f t="shared" si="14"/>
        <v>2.1</v>
      </c>
    </row>
    <row r="251" spans="1:10" ht="38.25">
      <c r="A251" s="153"/>
      <c r="B251" s="25"/>
      <c r="C251" s="16" t="s">
        <v>142</v>
      </c>
      <c r="D251" s="16" t="s">
        <v>147</v>
      </c>
      <c r="E251" s="21" t="s">
        <v>769</v>
      </c>
      <c r="F251" s="85" t="s">
        <v>314</v>
      </c>
      <c r="G251" s="102" t="s">
        <v>315</v>
      </c>
      <c r="H251" s="41">
        <f>1055.1-12.4-0.3</f>
        <v>1042.3999999999999</v>
      </c>
      <c r="I251" s="41">
        <v>21.5</v>
      </c>
      <c r="J251" s="99">
        <f t="shared" si="14"/>
        <v>2.1</v>
      </c>
    </row>
    <row r="252" spans="1:10" ht="63.75">
      <c r="A252" s="153"/>
      <c r="B252" s="25"/>
      <c r="C252" s="16" t="s">
        <v>142</v>
      </c>
      <c r="D252" s="16" t="s">
        <v>147</v>
      </c>
      <c r="E252" s="21" t="s">
        <v>772</v>
      </c>
      <c r="F252" s="85"/>
      <c r="G252" s="102" t="s">
        <v>771</v>
      </c>
      <c r="H252" s="41">
        <f>H253</f>
        <v>186.2</v>
      </c>
      <c r="I252" s="41">
        <f>I253</f>
        <v>0</v>
      </c>
      <c r="J252" s="99">
        <f t="shared" si="14"/>
        <v>0</v>
      </c>
    </row>
    <row r="253" spans="1:10" ht="38.25">
      <c r="A253" s="153"/>
      <c r="B253" s="25"/>
      <c r="C253" s="16" t="s">
        <v>142</v>
      </c>
      <c r="D253" s="16" t="s">
        <v>147</v>
      </c>
      <c r="E253" s="21" t="s">
        <v>772</v>
      </c>
      <c r="F253" s="85" t="s">
        <v>314</v>
      </c>
      <c r="G253" s="102" t="s">
        <v>315</v>
      </c>
      <c r="H253" s="41">
        <v>186.2</v>
      </c>
      <c r="I253" s="41">
        <v>0</v>
      </c>
      <c r="J253" s="99">
        <f t="shared" si="14"/>
        <v>0</v>
      </c>
    </row>
    <row r="254" spans="1:10" ht="63.75">
      <c r="A254" s="1"/>
      <c r="B254" s="25"/>
      <c r="C254" s="73" t="s">
        <v>142</v>
      </c>
      <c r="D254" s="73" t="s">
        <v>147</v>
      </c>
      <c r="E254" s="73" t="s">
        <v>337</v>
      </c>
      <c r="F254" s="16"/>
      <c r="G254" s="64" t="s">
        <v>517</v>
      </c>
      <c r="H254" s="100">
        <f>H255</f>
        <v>5960.8</v>
      </c>
      <c r="I254" s="100">
        <f>I255</f>
        <v>5622.0000000000009</v>
      </c>
      <c r="J254" s="62">
        <f t="shared" si="14"/>
        <v>94.3</v>
      </c>
    </row>
    <row r="255" spans="1:10" ht="51">
      <c r="A255" s="1"/>
      <c r="B255" s="25"/>
      <c r="C255" s="21" t="s">
        <v>142</v>
      </c>
      <c r="D255" s="21" t="s">
        <v>147</v>
      </c>
      <c r="E255" s="52" t="s">
        <v>338</v>
      </c>
      <c r="F255" s="16"/>
      <c r="G255" s="48" t="s">
        <v>339</v>
      </c>
      <c r="H255" s="58">
        <f>H256</f>
        <v>5960.8</v>
      </c>
      <c r="I255" s="58">
        <f>I256</f>
        <v>5622.0000000000009</v>
      </c>
      <c r="J255" s="58">
        <f t="shared" si="14"/>
        <v>94.3</v>
      </c>
    </row>
    <row r="256" spans="1:10" ht="51">
      <c r="A256" s="1"/>
      <c r="B256" s="25"/>
      <c r="C256" s="21" t="s">
        <v>142</v>
      </c>
      <c r="D256" s="21" t="s">
        <v>147</v>
      </c>
      <c r="E256" s="21" t="s">
        <v>340</v>
      </c>
      <c r="F256" s="16"/>
      <c r="G256" s="102" t="s">
        <v>341</v>
      </c>
      <c r="H256" s="99">
        <f>H257+H259+H261+H263+H265+H267+H269</f>
        <v>5960.8</v>
      </c>
      <c r="I256" s="99">
        <f>I257+I259+I261+I263+I265+I267+I269</f>
        <v>5622.0000000000009</v>
      </c>
      <c r="J256" s="99">
        <f t="shared" si="14"/>
        <v>94.3</v>
      </c>
    </row>
    <row r="257" spans="1:10" ht="38.25">
      <c r="A257" s="1"/>
      <c r="B257" s="25"/>
      <c r="C257" s="21" t="s">
        <v>142</v>
      </c>
      <c r="D257" s="21" t="s">
        <v>147</v>
      </c>
      <c r="E257" s="21" t="s">
        <v>342</v>
      </c>
      <c r="F257" s="16"/>
      <c r="G257" s="102" t="s">
        <v>611</v>
      </c>
      <c r="H257" s="99">
        <f>H258</f>
        <v>538.1</v>
      </c>
      <c r="I257" s="99">
        <f>I258</f>
        <v>538.1</v>
      </c>
      <c r="J257" s="99">
        <f t="shared" si="14"/>
        <v>100</v>
      </c>
    </row>
    <row r="258" spans="1:10" ht="38.25">
      <c r="A258" s="1"/>
      <c r="B258" s="25"/>
      <c r="C258" s="21" t="s">
        <v>142</v>
      </c>
      <c r="D258" s="21" t="s">
        <v>147</v>
      </c>
      <c r="E258" s="21" t="s">
        <v>342</v>
      </c>
      <c r="F258" s="85" t="s">
        <v>314</v>
      </c>
      <c r="G258" s="102" t="s">
        <v>315</v>
      </c>
      <c r="H258" s="41">
        <f>594.6-56.5</f>
        <v>538.1</v>
      </c>
      <c r="I258" s="41">
        <f>594.6-56.5</f>
        <v>538.1</v>
      </c>
      <c r="J258" s="99">
        <f t="shared" si="14"/>
        <v>100</v>
      </c>
    </row>
    <row r="259" spans="1:10" ht="45" customHeight="1">
      <c r="A259" s="153"/>
      <c r="B259" s="25"/>
      <c r="C259" s="21" t="s">
        <v>142</v>
      </c>
      <c r="D259" s="21" t="s">
        <v>147</v>
      </c>
      <c r="E259" s="21" t="s">
        <v>685</v>
      </c>
      <c r="F259" s="16"/>
      <c r="G259" s="102" t="s">
        <v>650</v>
      </c>
      <c r="H259" s="99">
        <f>H260</f>
        <v>339.5</v>
      </c>
      <c r="I259" s="99">
        <f>I260</f>
        <v>339.5</v>
      </c>
      <c r="J259" s="99">
        <f t="shared" si="14"/>
        <v>100</v>
      </c>
    </row>
    <row r="260" spans="1:10" ht="38.25">
      <c r="A260" s="153"/>
      <c r="B260" s="25"/>
      <c r="C260" s="21" t="s">
        <v>142</v>
      </c>
      <c r="D260" s="21" t="s">
        <v>147</v>
      </c>
      <c r="E260" s="21" t="s">
        <v>685</v>
      </c>
      <c r="F260" s="85" t="s">
        <v>314</v>
      </c>
      <c r="G260" s="102" t="s">
        <v>315</v>
      </c>
      <c r="H260" s="41">
        <f>800-432-28.5</f>
        <v>339.5</v>
      </c>
      <c r="I260" s="41">
        <f>800-432-28.5</f>
        <v>339.5</v>
      </c>
      <c r="J260" s="99">
        <f t="shared" si="14"/>
        <v>100</v>
      </c>
    </row>
    <row r="261" spans="1:10" ht="38.25">
      <c r="A261" s="153"/>
      <c r="B261" s="25"/>
      <c r="C261" s="21" t="s">
        <v>142</v>
      </c>
      <c r="D261" s="21" t="s">
        <v>147</v>
      </c>
      <c r="E261" s="51" t="s">
        <v>637</v>
      </c>
      <c r="F261" s="85"/>
      <c r="G261" s="102" t="s">
        <v>630</v>
      </c>
      <c r="H261" s="41">
        <f>H262</f>
        <v>887.3</v>
      </c>
      <c r="I261" s="41">
        <f>I262</f>
        <v>820.8</v>
      </c>
      <c r="J261" s="58">
        <f t="shared" si="14"/>
        <v>92.5</v>
      </c>
    </row>
    <row r="262" spans="1:10" ht="38.25">
      <c r="A262" s="153"/>
      <c r="B262" s="25"/>
      <c r="C262" s="21" t="s">
        <v>142</v>
      </c>
      <c r="D262" s="21" t="s">
        <v>147</v>
      </c>
      <c r="E262" s="51" t="s">
        <v>637</v>
      </c>
      <c r="F262" s="85" t="s">
        <v>314</v>
      </c>
      <c r="G262" s="102" t="s">
        <v>315</v>
      </c>
      <c r="H262" s="41">
        <v>887.3</v>
      </c>
      <c r="I262" s="41">
        <v>820.8</v>
      </c>
      <c r="J262" s="99">
        <f t="shared" si="14"/>
        <v>92.5</v>
      </c>
    </row>
    <row r="263" spans="1:10" ht="51">
      <c r="A263" s="153"/>
      <c r="B263" s="25"/>
      <c r="C263" s="21" t="s">
        <v>142</v>
      </c>
      <c r="D263" s="21" t="s">
        <v>147</v>
      </c>
      <c r="E263" s="51" t="s">
        <v>638</v>
      </c>
      <c r="F263" s="85"/>
      <c r="G263" s="102" t="s">
        <v>626</v>
      </c>
      <c r="H263" s="41">
        <f>H264</f>
        <v>3549.1</v>
      </c>
      <c r="I263" s="41">
        <f>I264</f>
        <v>3283.3</v>
      </c>
      <c r="J263" s="99">
        <f t="shared" ref="J263:J319" si="15">ROUND((I263/H263*100),1)</f>
        <v>92.5</v>
      </c>
    </row>
    <row r="264" spans="1:10" ht="38.25">
      <c r="A264" s="153"/>
      <c r="B264" s="25"/>
      <c r="C264" s="21" t="s">
        <v>142</v>
      </c>
      <c r="D264" s="21" t="s">
        <v>147</v>
      </c>
      <c r="E264" s="51" t="s">
        <v>638</v>
      </c>
      <c r="F264" s="85" t="s">
        <v>314</v>
      </c>
      <c r="G264" s="102" t="s">
        <v>315</v>
      </c>
      <c r="H264" s="41">
        <v>3549.1</v>
      </c>
      <c r="I264" s="41">
        <v>3283.3</v>
      </c>
      <c r="J264" s="99">
        <f t="shared" si="15"/>
        <v>92.5</v>
      </c>
    </row>
    <row r="265" spans="1:10" ht="25.5">
      <c r="A265" s="153"/>
      <c r="B265" s="25"/>
      <c r="C265" s="21" t="s">
        <v>142</v>
      </c>
      <c r="D265" s="21" t="s">
        <v>147</v>
      </c>
      <c r="E265" s="21" t="s">
        <v>651</v>
      </c>
      <c r="F265" s="16"/>
      <c r="G265" s="102" t="s">
        <v>652</v>
      </c>
      <c r="H265" s="41">
        <f>H266</f>
        <v>294</v>
      </c>
      <c r="I265" s="41">
        <f>I266</f>
        <v>287.5</v>
      </c>
      <c r="J265" s="99">
        <f t="shared" si="15"/>
        <v>97.8</v>
      </c>
    </row>
    <row r="266" spans="1:10" ht="38.25">
      <c r="A266" s="153"/>
      <c r="B266" s="25"/>
      <c r="C266" s="21" t="s">
        <v>142</v>
      </c>
      <c r="D266" s="21" t="s">
        <v>147</v>
      </c>
      <c r="E266" s="21" t="s">
        <v>651</v>
      </c>
      <c r="F266" s="85" t="s">
        <v>314</v>
      </c>
      <c r="G266" s="102" t="s">
        <v>315</v>
      </c>
      <c r="H266" s="41">
        <v>294</v>
      </c>
      <c r="I266" s="41">
        <v>287.5</v>
      </c>
      <c r="J266" s="99">
        <f t="shared" si="15"/>
        <v>97.8</v>
      </c>
    </row>
    <row r="267" spans="1:10" ht="53.25" customHeight="1">
      <c r="A267" s="153"/>
      <c r="B267" s="25"/>
      <c r="C267" s="21" t="s">
        <v>142</v>
      </c>
      <c r="D267" s="21" t="s">
        <v>147</v>
      </c>
      <c r="E267" s="21" t="s">
        <v>653</v>
      </c>
      <c r="F267" s="16"/>
      <c r="G267" s="102" t="s">
        <v>694</v>
      </c>
      <c r="H267" s="41">
        <f>H268</f>
        <v>30</v>
      </c>
      <c r="I267" s="41">
        <f>I268</f>
        <v>30</v>
      </c>
      <c r="J267" s="99">
        <f t="shared" si="15"/>
        <v>100</v>
      </c>
    </row>
    <row r="268" spans="1:10" ht="38.25">
      <c r="A268" s="153"/>
      <c r="B268" s="25"/>
      <c r="C268" s="21" t="s">
        <v>142</v>
      </c>
      <c r="D268" s="21" t="s">
        <v>147</v>
      </c>
      <c r="E268" s="21" t="s">
        <v>653</v>
      </c>
      <c r="F268" s="85" t="s">
        <v>314</v>
      </c>
      <c r="G268" s="102" t="s">
        <v>315</v>
      </c>
      <c r="H268" s="41">
        <f>7.9+22.1</f>
        <v>30</v>
      </c>
      <c r="I268" s="41">
        <f>7.9+22.1</f>
        <v>30</v>
      </c>
      <c r="J268" s="99">
        <f t="shared" si="15"/>
        <v>100</v>
      </c>
    </row>
    <row r="269" spans="1:10" ht="25.5">
      <c r="A269" s="153"/>
      <c r="B269" s="25"/>
      <c r="C269" s="21" t="s">
        <v>142</v>
      </c>
      <c r="D269" s="21" t="s">
        <v>147</v>
      </c>
      <c r="E269" s="21" t="s">
        <v>803</v>
      </c>
      <c r="F269" s="85"/>
      <c r="G269" s="102" t="s">
        <v>804</v>
      </c>
      <c r="H269" s="41">
        <f>H270</f>
        <v>322.8</v>
      </c>
      <c r="I269" s="41">
        <f>I270</f>
        <v>322.8</v>
      </c>
      <c r="J269" s="99">
        <f t="shared" si="15"/>
        <v>100</v>
      </c>
    </row>
    <row r="270" spans="1:10" ht="38.25">
      <c r="A270" s="153"/>
      <c r="B270" s="25"/>
      <c r="C270" s="21" t="s">
        <v>142</v>
      </c>
      <c r="D270" s="21" t="s">
        <v>147</v>
      </c>
      <c r="E270" s="21" t="s">
        <v>803</v>
      </c>
      <c r="F270" s="85" t="s">
        <v>314</v>
      </c>
      <c r="G270" s="102" t="s">
        <v>315</v>
      </c>
      <c r="H270" s="41">
        <v>322.8</v>
      </c>
      <c r="I270" s="41">
        <v>322.8</v>
      </c>
      <c r="J270" s="99">
        <f t="shared" si="15"/>
        <v>100</v>
      </c>
    </row>
    <row r="271" spans="1:10" ht="28.5" customHeight="1">
      <c r="A271" s="153"/>
      <c r="B271" s="25"/>
      <c r="C271" s="21" t="s">
        <v>142</v>
      </c>
      <c r="D271" s="21" t="s">
        <v>147</v>
      </c>
      <c r="E271" s="16" t="s">
        <v>31</v>
      </c>
      <c r="F271" s="16"/>
      <c r="G271" s="104" t="s">
        <v>53</v>
      </c>
      <c r="H271" s="39">
        <f>H272+H274</f>
        <v>3119.2</v>
      </c>
      <c r="I271" s="39">
        <f>I272+I274</f>
        <v>3119.2</v>
      </c>
      <c r="J271" s="99">
        <f t="shared" si="15"/>
        <v>100</v>
      </c>
    </row>
    <row r="272" spans="1:10" ht="25.5">
      <c r="A272" s="153"/>
      <c r="B272" s="25"/>
      <c r="C272" s="21" t="s">
        <v>142</v>
      </c>
      <c r="D272" s="21" t="s">
        <v>147</v>
      </c>
      <c r="E272" s="85" t="s">
        <v>802</v>
      </c>
      <c r="F272" s="16"/>
      <c r="G272" s="54" t="s">
        <v>801</v>
      </c>
      <c r="H272" s="39">
        <f>H273</f>
        <v>5</v>
      </c>
      <c r="I272" s="39">
        <f>I273</f>
        <v>5</v>
      </c>
      <c r="J272" s="58">
        <f t="shared" si="15"/>
        <v>100</v>
      </c>
    </row>
    <row r="273" spans="1:10">
      <c r="A273" s="153"/>
      <c r="B273" s="25"/>
      <c r="C273" s="21" t="s">
        <v>142</v>
      </c>
      <c r="D273" s="21" t="s">
        <v>147</v>
      </c>
      <c r="E273" s="85" t="s">
        <v>802</v>
      </c>
      <c r="F273" s="85" t="s">
        <v>466</v>
      </c>
      <c r="G273" s="102" t="s">
        <v>467</v>
      </c>
      <c r="H273" s="39">
        <v>5</v>
      </c>
      <c r="I273" s="103">
        <v>5</v>
      </c>
      <c r="J273" s="99">
        <f t="shared" si="15"/>
        <v>100</v>
      </c>
    </row>
    <row r="274" spans="1:10" ht="25.5">
      <c r="A274" s="153"/>
      <c r="B274" s="25"/>
      <c r="C274" s="21" t="s">
        <v>142</v>
      </c>
      <c r="D274" s="21" t="s">
        <v>147</v>
      </c>
      <c r="E274" s="85" t="s">
        <v>488</v>
      </c>
      <c r="F274" s="16"/>
      <c r="G274" s="54" t="s">
        <v>468</v>
      </c>
      <c r="H274" s="39">
        <f>SUM(H275:H276)</f>
        <v>3114.2</v>
      </c>
      <c r="I274" s="39">
        <f>SUM(I275:I276)</f>
        <v>3114.2</v>
      </c>
      <c r="J274" s="99">
        <f t="shared" si="15"/>
        <v>100</v>
      </c>
    </row>
    <row r="275" spans="1:10" ht="38.25">
      <c r="A275" s="153"/>
      <c r="B275" s="25"/>
      <c r="C275" s="21" t="s">
        <v>142</v>
      </c>
      <c r="D275" s="21" t="s">
        <v>147</v>
      </c>
      <c r="E275" s="85" t="s">
        <v>488</v>
      </c>
      <c r="F275" s="85" t="s">
        <v>314</v>
      </c>
      <c r="G275" s="102" t="s">
        <v>315</v>
      </c>
      <c r="H275" s="39">
        <f>717.4-601.8+361+23+24.2+1754.7</f>
        <v>2278.5</v>
      </c>
      <c r="I275" s="39">
        <f>717.4-601.8+361+23+24.2+1754.7</f>
        <v>2278.5</v>
      </c>
      <c r="J275" s="99">
        <f t="shared" si="15"/>
        <v>100</v>
      </c>
    </row>
    <row r="276" spans="1:10">
      <c r="A276" s="153"/>
      <c r="B276" s="25"/>
      <c r="C276" s="21" t="s">
        <v>142</v>
      </c>
      <c r="D276" s="21" t="s">
        <v>147</v>
      </c>
      <c r="E276" s="85" t="s">
        <v>488</v>
      </c>
      <c r="F276" s="85" t="s">
        <v>466</v>
      </c>
      <c r="G276" s="102" t="s">
        <v>467</v>
      </c>
      <c r="H276" s="39">
        <f>524.5+125.6+185.6</f>
        <v>835.7</v>
      </c>
      <c r="I276" s="39">
        <f>524.5+125.6+185.6</f>
        <v>835.7</v>
      </c>
      <c r="J276" s="99">
        <f t="shared" si="15"/>
        <v>100</v>
      </c>
    </row>
    <row r="277" spans="1:10" ht="25.5">
      <c r="A277" s="1"/>
      <c r="B277" s="25"/>
      <c r="C277" s="30" t="s">
        <v>142</v>
      </c>
      <c r="D277" s="30" t="s">
        <v>170</v>
      </c>
      <c r="E277" s="30"/>
      <c r="F277" s="30"/>
      <c r="G277" s="46" t="s">
        <v>4</v>
      </c>
      <c r="H277" s="40">
        <f>H278+H286</f>
        <v>261.2</v>
      </c>
      <c r="I277" s="40">
        <f>I278+I286</f>
        <v>261.2</v>
      </c>
      <c r="J277" s="99">
        <f t="shared" si="15"/>
        <v>100</v>
      </c>
    </row>
    <row r="278" spans="1:10" ht="63.75">
      <c r="A278" s="1"/>
      <c r="B278" s="25"/>
      <c r="C278" s="16" t="s">
        <v>142</v>
      </c>
      <c r="D278" s="16" t="s">
        <v>170</v>
      </c>
      <c r="E278" s="73" t="s">
        <v>111</v>
      </c>
      <c r="F278" s="16"/>
      <c r="G278" s="53" t="s">
        <v>544</v>
      </c>
      <c r="H278" s="100">
        <f>H279</f>
        <v>191.6</v>
      </c>
      <c r="I278" s="100">
        <f>I279</f>
        <v>191.6</v>
      </c>
      <c r="J278" s="62">
        <f t="shared" si="15"/>
        <v>100</v>
      </c>
    </row>
    <row r="279" spans="1:10" ht="38.25">
      <c r="A279" s="1"/>
      <c r="B279" s="25"/>
      <c r="C279" s="16" t="s">
        <v>142</v>
      </c>
      <c r="D279" s="16" t="s">
        <v>170</v>
      </c>
      <c r="E279" s="52" t="s">
        <v>226</v>
      </c>
      <c r="F279" s="16"/>
      <c r="G279" s="48" t="s">
        <v>225</v>
      </c>
      <c r="H279" s="98">
        <f>H280+H283</f>
        <v>191.6</v>
      </c>
      <c r="I279" s="98">
        <f>I280+I283</f>
        <v>191.6</v>
      </c>
      <c r="J279" s="58">
        <f t="shared" si="15"/>
        <v>100</v>
      </c>
    </row>
    <row r="280" spans="1:10" ht="76.5">
      <c r="A280" s="1"/>
      <c r="B280" s="25"/>
      <c r="C280" s="16" t="s">
        <v>142</v>
      </c>
      <c r="D280" s="16" t="s">
        <v>170</v>
      </c>
      <c r="E280" s="21" t="s">
        <v>370</v>
      </c>
      <c r="F280" s="16"/>
      <c r="G280" s="104" t="s">
        <v>479</v>
      </c>
      <c r="H280" s="41">
        <f t="shared" ref="H280:I281" si="16">H281</f>
        <v>161</v>
      </c>
      <c r="I280" s="41">
        <f t="shared" si="16"/>
        <v>161</v>
      </c>
      <c r="J280" s="99">
        <f t="shared" si="15"/>
        <v>100</v>
      </c>
    </row>
    <row r="281" spans="1:10" ht="51">
      <c r="A281" s="1"/>
      <c r="B281" s="25"/>
      <c r="C281" s="16" t="s">
        <v>142</v>
      </c>
      <c r="D281" s="16" t="s">
        <v>170</v>
      </c>
      <c r="E281" s="21" t="s">
        <v>228</v>
      </c>
      <c r="F281" s="30"/>
      <c r="G281" s="101" t="s">
        <v>227</v>
      </c>
      <c r="H281" s="41">
        <f t="shared" si="16"/>
        <v>161</v>
      </c>
      <c r="I281" s="41">
        <f t="shared" si="16"/>
        <v>161</v>
      </c>
      <c r="J281" s="99">
        <f t="shared" si="15"/>
        <v>100</v>
      </c>
    </row>
    <row r="282" spans="1:10" ht="38.25">
      <c r="A282" s="1"/>
      <c r="B282" s="25"/>
      <c r="C282" s="16" t="s">
        <v>142</v>
      </c>
      <c r="D282" s="16" t="s">
        <v>170</v>
      </c>
      <c r="E282" s="21" t="s">
        <v>228</v>
      </c>
      <c r="F282" s="85" t="s">
        <v>314</v>
      </c>
      <c r="G282" s="102" t="s">
        <v>315</v>
      </c>
      <c r="H282" s="41">
        <f>166.7-5.7</f>
        <v>161</v>
      </c>
      <c r="I282" s="41">
        <f>166.7-5.7</f>
        <v>161</v>
      </c>
      <c r="J282" s="99">
        <f t="shared" si="15"/>
        <v>100</v>
      </c>
    </row>
    <row r="283" spans="1:10" ht="25.5">
      <c r="A283" s="1"/>
      <c r="B283" s="25"/>
      <c r="C283" s="16" t="s">
        <v>142</v>
      </c>
      <c r="D283" s="16" t="s">
        <v>170</v>
      </c>
      <c r="E283" s="21" t="s">
        <v>612</v>
      </c>
      <c r="F283" s="85"/>
      <c r="G283" s="104" t="s">
        <v>608</v>
      </c>
      <c r="H283" s="41">
        <f>H284</f>
        <v>30.6</v>
      </c>
      <c r="I283" s="41">
        <f>I284</f>
        <v>30.6</v>
      </c>
      <c r="J283" s="99">
        <f t="shared" si="15"/>
        <v>100</v>
      </c>
    </row>
    <row r="284" spans="1:10" ht="38.25">
      <c r="A284" s="1"/>
      <c r="B284" s="25"/>
      <c r="C284" s="16" t="s">
        <v>142</v>
      </c>
      <c r="D284" s="16" t="s">
        <v>170</v>
      </c>
      <c r="E284" s="85" t="s">
        <v>607</v>
      </c>
      <c r="F284" s="30"/>
      <c r="G284" s="101" t="s">
        <v>236</v>
      </c>
      <c r="H284" s="41">
        <f>H285</f>
        <v>30.6</v>
      </c>
      <c r="I284" s="41">
        <f>I285</f>
        <v>30.6</v>
      </c>
      <c r="J284" s="99">
        <f t="shared" si="15"/>
        <v>100</v>
      </c>
    </row>
    <row r="285" spans="1:10" ht="38.25">
      <c r="A285" s="153"/>
      <c r="B285" s="25"/>
      <c r="C285" s="16" t="s">
        <v>142</v>
      </c>
      <c r="D285" s="16" t="s">
        <v>170</v>
      </c>
      <c r="E285" s="85" t="s">
        <v>607</v>
      </c>
      <c r="F285" s="85" t="s">
        <v>314</v>
      </c>
      <c r="G285" s="102" t="s">
        <v>315</v>
      </c>
      <c r="H285" s="41">
        <f>36-5.4</f>
        <v>30.6</v>
      </c>
      <c r="I285" s="41">
        <f>36-5.4</f>
        <v>30.6</v>
      </c>
      <c r="J285" s="99">
        <f t="shared" si="15"/>
        <v>100</v>
      </c>
    </row>
    <row r="286" spans="1:10" ht="63.75">
      <c r="A286" s="1"/>
      <c r="B286" s="25"/>
      <c r="C286" s="5" t="s">
        <v>142</v>
      </c>
      <c r="D286" s="5" t="s">
        <v>170</v>
      </c>
      <c r="E286" s="76">
        <v>400000000</v>
      </c>
      <c r="F286" s="16"/>
      <c r="G286" s="64" t="s">
        <v>520</v>
      </c>
      <c r="H286" s="100">
        <f>H287</f>
        <v>69.599999999999994</v>
      </c>
      <c r="I286" s="100">
        <f>I287</f>
        <v>69.599999999999994</v>
      </c>
      <c r="J286" s="62">
        <f t="shared" si="15"/>
        <v>100</v>
      </c>
    </row>
    <row r="287" spans="1:10" ht="38.25">
      <c r="A287" s="1"/>
      <c r="B287" s="25"/>
      <c r="C287" s="47" t="s">
        <v>142</v>
      </c>
      <c r="D287" s="47" t="s">
        <v>170</v>
      </c>
      <c r="E287" s="75">
        <v>440000000</v>
      </c>
      <c r="F287" s="16"/>
      <c r="G287" s="48" t="s">
        <v>363</v>
      </c>
      <c r="H287" s="98">
        <f>H288+H291</f>
        <v>69.599999999999994</v>
      </c>
      <c r="I287" s="98">
        <f>I288+I291</f>
        <v>69.599999999999994</v>
      </c>
      <c r="J287" s="58">
        <f t="shared" si="15"/>
        <v>100</v>
      </c>
    </row>
    <row r="288" spans="1:10" ht="25.5">
      <c r="A288" s="153"/>
      <c r="B288" s="25"/>
      <c r="C288" s="16" t="s">
        <v>142</v>
      </c>
      <c r="D288" s="16" t="s">
        <v>170</v>
      </c>
      <c r="E288" s="74">
        <v>440100000</v>
      </c>
      <c r="F288" s="16"/>
      <c r="G288" s="102" t="s">
        <v>763</v>
      </c>
      <c r="H288" s="103">
        <f t="shared" ref="H288:I289" si="17">H289</f>
        <v>49.6</v>
      </c>
      <c r="I288" s="103">
        <f t="shared" si="17"/>
        <v>49.6</v>
      </c>
      <c r="J288" s="99">
        <f t="shared" si="15"/>
        <v>100</v>
      </c>
    </row>
    <row r="289" spans="1:10" ht="76.5">
      <c r="A289" s="153"/>
      <c r="B289" s="25"/>
      <c r="C289" s="16" t="s">
        <v>142</v>
      </c>
      <c r="D289" s="16" t="s">
        <v>170</v>
      </c>
      <c r="E289" s="74" t="s">
        <v>762</v>
      </c>
      <c r="F289" s="16"/>
      <c r="G289" s="104" t="s">
        <v>765</v>
      </c>
      <c r="H289" s="103">
        <f t="shared" si="17"/>
        <v>49.6</v>
      </c>
      <c r="I289" s="103">
        <f t="shared" si="17"/>
        <v>49.6</v>
      </c>
      <c r="J289" s="99">
        <f t="shared" si="15"/>
        <v>100</v>
      </c>
    </row>
    <row r="290" spans="1:10" ht="38.25">
      <c r="A290" s="153"/>
      <c r="B290" s="25"/>
      <c r="C290" s="16" t="s">
        <v>142</v>
      </c>
      <c r="D290" s="16" t="s">
        <v>170</v>
      </c>
      <c r="E290" s="74" t="s">
        <v>762</v>
      </c>
      <c r="F290" s="85" t="s">
        <v>314</v>
      </c>
      <c r="G290" s="102" t="s">
        <v>315</v>
      </c>
      <c r="H290" s="103">
        <f>44.6+5</f>
        <v>49.6</v>
      </c>
      <c r="I290" s="103">
        <f>44.6+5</f>
        <v>49.6</v>
      </c>
      <c r="J290" s="99">
        <f t="shared" si="15"/>
        <v>100</v>
      </c>
    </row>
    <row r="291" spans="1:10" ht="51">
      <c r="A291" s="1"/>
      <c r="B291" s="25"/>
      <c r="C291" s="16" t="s">
        <v>142</v>
      </c>
      <c r="D291" s="16" t="s">
        <v>170</v>
      </c>
      <c r="E291" s="74">
        <v>440200000</v>
      </c>
      <c r="F291" s="85"/>
      <c r="G291" s="102" t="s">
        <v>347</v>
      </c>
      <c r="H291" s="41">
        <f>H292</f>
        <v>20</v>
      </c>
      <c r="I291" s="41">
        <f>I292</f>
        <v>20</v>
      </c>
      <c r="J291" s="99">
        <f t="shared" si="15"/>
        <v>100</v>
      </c>
    </row>
    <row r="292" spans="1:10" ht="25.5">
      <c r="A292" s="1"/>
      <c r="B292" s="25"/>
      <c r="C292" s="16" t="s">
        <v>142</v>
      </c>
      <c r="D292" s="16" t="s">
        <v>170</v>
      </c>
      <c r="E292" s="74" t="s">
        <v>645</v>
      </c>
      <c r="F292" s="85"/>
      <c r="G292" s="102" t="s">
        <v>321</v>
      </c>
      <c r="H292" s="41">
        <f>H293</f>
        <v>20</v>
      </c>
      <c r="I292" s="41">
        <f>I293</f>
        <v>20</v>
      </c>
      <c r="J292" s="99">
        <f t="shared" si="15"/>
        <v>100</v>
      </c>
    </row>
    <row r="293" spans="1:10" ht="38.25">
      <c r="A293" s="1"/>
      <c r="B293" s="25"/>
      <c r="C293" s="16" t="s">
        <v>142</v>
      </c>
      <c r="D293" s="16" t="s">
        <v>170</v>
      </c>
      <c r="E293" s="74" t="s">
        <v>645</v>
      </c>
      <c r="F293" s="85" t="s">
        <v>314</v>
      </c>
      <c r="G293" s="102" t="s">
        <v>315</v>
      </c>
      <c r="H293" s="41">
        <v>20</v>
      </c>
      <c r="I293" s="41">
        <v>20</v>
      </c>
      <c r="J293" s="99">
        <f t="shared" si="15"/>
        <v>100</v>
      </c>
    </row>
    <row r="294" spans="1:10" ht="30">
      <c r="A294" s="1"/>
      <c r="B294" s="25"/>
      <c r="C294" s="4" t="s">
        <v>143</v>
      </c>
      <c r="D294" s="3"/>
      <c r="E294" s="3"/>
      <c r="F294" s="3"/>
      <c r="G294" s="49" t="s">
        <v>71</v>
      </c>
      <c r="H294" s="97">
        <f>H295+H330+H371</f>
        <v>240510.4</v>
      </c>
      <c r="I294" s="97">
        <f>I295+I330+I371</f>
        <v>205252</v>
      </c>
      <c r="J294" s="206">
        <f t="shared" si="15"/>
        <v>85.3</v>
      </c>
    </row>
    <row r="295" spans="1:10" ht="14.25">
      <c r="A295" s="1"/>
      <c r="B295" s="25"/>
      <c r="C295" s="30" t="s">
        <v>143</v>
      </c>
      <c r="D295" s="30" t="s">
        <v>136</v>
      </c>
      <c r="E295" s="30"/>
      <c r="F295" s="30"/>
      <c r="G295" s="27" t="s">
        <v>57</v>
      </c>
      <c r="H295" s="40">
        <f>H296+H326</f>
        <v>21871.8</v>
      </c>
      <c r="I295" s="40">
        <f>I296+I326</f>
        <v>21310.9</v>
      </c>
      <c r="J295" s="58">
        <f t="shared" si="15"/>
        <v>97.4</v>
      </c>
    </row>
    <row r="296" spans="1:10" ht="51">
      <c r="A296" s="1"/>
      <c r="B296" s="25"/>
      <c r="C296" s="5" t="s">
        <v>143</v>
      </c>
      <c r="D296" s="5" t="s">
        <v>136</v>
      </c>
      <c r="E296" s="73" t="s">
        <v>212</v>
      </c>
      <c r="F296" s="16"/>
      <c r="G296" s="53" t="s">
        <v>525</v>
      </c>
      <c r="H296" s="100">
        <f>H297+H304+H317</f>
        <v>21821.8</v>
      </c>
      <c r="I296" s="100">
        <f>I297+I304+I317</f>
        <v>21310.9</v>
      </c>
      <c r="J296" s="62">
        <f t="shared" si="15"/>
        <v>97.7</v>
      </c>
    </row>
    <row r="297" spans="1:10" ht="38.25">
      <c r="A297" s="1"/>
      <c r="B297" s="25"/>
      <c r="C297" s="47" t="s">
        <v>143</v>
      </c>
      <c r="D297" s="47" t="s">
        <v>136</v>
      </c>
      <c r="E297" s="52" t="s">
        <v>206</v>
      </c>
      <c r="F297" s="16"/>
      <c r="G297" s="48" t="s">
        <v>455</v>
      </c>
      <c r="H297" s="98">
        <f>H298+H301</f>
        <v>2101.9</v>
      </c>
      <c r="I297" s="98">
        <f>I298+I301</f>
        <v>2091.5</v>
      </c>
      <c r="J297" s="58">
        <f t="shared" si="15"/>
        <v>99.5</v>
      </c>
    </row>
    <row r="298" spans="1:10" ht="38.25">
      <c r="A298" s="1"/>
      <c r="B298" s="25"/>
      <c r="C298" s="85" t="s">
        <v>143</v>
      </c>
      <c r="D298" s="85" t="s">
        <v>136</v>
      </c>
      <c r="E298" s="21" t="s">
        <v>389</v>
      </c>
      <c r="F298" s="16"/>
      <c r="G298" s="104" t="s">
        <v>391</v>
      </c>
      <c r="H298" s="98">
        <f>H299</f>
        <v>196.3</v>
      </c>
      <c r="I298" s="98">
        <f>I299</f>
        <v>190.3</v>
      </c>
      <c r="J298" s="58">
        <f t="shared" si="15"/>
        <v>96.9</v>
      </c>
    </row>
    <row r="299" spans="1:10" ht="51">
      <c r="A299" s="1"/>
      <c r="B299" s="25"/>
      <c r="C299" s="16" t="s">
        <v>143</v>
      </c>
      <c r="D299" s="16" t="s">
        <v>136</v>
      </c>
      <c r="E299" s="80" t="s">
        <v>201</v>
      </c>
      <c r="F299" s="3"/>
      <c r="G299" s="102" t="s">
        <v>390</v>
      </c>
      <c r="H299" s="41">
        <f>SUM(H300:H300)</f>
        <v>196.3</v>
      </c>
      <c r="I299" s="41">
        <f>SUM(I300:I300)</f>
        <v>190.3</v>
      </c>
      <c r="J299" s="99">
        <f t="shared" si="15"/>
        <v>96.9</v>
      </c>
    </row>
    <row r="300" spans="1:10" ht="38.25">
      <c r="A300" s="1"/>
      <c r="B300" s="25"/>
      <c r="C300" s="16" t="s">
        <v>143</v>
      </c>
      <c r="D300" s="16" t="s">
        <v>136</v>
      </c>
      <c r="E300" s="80" t="s">
        <v>201</v>
      </c>
      <c r="F300" s="85" t="s">
        <v>314</v>
      </c>
      <c r="G300" s="102" t="s">
        <v>315</v>
      </c>
      <c r="H300" s="41">
        <f>100+96.3</f>
        <v>196.3</v>
      </c>
      <c r="I300" s="41">
        <v>190.3</v>
      </c>
      <c r="J300" s="99">
        <f t="shared" si="15"/>
        <v>96.9</v>
      </c>
    </row>
    <row r="301" spans="1:10" ht="38.25">
      <c r="A301" s="1"/>
      <c r="B301" s="25"/>
      <c r="C301" s="16" t="s">
        <v>143</v>
      </c>
      <c r="D301" s="16" t="s">
        <v>136</v>
      </c>
      <c r="E301" s="21" t="s">
        <v>456</v>
      </c>
      <c r="F301" s="21"/>
      <c r="G301" s="104" t="s">
        <v>392</v>
      </c>
      <c r="H301" s="98">
        <f>H302</f>
        <v>1905.6000000000001</v>
      </c>
      <c r="I301" s="98">
        <f>I302</f>
        <v>1901.2</v>
      </c>
      <c r="J301" s="99">
        <f t="shared" si="15"/>
        <v>99.8</v>
      </c>
    </row>
    <row r="302" spans="1:10" ht="25.5">
      <c r="A302" s="1"/>
      <c r="B302" s="25"/>
      <c r="C302" s="16" t="s">
        <v>143</v>
      </c>
      <c r="D302" s="16" t="s">
        <v>136</v>
      </c>
      <c r="E302" s="80" t="s">
        <v>202</v>
      </c>
      <c r="F302" s="3"/>
      <c r="G302" s="102" t="s">
        <v>593</v>
      </c>
      <c r="H302" s="41">
        <f>H303</f>
        <v>1905.6000000000001</v>
      </c>
      <c r="I302" s="41">
        <f>I303</f>
        <v>1901.2</v>
      </c>
      <c r="J302" s="99">
        <f t="shared" si="15"/>
        <v>99.8</v>
      </c>
    </row>
    <row r="303" spans="1:10" ht="38.25">
      <c r="A303" s="1"/>
      <c r="B303" s="25"/>
      <c r="C303" s="16" t="s">
        <v>143</v>
      </c>
      <c r="D303" s="16" t="s">
        <v>136</v>
      </c>
      <c r="E303" s="80" t="s">
        <v>202</v>
      </c>
      <c r="F303" s="85" t="s">
        <v>314</v>
      </c>
      <c r="G303" s="102" t="s">
        <v>315</v>
      </c>
      <c r="H303" s="41">
        <f>1259.8+500-170+1150-222-612.2</f>
        <v>1905.6000000000001</v>
      </c>
      <c r="I303" s="41">
        <v>1901.2</v>
      </c>
      <c r="J303" s="99">
        <f t="shared" si="15"/>
        <v>99.8</v>
      </c>
    </row>
    <row r="304" spans="1:10" ht="38.25">
      <c r="A304" s="1"/>
      <c r="B304" s="25"/>
      <c r="C304" s="47" t="s">
        <v>143</v>
      </c>
      <c r="D304" s="47" t="s">
        <v>136</v>
      </c>
      <c r="E304" s="52" t="s">
        <v>207</v>
      </c>
      <c r="F304" s="16"/>
      <c r="G304" s="48" t="s">
        <v>203</v>
      </c>
      <c r="H304" s="98">
        <f>H305+H312</f>
        <v>2801.3999999999996</v>
      </c>
      <c r="I304" s="98">
        <f>I305+I312</f>
        <v>2310.9</v>
      </c>
      <c r="J304" s="58">
        <f t="shared" si="15"/>
        <v>82.5</v>
      </c>
    </row>
    <row r="305" spans="1:10" ht="25.5">
      <c r="A305" s="1"/>
      <c r="B305" s="25"/>
      <c r="C305" s="16" t="s">
        <v>143</v>
      </c>
      <c r="D305" s="16" t="s">
        <v>136</v>
      </c>
      <c r="E305" s="21" t="s">
        <v>393</v>
      </c>
      <c r="F305" s="85"/>
      <c r="G305" s="104" t="s">
        <v>394</v>
      </c>
      <c r="H305" s="98">
        <f>H306+H308+H310</f>
        <v>668.2</v>
      </c>
      <c r="I305" s="98">
        <f>I306+I308+I310</f>
        <v>657.2</v>
      </c>
      <c r="J305" s="99">
        <f t="shared" si="15"/>
        <v>98.4</v>
      </c>
    </row>
    <row r="306" spans="1:10" ht="127.5">
      <c r="A306" s="1"/>
      <c r="B306" s="25"/>
      <c r="C306" s="16" t="s">
        <v>143</v>
      </c>
      <c r="D306" s="16" t="s">
        <v>136</v>
      </c>
      <c r="E306" s="80" t="s">
        <v>586</v>
      </c>
      <c r="F306" s="3"/>
      <c r="G306" s="102" t="s">
        <v>395</v>
      </c>
      <c r="H306" s="41">
        <f>H307</f>
        <v>248.2</v>
      </c>
      <c r="I306" s="41">
        <f>I307</f>
        <v>248.2</v>
      </c>
      <c r="J306" s="99">
        <f t="shared" si="15"/>
        <v>100</v>
      </c>
    </row>
    <row r="307" spans="1:10" ht="38.25">
      <c r="A307" s="1"/>
      <c r="B307" s="25"/>
      <c r="C307" s="16" t="s">
        <v>143</v>
      </c>
      <c r="D307" s="16" t="s">
        <v>136</v>
      </c>
      <c r="E307" s="80" t="s">
        <v>586</v>
      </c>
      <c r="F307" s="85" t="s">
        <v>314</v>
      </c>
      <c r="G307" s="102" t="s">
        <v>315</v>
      </c>
      <c r="H307" s="41">
        <f>100+222+78.7-152.5</f>
        <v>248.2</v>
      </c>
      <c r="I307" s="41">
        <f>100+222+78.7-152.5</f>
        <v>248.2</v>
      </c>
      <c r="J307" s="99">
        <f t="shared" si="15"/>
        <v>100</v>
      </c>
    </row>
    <row r="308" spans="1:10" ht="51">
      <c r="A308" s="1"/>
      <c r="B308" s="25"/>
      <c r="C308" s="16" t="s">
        <v>143</v>
      </c>
      <c r="D308" s="16" t="s">
        <v>136</v>
      </c>
      <c r="E308" s="80" t="s">
        <v>204</v>
      </c>
      <c r="F308" s="16"/>
      <c r="G308" s="102" t="s">
        <v>457</v>
      </c>
      <c r="H308" s="41">
        <f>H309</f>
        <v>20</v>
      </c>
      <c r="I308" s="41">
        <f>I309</f>
        <v>9</v>
      </c>
      <c r="J308" s="99">
        <f t="shared" si="15"/>
        <v>45</v>
      </c>
    </row>
    <row r="309" spans="1:10" ht="38.25">
      <c r="A309" s="1"/>
      <c r="B309" s="25"/>
      <c r="C309" s="16" t="s">
        <v>143</v>
      </c>
      <c r="D309" s="16" t="s">
        <v>136</v>
      </c>
      <c r="E309" s="80" t="s">
        <v>204</v>
      </c>
      <c r="F309" s="85" t="s">
        <v>314</v>
      </c>
      <c r="G309" s="102" t="s">
        <v>315</v>
      </c>
      <c r="H309" s="41">
        <v>20</v>
      </c>
      <c r="I309" s="41">
        <v>9</v>
      </c>
      <c r="J309" s="99">
        <f t="shared" si="15"/>
        <v>45</v>
      </c>
    </row>
    <row r="310" spans="1:10" ht="25.5">
      <c r="A310" s="153"/>
      <c r="B310" s="25"/>
      <c r="C310" s="16" t="s">
        <v>143</v>
      </c>
      <c r="D310" s="16" t="s">
        <v>136</v>
      </c>
      <c r="E310" s="80" t="s">
        <v>641</v>
      </c>
      <c r="F310" s="16"/>
      <c r="G310" s="102" t="s">
        <v>629</v>
      </c>
      <c r="H310" s="41">
        <f>H311</f>
        <v>400</v>
      </c>
      <c r="I310" s="41">
        <f>I311</f>
        <v>400</v>
      </c>
      <c r="J310" s="99">
        <f t="shared" si="15"/>
        <v>100</v>
      </c>
    </row>
    <row r="311" spans="1:10" ht="38.25">
      <c r="A311" s="153"/>
      <c r="B311" s="25"/>
      <c r="C311" s="16" t="s">
        <v>143</v>
      </c>
      <c r="D311" s="16" t="s">
        <v>136</v>
      </c>
      <c r="E311" s="80" t="s">
        <v>641</v>
      </c>
      <c r="F311" s="85" t="s">
        <v>314</v>
      </c>
      <c r="G311" s="102" t="s">
        <v>315</v>
      </c>
      <c r="H311" s="41">
        <f>100+540-240</f>
        <v>400</v>
      </c>
      <c r="I311" s="41">
        <f>100+540-240</f>
        <v>400</v>
      </c>
      <c r="J311" s="99">
        <f t="shared" si="15"/>
        <v>100</v>
      </c>
    </row>
    <row r="312" spans="1:10" ht="25.5">
      <c r="A312" s="1"/>
      <c r="B312" s="25"/>
      <c r="C312" s="16" t="s">
        <v>143</v>
      </c>
      <c r="D312" s="16" t="s">
        <v>136</v>
      </c>
      <c r="E312" s="21" t="s">
        <v>396</v>
      </c>
      <c r="F312" s="85"/>
      <c r="G312" s="104" t="s">
        <v>397</v>
      </c>
      <c r="H312" s="41">
        <f>H313+H315</f>
        <v>2133.1999999999998</v>
      </c>
      <c r="I312" s="41">
        <f>I313+I315</f>
        <v>1653.7</v>
      </c>
      <c r="J312" s="99">
        <f t="shared" si="15"/>
        <v>77.5</v>
      </c>
    </row>
    <row r="313" spans="1:10" ht="37.5" customHeight="1">
      <c r="A313" s="1"/>
      <c r="B313" s="25"/>
      <c r="C313" s="16" t="s">
        <v>143</v>
      </c>
      <c r="D313" s="16" t="s">
        <v>136</v>
      </c>
      <c r="E313" s="21" t="s">
        <v>526</v>
      </c>
      <c r="F313" s="85"/>
      <c r="G313" s="104" t="s">
        <v>399</v>
      </c>
      <c r="H313" s="41">
        <f>H314</f>
        <v>479.5</v>
      </c>
      <c r="I313" s="41">
        <f>I314</f>
        <v>0</v>
      </c>
      <c r="J313" s="99">
        <f t="shared" si="15"/>
        <v>0</v>
      </c>
    </row>
    <row r="314" spans="1:10">
      <c r="A314" s="1"/>
      <c r="B314" s="25"/>
      <c r="C314" s="16" t="s">
        <v>143</v>
      </c>
      <c r="D314" s="16" t="s">
        <v>136</v>
      </c>
      <c r="E314" s="21" t="s">
        <v>526</v>
      </c>
      <c r="F314" s="84" t="s">
        <v>180</v>
      </c>
      <c r="G314" s="217" t="s">
        <v>181</v>
      </c>
      <c r="H314" s="112">
        <f>600-120.5</f>
        <v>479.5</v>
      </c>
      <c r="I314" s="41">
        <v>0</v>
      </c>
      <c r="J314" s="99">
        <f t="shared" si="15"/>
        <v>0</v>
      </c>
    </row>
    <row r="315" spans="1:10" ht="63.75">
      <c r="A315" s="1"/>
      <c r="B315" s="25"/>
      <c r="C315" s="16" t="s">
        <v>143</v>
      </c>
      <c r="D315" s="16" t="s">
        <v>136</v>
      </c>
      <c r="E315" s="21" t="s">
        <v>398</v>
      </c>
      <c r="F315" s="85"/>
      <c r="G315" s="104" t="s">
        <v>486</v>
      </c>
      <c r="H315" s="41">
        <f>H316</f>
        <v>1653.7</v>
      </c>
      <c r="I315" s="41">
        <f>I316</f>
        <v>1653.7</v>
      </c>
      <c r="J315" s="99">
        <f t="shared" si="15"/>
        <v>100</v>
      </c>
    </row>
    <row r="316" spans="1:10">
      <c r="A316" s="1"/>
      <c r="B316" s="25"/>
      <c r="C316" s="16" t="s">
        <v>143</v>
      </c>
      <c r="D316" s="16" t="s">
        <v>136</v>
      </c>
      <c r="E316" s="21" t="s">
        <v>398</v>
      </c>
      <c r="F316" s="114" t="s">
        <v>372</v>
      </c>
      <c r="G316" s="111" t="s">
        <v>401</v>
      </c>
      <c r="H316" s="112">
        <f>1803.7-78.7-71.3</f>
        <v>1653.7</v>
      </c>
      <c r="I316" s="112">
        <f>1803.7-78.7-71.3</f>
        <v>1653.7</v>
      </c>
      <c r="J316" s="99">
        <f t="shared" si="15"/>
        <v>100</v>
      </c>
    </row>
    <row r="317" spans="1:10" ht="52.5" customHeight="1">
      <c r="A317" s="1"/>
      <c r="B317" s="25"/>
      <c r="C317" s="16" t="s">
        <v>143</v>
      </c>
      <c r="D317" s="16" t="s">
        <v>136</v>
      </c>
      <c r="E317" s="52" t="s">
        <v>208</v>
      </c>
      <c r="F317" s="16"/>
      <c r="G317" s="48" t="s">
        <v>205</v>
      </c>
      <c r="H317" s="98">
        <f>H318+H321</f>
        <v>16918.5</v>
      </c>
      <c r="I317" s="98">
        <f>I318+I321</f>
        <v>16908.5</v>
      </c>
      <c r="J317" s="58">
        <f t="shared" si="15"/>
        <v>99.9</v>
      </c>
    </row>
    <row r="318" spans="1:10" ht="76.5">
      <c r="A318" s="1"/>
      <c r="B318" s="25"/>
      <c r="C318" s="16" t="s">
        <v>143</v>
      </c>
      <c r="D318" s="16" t="s">
        <v>136</v>
      </c>
      <c r="E318" s="21" t="s">
        <v>402</v>
      </c>
      <c r="F318" s="85"/>
      <c r="G318" s="104" t="s">
        <v>403</v>
      </c>
      <c r="H318" s="103">
        <f>H319</f>
        <v>1487.8000000000002</v>
      </c>
      <c r="I318" s="103">
        <f>I319</f>
        <v>1477.8</v>
      </c>
      <c r="J318" s="99">
        <f t="shared" si="15"/>
        <v>99.3</v>
      </c>
    </row>
    <row r="319" spans="1:10" ht="63.75">
      <c r="A319" s="1"/>
      <c r="B319" s="25"/>
      <c r="C319" s="85" t="s">
        <v>143</v>
      </c>
      <c r="D319" s="85" t="s">
        <v>136</v>
      </c>
      <c r="E319" s="80" t="s">
        <v>210</v>
      </c>
      <c r="F319" s="16"/>
      <c r="G319" s="102" t="s">
        <v>209</v>
      </c>
      <c r="H319" s="41">
        <f>H320</f>
        <v>1487.8000000000002</v>
      </c>
      <c r="I319" s="41">
        <f>I320</f>
        <v>1477.8</v>
      </c>
      <c r="J319" s="99">
        <f t="shared" si="15"/>
        <v>99.3</v>
      </c>
    </row>
    <row r="320" spans="1:10" ht="38.25">
      <c r="A320" s="1"/>
      <c r="B320" s="25"/>
      <c r="C320" s="16" t="s">
        <v>143</v>
      </c>
      <c r="D320" s="16" t="s">
        <v>136</v>
      </c>
      <c r="E320" s="80" t="s">
        <v>210</v>
      </c>
      <c r="F320" s="85" t="s">
        <v>314</v>
      </c>
      <c r="G320" s="102" t="s">
        <v>315</v>
      </c>
      <c r="H320" s="41">
        <f>2926.9-209.1-1230</f>
        <v>1487.8000000000002</v>
      </c>
      <c r="I320" s="153">
        <v>1477.8</v>
      </c>
      <c r="J320" s="99">
        <f t="shared" ref="J320:J369" si="18">ROUND((I320/H320*100),1)</f>
        <v>99.3</v>
      </c>
    </row>
    <row r="321" spans="1:10" ht="63.75">
      <c r="A321" s="1"/>
      <c r="B321" s="25"/>
      <c r="C321" s="16" t="s">
        <v>143</v>
      </c>
      <c r="D321" s="16" t="s">
        <v>136</v>
      </c>
      <c r="E321" s="21" t="s">
        <v>404</v>
      </c>
      <c r="F321" s="16"/>
      <c r="G321" s="104" t="s">
        <v>405</v>
      </c>
      <c r="H321" s="41">
        <f>H322+H324</f>
        <v>15430.7</v>
      </c>
      <c r="I321" s="41">
        <f>I322+I324</f>
        <v>15430.7</v>
      </c>
      <c r="J321" s="99">
        <f t="shared" si="18"/>
        <v>100</v>
      </c>
    </row>
    <row r="322" spans="1:10" ht="63.75">
      <c r="A322" s="1"/>
      <c r="B322" s="25"/>
      <c r="C322" s="16" t="s">
        <v>143</v>
      </c>
      <c r="D322" s="16" t="s">
        <v>136</v>
      </c>
      <c r="E322" s="80" t="s">
        <v>211</v>
      </c>
      <c r="F322" s="16"/>
      <c r="G322" s="102" t="s">
        <v>465</v>
      </c>
      <c r="H322" s="41">
        <f>H323</f>
        <v>2279.1</v>
      </c>
      <c r="I322" s="41">
        <f>I323</f>
        <v>2279.1</v>
      </c>
      <c r="J322" s="99">
        <f t="shared" si="18"/>
        <v>100</v>
      </c>
    </row>
    <row r="323" spans="1:10" ht="38.25">
      <c r="A323" s="1"/>
      <c r="B323" s="25"/>
      <c r="C323" s="16" t="s">
        <v>143</v>
      </c>
      <c r="D323" s="16" t="s">
        <v>136</v>
      </c>
      <c r="E323" s="80" t="s">
        <v>211</v>
      </c>
      <c r="F323" s="85" t="s">
        <v>314</v>
      </c>
      <c r="G323" s="102" t="s">
        <v>315</v>
      </c>
      <c r="H323" s="41">
        <f>2800-520.9</f>
        <v>2279.1</v>
      </c>
      <c r="I323" s="41">
        <f>2800-520.9</f>
        <v>2279.1</v>
      </c>
      <c r="J323" s="99">
        <f t="shared" si="18"/>
        <v>100</v>
      </c>
    </row>
    <row r="324" spans="1:10" ht="63.75">
      <c r="A324" s="1"/>
      <c r="B324" s="25"/>
      <c r="C324" s="16" t="s">
        <v>143</v>
      </c>
      <c r="D324" s="16" t="s">
        <v>136</v>
      </c>
      <c r="E324" s="80" t="s">
        <v>618</v>
      </c>
      <c r="F324" s="16"/>
      <c r="G324" s="54" t="s">
        <v>700</v>
      </c>
      <c r="H324" s="41">
        <f>H325</f>
        <v>13151.6</v>
      </c>
      <c r="I324" s="41">
        <f t="shared" ref="I324" si="19">SUM(I325:I327)</f>
        <v>13151.6</v>
      </c>
      <c r="J324" s="99">
        <f t="shared" si="18"/>
        <v>100</v>
      </c>
    </row>
    <row r="325" spans="1:10" ht="38.25">
      <c r="A325" s="1"/>
      <c r="B325" s="25"/>
      <c r="C325" s="16" t="s">
        <v>143</v>
      </c>
      <c r="D325" s="16" t="s">
        <v>136</v>
      </c>
      <c r="E325" s="80" t="s">
        <v>618</v>
      </c>
      <c r="F325" s="85" t="s">
        <v>314</v>
      </c>
      <c r="G325" s="102" t="s">
        <v>315</v>
      </c>
      <c r="H325" s="41">
        <f>8233.5+4918.1</f>
        <v>13151.6</v>
      </c>
      <c r="I325" s="41">
        <f>8233.5+4918.1</f>
        <v>13151.6</v>
      </c>
      <c r="J325" s="99">
        <f t="shared" si="18"/>
        <v>100</v>
      </c>
    </row>
    <row r="326" spans="1:10" ht="25.5">
      <c r="A326" s="1"/>
      <c r="B326" s="25"/>
      <c r="C326" s="5" t="s">
        <v>143</v>
      </c>
      <c r="D326" s="5" t="s">
        <v>136</v>
      </c>
      <c r="E326" s="87">
        <v>9900000000</v>
      </c>
      <c r="F326" s="73"/>
      <c r="G326" s="149" t="s">
        <v>195</v>
      </c>
      <c r="H326" s="100">
        <f>H327</f>
        <v>50</v>
      </c>
      <c r="I326" s="100">
        <f>I327</f>
        <v>0</v>
      </c>
      <c r="J326" s="62">
        <f t="shared" si="18"/>
        <v>0</v>
      </c>
    </row>
    <row r="327" spans="1:10" ht="26.25" customHeight="1">
      <c r="A327" s="1"/>
      <c r="B327" s="25"/>
      <c r="C327" s="16" t="s">
        <v>143</v>
      </c>
      <c r="D327" s="16" t="s">
        <v>136</v>
      </c>
      <c r="E327" s="85" t="s">
        <v>31</v>
      </c>
      <c r="F327" s="85"/>
      <c r="G327" s="104" t="s">
        <v>53</v>
      </c>
      <c r="H327" s="103">
        <f>H328</f>
        <v>50</v>
      </c>
      <c r="I327" s="103">
        <f>I328</f>
        <v>0</v>
      </c>
      <c r="J327" s="99">
        <f t="shared" si="18"/>
        <v>0</v>
      </c>
    </row>
    <row r="328" spans="1:10" ht="36.75" customHeight="1">
      <c r="A328" s="153"/>
      <c r="B328" s="25"/>
      <c r="C328" s="16" t="s">
        <v>143</v>
      </c>
      <c r="D328" s="16" t="s">
        <v>136</v>
      </c>
      <c r="E328" s="85" t="s">
        <v>589</v>
      </c>
      <c r="F328" s="16"/>
      <c r="G328" s="54" t="s">
        <v>590</v>
      </c>
      <c r="H328" s="41">
        <f>SUM(H329:H329)</f>
        <v>50</v>
      </c>
      <c r="I328" s="41">
        <f>SUM(I329:I329)</f>
        <v>0</v>
      </c>
      <c r="J328" s="99">
        <f t="shared" si="18"/>
        <v>0</v>
      </c>
    </row>
    <row r="329" spans="1:10" ht="38.25">
      <c r="A329" s="153"/>
      <c r="B329" s="25"/>
      <c r="C329" s="16" t="s">
        <v>143</v>
      </c>
      <c r="D329" s="16" t="s">
        <v>136</v>
      </c>
      <c r="E329" s="85" t="s">
        <v>589</v>
      </c>
      <c r="F329" s="85" t="s">
        <v>314</v>
      </c>
      <c r="G329" s="102" t="s">
        <v>315</v>
      </c>
      <c r="H329" s="41">
        <v>50</v>
      </c>
      <c r="I329" s="41">
        <v>0</v>
      </c>
      <c r="J329" s="99">
        <f t="shared" si="18"/>
        <v>0</v>
      </c>
    </row>
    <row r="330" spans="1:10" ht="14.25">
      <c r="A330" s="1"/>
      <c r="B330" s="25"/>
      <c r="C330" s="30" t="s">
        <v>143</v>
      </c>
      <c r="D330" s="30" t="s">
        <v>137</v>
      </c>
      <c r="E330" s="30"/>
      <c r="F330" s="30"/>
      <c r="G330" s="27" t="s">
        <v>56</v>
      </c>
      <c r="H330" s="40">
        <f>H331+H336+H367</f>
        <v>45589.999999999993</v>
      </c>
      <c r="I330" s="40">
        <f>I331+I336+I367</f>
        <v>37857.800000000003</v>
      </c>
      <c r="J330" s="58">
        <f t="shared" si="18"/>
        <v>83</v>
      </c>
    </row>
    <row r="331" spans="1:10" ht="63.75">
      <c r="A331" s="1"/>
      <c r="B331" s="25"/>
      <c r="C331" s="5" t="s">
        <v>143</v>
      </c>
      <c r="D331" s="5" t="s">
        <v>137</v>
      </c>
      <c r="E331" s="76">
        <v>400000000</v>
      </c>
      <c r="F331" s="16"/>
      <c r="G331" s="64" t="s">
        <v>520</v>
      </c>
      <c r="H331" s="100">
        <f>H332</f>
        <v>4082.2</v>
      </c>
      <c r="I331" s="100">
        <f>I332</f>
        <v>4081.9</v>
      </c>
      <c r="J331" s="62">
        <f t="shared" si="18"/>
        <v>100</v>
      </c>
    </row>
    <row r="332" spans="1:10" ht="127.5">
      <c r="A332" s="1"/>
      <c r="B332" s="25"/>
      <c r="C332" s="16" t="s">
        <v>143</v>
      </c>
      <c r="D332" s="16" t="s">
        <v>137</v>
      </c>
      <c r="E332" s="75">
        <v>430000000</v>
      </c>
      <c r="F332" s="16"/>
      <c r="G332" s="46" t="s">
        <v>459</v>
      </c>
      <c r="H332" s="98">
        <f>H334</f>
        <v>4082.2</v>
      </c>
      <c r="I332" s="98">
        <f>I334</f>
        <v>4081.9</v>
      </c>
      <c r="J332" s="58">
        <f t="shared" si="18"/>
        <v>100</v>
      </c>
    </row>
    <row r="333" spans="1:10" ht="38.25">
      <c r="A333" s="1"/>
      <c r="B333" s="25"/>
      <c r="C333" s="16" t="s">
        <v>143</v>
      </c>
      <c r="D333" s="16" t="s">
        <v>137</v>
      </c>
      <c r="E333" s="74">
        <v>430200000</v>
      </c>
      <c r="F333" s="16"/>
      <c r="G333" s="101" t="s">
        <v>447</v>
      </c>
      <c r="H333" s="41">
        <f>H334</f>
        <v>4082.2</v>
      </c>
      <c r="I333" s="41">
        <f>I334</f>
        <v>4081.9</v>
      </c>
      <c r="J333" s="99">
        <f t="shared" si="18"/>
        <v>100</v>
      </c>
    </row>
    <row r="334" spans="1:10" ht="66.75" customHeight="1">
      <c r="A334" s="1"/>
      <c r="B334" s="25"/>
      <c r="C334" s="16" t="s">
        <v>143</v>
      </c>
      <c r="D334" s="16" t="s">
        <v>137</v>
      </c>
      <c r="E334" s="74" t="s">
        <v>237</v>
      </c>
      <c r="F334" s="16"/>
      <c r="G334" s="102" t="s">
        <v>242</v>
      </c>
      <c r="H334" s="41">
        <f>H335</f>
        <v>4082.2</v>
      </c>
      <c r="I334" s="41">
        <f>I335</f>
        <v>4081.9</v>
      </c>
      <c r="J334" s="99">
        <f t="shared" si="18"/>
        <v>100</v>
      </c>
    </row>
    <row r="335" spans="1:10" ht="63.75">
      <c r="A335" s="1"/>
      <c r="B335" s="25"/>
      <c r="C335" s="16" t="s">
        <v>143</v>
      </c>
      <c r="D335" s="16" t="s">
        <v>137</v>
      </c>
      <c r="E335" s="74" t="s">
        <v>237</v>
      </c>
      <c r="F335" s="16" t="s">
        <v>15</v>
      </c>
      <c r="G335" s="102" t="s">
        <v>696</v>
      </c>
      <c r="H335" s="41">
        <f>2800+1100+182.2</f>
        <v>4082.2</v>
      </c>
      <c r="I335" s="39">
        <v>4081.9</v>
      </c>
      <c r="J335" s="99">
        <f t="shared" si="18"/>
        <v>100</v>
      </c>
    </row>
    <row r="336" spans="1:10" ht="64.5" customHeight="1">
      <c r="A336" s="1"/>
      <c r="B336" s="25"/>
      <c r="C336" s="5" t="s">
        <v>143</v>
      </c>
      <c r="D336" s="5" t="s">
        <v>137</v>
      </c>
      <c r="E336" s="83" t="s">
        <v>42</v>
      </c>
      <c r="F336" s="16"/>
      <c r="G336" s="53" t="s">
        <v>534</v>
      </c>
      <c r="H336" s="100">
        <f>H337+H346+H361</f>
        <v>41441.899999999994</v>
      </c>
      <c r="I336" s="100">
        <f>I337+I346+I361</f>
        <v>33710</v>
      </c>
      <c r="J336" s="62">
        <f t="shared" si="18"/>
        <v>81.3</v>
      </c>
    </row>
    <row r="337" spans="1:10" ht="38.25">
      <c r="A337" s="1"/>
      <c r="B337" s="25"/>
      <c r="C337" s="16" t="s">
        <v>143</v>
      </c>
      <c r="D337" s="16" t="s">
        <v>137</v>
      </c>
      <c r="E337" s="52" t="s">
        <v>43</v>
      </c>
      <c r="F337" s="16"/>
      <c r="G337" s="48" t="s">
        <v>267</v>
      </c>
      <c r="H337" s="98">
        <f>H338+H341</f>
        <v>492</v>
      </c>
      <c r="I337" s="98">
        <f>I338+I341</f>
        <v>456.5</v>
      </c>
      <c r="J337" s="58">
        <f t="shared" si="18"/>
        <v>92.8</v>
      </c>
    </row>
    <row r="338" spans="1:10" ht="39">
      <c r="A338" s="1"/>
      <c r="B338" s="25"/>
      <c r="C338" s="16" t="s">
        <v>143</v>
      </c>
      <c r="D338" s="16" t="s">
        <v>137</v>
      </c>
      <c r="E338" s="21" t="s">
        <v>350</v>
      </c>
      <c r="F338" s="3"/>
      <c r="G338" s="104" t="s">
        <v>349</v>
      </c>
      <c r="H338" s="98">
        <f>H339</f>
        <v>400</v>
      </c>
      <c r="I338" s="98">
        <f>I339</f>
        <v>391.3</v>
      </c>
      <c r="J338" s="99">
        <f t="shared" si="18"/>
        <v>97.8</v>
      </c>
    </row>
    <row r="339" spans="1:10" ht="25.5">
      <c r="A339" s="1"/>
      <c r="B339" s="25"/>
      <c r="C339" s="16" t="s">
        <v>143</v>
      </c>
      <c r="D339" s="16" t="s">
        <v>137</v>
      </c>
      <c r="E339" s="21" t="s">
        <v>295</v>
      </c>
      <c r="F339" s="16"/>
      <c r="G339" s="102" t="s">
        <v>268</v>
      </c>
      <c r="H339" s="41">
        <f>H340</f>
        <v>400</v>
      </c>
      <c r="I339" s="41">
        <f>I340</f>
        <v>391.3</v>
      </c>
      <c r="J339" s="99">
        <f t="shared" si="18"/>
        <v>97.8</v>
      </c>
    </row>
    <row r="340" spans="1:10" ht="38.25">
      <c r="A340" s="1"/>
      <c r="B340" s="25"/>
      <c r="C340" s="16" t="s">
        <v>143</v>
      </c>
      <c r="D340" s="16" t="s">
        <v>137</v>
      </c>
      <c r="E340" s="21" t="s">
        <v>295</v>
      </c>
      <c r="F340" s="85" t="s">
        <v>314</v>
      </c>
      <c r="G340" s="102" t="s">
        <v>315</v>
      </c>
      <c r="H340" s="41">
        <v>400</v>
      </c>
      <c r="I340" s="39">
        <v>391.3</v>
      </c>
      <c r="J340" s="99">
        <f t="shared" si="18"/>
        <v>97.8</v>
      </c>
    </row>
    <row r="341" spans="1:10" ht="38.25">
      <c r="A341" s="1"/>
      <c r="B341" s="25"/>
      <c r="C341" s="16" t="s">
        <v>143</v>
      </c>
      <c r="D341" s="16" t="s">
        <v>137</v>
      </c>
      <c r="E341" s="21" t="s">
        <v>577</v>
      </c>
      <c r="F341" s="85"/>
      <c r="G341" s="104" t="s">
        <v>576</v>
      </c>
      <c r="H341" s="41">
        <f>H342+H344</f>
        <v>92</v>
      </c>
      <c r="I341" s="41">
        <f>I342+I344</f>
        <v>65.2</v>
      </c>
      <c r="J341" s="58">
        <f t="shared" si="18"/>
        <v>70.900000000000006</v>
      </c>
    </row>
    <row r="342" spans="1:10" ht="25.5">
      <c r="A342" s="1"/>
      <c r="B342" s="25"/>
      <c r="C342" s="16" t="s">
        <v>143</v>
      </c>
      <c r="D342" s="16" t="s">
        <v>137</v>
      </c>
      <c r="E342" s="21" t="s">
        <v>574</v>
      </c>
      <c r="F342" s="16"/>
      <c r="G342" s="102" t="s">
        <v>575</v>
      </c>
      <c r="H342" s="41">
        <f>H343</f>
        <v>40</v>
      </c>
      <c r="I342" s="41">
        <f>I343</f>
        <v>13.2</v>
      </c>
      <c r="J342" s="99">
        <f t="shared" si="18"/>
        <v>33</v>
      </c>
    </row>
    <row r="343" spans="1:10" ht="38.25">
      <c r="A343" s="1"/>
      <c r="B343" s="25"/>
      <c r="C343" s="16" t="s">
        <v>143</v>
      </c>
      <c r="D343" s="16" t="s">
        <v>137</v>
      </c>
      <c r="E343" s="21" t="s">
        <v>574</v>
      </c>
      <c r="F343" s="85" t="s">
        <v>314</v>
      </c>
      <c r="G343" s="102" t="s">
        <v>315</v>
      </c>
      <c r="H343" s="41">
        <v>40</v>
      </c>
      <c r="I343" s="41">
        <v>13.2</v>
      </c>
      <c r="J343" s="99">
        <f t="shared" si="18"/>
        <v>33</v>
      </c>
    </row>
    <row r="344" spans="1:10" ht="38.25">
      <c r="A344" s="153"/>
      <c r="B344" s="25"/>
      <c r="C344" s="16" t="s">
        <v>143</v>
      </c>
      <c r="D344" s="16" t="s">
        <v>137</v>
      </c>
      <c r="E344" s="21" t="s">
        <v>648</v>
      </c>
      <c r="F344" s="85"/>
      <c r="G344" s="102" t="s">
        <v>649</v>
      </c>
      <c r="H344" s="41">
        <f>H345</f>
        <v>52</v>
      </c>
      <c r="I344" s="41">
        <f>I345</f>
        <v>52</v>
      </c>
      <c r="J344" s="99">
        <f t="shared" si="18"/>
        <v>100</v>
      </c>
    </row>
    <row r="345" spans="1:10" ht="38.25">
      <c r="A345" s="153"/>
      <c r="B345" s="25"/>
      <c r="C345" s="16" t="s">
        <v>143</v>
      </c>
      <c r="D345" s="16" t="s">
        <v>137</v>
      </c>
      <c r="E345" s="21" t="s">
        <v>648</v>
      </c>
      <c r="F345" s="85" t="s">
        <v>314</v>
      </c>
      <c r="G345" s="102" t="s">
        <v>315</v>
      </c>
      <c r="H345" s="41">
        <f>60-8</f>
        <v>52</v>
      </c>
      <c r="I345" s="41">
        <v>52</v>
      </c>
      <c r="J345" s="99">
        <f t="shared" si="18"/>
        <v>100</v>
      </c>
    </row>
    <row r="346" spans="1:10" ht="25.5">
      <c r="A346" s="1"/>
      <c r="B346" s="25"/>
      <c r="C346" s="16" t="s">
        <v>143</v>
      </c>
      <c r="D346" s="16" t="s">
        <v>137</v>
      </c>
      <c r="E346" s="52" t="s">
        <v>44</v>
      </c>
      <c r="F346" s="16"/>
      <c r="G346" s="46" t="s">
        <v>617</v>
      </c>
      <c r="H346" s="98">
        <f>H347+H350+H355+H358</f>
        <v>23884.6</v>
      </c>
      <c r="I346" s="98">
        <f>I347+I350+I355+I358</f>
        <v>16906.7</v>
      </c>
      <c r="J346" s="99">
        <f t="shared" si="18"/>
        <v>70.8</v>
      </c>
    </row>
    <row r="347" spans="1:10" ht="38.25">
      <c r="A347" s="1"/>
      <c r="B347" s="25"/>
      <c r="C347" s="16" t="s">
        <v>143</v>
      </c>
      <c r="D347" s="16" t="s">
        <v>137</v>
      </c>
      <c r="E347" s="21" t="s">
        <v>351</v>
      </c>
      <c r="F347" s="16"/>
      <c r="G347" s="104" t="s">
        <v>464</v>
      </c>
      <c r="H347" s="103">
        <f>H348</f>
        <v>7352.5999999999985</v>
      </c>
      <c r="I347" s="103">
        <f>I348</f>
        <v>3155.6</v>
      </c>
      <c r="J347" s="58">
        <f t="shared" si="18"/>
        <v>42.9</v>
      </c>
    </row>
    <row r="348" spans="1:10" ht="25.5">
      <c r="A348" s="1"/>
      <c r="B348" s="25"/>
      <c r="C348" s="16" t="s">
        <v>143</v>
      </c>
      <c r="D348" s="16" t="s">
        <v>137</v>
      </c>
      <c r="E348" s="21" t="s">
        <v>441</v>
      </c>
      <c r="F348" s="16"/>
      <c r="G348" s="102" t="s">
        <v>322</v>
      </c>
      <c r="H348" s="41">
        <f>H349</f>
        <v>7352.5999999999985</v>
      </c>
      <c r="I348" s="41">
        <f t="shared" ref="I348" si="20">I349</f>
        <v>3155.6</v>
      </c>
      <c r="J348" s="99">
        <f t="shared" si="18"/>
        <v>42.9</v>
      </c>
    </row>
    <row r="349" spans="1:10" ht="38.25">
      <c r="A349" s="1"/>
      <c r="B349" s="25"/>
      <c r="C349" s="16" t="s">
        <v>143</v>
      </c>
      <c r="D349" s="16" t="s">
        <v>137</v>
      </c>
      <c r="E349" s="21" t="s">
        <v>441</v>
      </c>
      <c r="F349" s="85" t="s">
        <v>314</v>
      </c>
      <c r="G349" s="102" t="s">
        <v>315</v>
      </c>
      <c r="H349" s="41">
        <f>265+1800-550+2663.4+3569.9-100-1560-71.3-740.1+185+2190.7-300</f>
        <v>7352.5999999999985</v>
      </c>
      <c r="I349" s="39">
        <v>3155.6</v>
      </c>
      <c r="J349" s="99">
        <f>ROUND((I349/H349*100),1)</f>
        <v>42.9</v>
      </c>
    </row>
    <row r="350" spans="1:10" ht="38.25">
      <c r="A350" s="153"/>
      <c r="B350" s="25"/>
      <c r="C350" s="16" t="s">
        <v>143</v>
      </c>
      <c r="D350" s="16" t="s">
        <v>137</v>
      </c>
      <c r="E350" s="21" t="s">
        <v>708</v>
      </c>
      <c r="F350" s="85"/>
      <c r="G350" s="104" t="s">
        <v>709</v>
      </c>
      <c r="H350" s="41">
        <f>H351+H353</f>
        <v>10737.5</v>
      </c>
      <c r="I350" s="41">
        <f>I351+I353</f>
        <v>7996.6</v>
      </c>
      <c r="J350" s="99">
        <f t="shared" ref="J350:J355" si="21">ROUND((I350/H350*100),1)</f>
        <v>74.5</v>
      </c>
    </row>
    <row r="351" spans="1:10" ht="38.25">
      <c r="A351" s="153"/>
      <c r="B351" s="25"/>
      <c r="C351" s="16" t="s">
        <v>143</v>
      </c>
      <c r="D351" s="16" t="s">
        <v>137</v>
      </c>
      <c r="E351" s="21" t="s">
        <v>710</v>
      </c>
      <c r="F351" s="16"/>
      <c r="G351" s="102" t="s">
        <v>711</v>
      </c>
      <c r="H351" s="41">
        <f>H352</f>
        <v>1614.6</v>
      </c>
      <c r="I351" s="41">
        <f>I352</f>
        <v>1614.6</v>
      </c>
      <c r="J351" s="99">
        <f t="shared" si="21"/>
        <v>100</v>
      </c>
    </row>
    <row r="352" spans="1:10" ht="38.25">
      <c r="A352" s="153"/>
      <c r="B352" s="25"/>
      <c r="C352" s="16" t="s">
        <v>143</v>
      </c>
      <c r="D352" s="16" t="s">
        <v>137</v>
      </c>
      <c r="E352" s="21" t="s">
        <v>710</v>
      </c>
      <c r="F352" s="85" t="s">
        <v>314</v>
      </c>
      <c r="G352" s="102" t="s">
        <v>315</v>
      </c>
      <c r="H352" s="41">
        <f>4926.7-2646-666.1</f>
        <v>1614.6</v>
      </c>
      <c r="I352" s="41">
        <f>4926.7-2646-666.1</f>
        <v>1614.6</v>
      </c>
      <c r="J352" s="99">
        <f t="shared" si="21"/>
        <v>100</v>
      </c>
    </row>
    <row r="353" spans="1:10" ht="51">
      <c r="A353" s="153"/>
      <c r="B353" s="25"/>
      <c r="C353" s="16" t="s">
        <v>143</v>
      </c>
      <c r="D353" s="16" t="s">
        <v>137</v>
      </c>
      <c r="E353" s="21" t="s">
        <v>740</v>
      </c>
      <c r="F353" s="16"/>
      <c r="G353" s="102" t="s">
        <v>741</v>
      </c>
      <c r="H353" s="41">
        <f>H354</f>
        <v>9122.9</v>
      </c>
      <c r="I353" s="41">
        <f>I354</f>
        <v>6382</v>
      </c>
      <c r="J353" s="99">
        <f t="shared" si="21"/>
        <v>70</v>
      </c>
    </row>
    <row r="354" spans="1:10" ht="38.25">
      <c r="A354" s="153"/>
      <c r="B354" s="25"/>
      <c r="C354" s="16" t="s">
        <v>143</v>
      </c>
      <c r="D354" s="16" t="s">
        <v>137</v>
      </c>
      <c r="E354" s="21" t="s">
        <v>740</v>
      </c>
      <c r="F354" s="85" t="s">
        <v>314</v>
      </c>
      <c r="G354" s="102" t="s">
        <v>315</v>
      </c>
      <c r="H354" s="41">
        <v>9122.9</v>
      </c>
      <c r="I354" s="41">
        <v>6382</v>
      </c>
      <c r="J354" s="99">
        <f t="shared" si="21"/>
        <v>70</v>
      </c>
    </row>
    <row r="355" spans="1:10" ht="38.25">
      <c r="A355" s="153"/>
      <c r="B355" s="25"/>
      <c r="C355" s="16" t="s">
        <v>143</v>
      </c>
      <c r="D355" s="16" t="s">
        <v>137</v>
      </c>
      <c r="E355" s="21" t="s">
        <v>669</v>
      </c>
      <c r="F355" s="85"/>
      <c r="G355" s="102" t="s">
        <v>670</v>
      </c>
      <c r="H355" s="41">
        <f>H356</f>
        <v>210</v>
      </c>
      <c r="I355" s="41">
        <f>I356</f>
        <v>170</v>
      </c>
      <c r="J355" s="99">
        <f t="shared" si="21"/>
        <v>81</v>
      </c>
    </row>
    <row r="356" spans="1:10" ht="51.75" customHeight="1">
      <c r="A356" s="153"/>
      <c r="B356" s="25"/>
      <c r="C356" s="16" t="s">
        <v>143</v>
      </c>
      <c r="D356" s="16" t="s">
        <v>137</v>
      </c>
      <c r="E356" s="21" t="s">
        <v>667</v>
      </c>
      <c r="F356" s="85"/>
      <c r="G356" s="102" t="s">
        <v>668</v>
      </c>
      <c r="H356" s="41">
        <f>H357</f>
        <v>210</v>
      </c>
      <c r="I356" s="41">
        <f>I357</f>
        <v>170</v>
      </c>
      <c r="J356" s="99">
        <f t="shared" si="18"/>
        <v>81</v>
      </c>
    </row>
    <row r="357" spans="1:10" ht="38.25">
      <c r="A357" s="153"/>
      <c r="B357" s="25"/>
      <c r="C357" s="16" t="s">
        <v>143</v>
      </c>
      <c r="D357" s="16" t="s">
        <v>137</v>
      </c>
      <c r="E357" s="21" t="s">
        <v>667</v>
      </c>
      <c r="F357" s="85" t="s">
        <v>314</v>
      </c>
      <c r="G357" s="102" t="s">
        <v>315</v>
      </c>
      <c r="H357" s="41">
        <f>210+300+773.2-1073.2</f>
        <v>210</v>
      </c>
      <c r="I357" s="41">
        <v>170</v>
      </c>
      <c r="J357" s="99">
        <f t="shared" si="18"/>
        <v>81</v>
      </c>
    </row>
    <row r="358" spans="1:10" ht="25.5">
      <c r="A358" s="153"/>
      <c r="B358" s="25"/>
      <c r="C358" s="16" t="s">
        <v>143</v>
      </c>
      <c r="D358" s="16" t="s">
        <v>137</v>
      </c>
      <c r="E358" s="21" t="s">
        <v>723</v>
      </c>
      <c r="F358" s="85"/>
      <c r="G358" s="102" t="s">
        <v>724</v>
      </c>
      <c r="H358" s="41">
        <f>H359</f>
        <v>5584.5</v>
      </c>
      <c r="I358" s="41">
        <f>I359</f>
        <v>5584.5</v>
      </c>
      <c r="J358" s="99">
        <f t="shared" si="18"/>
        <v>100</v>
      </c>
    </row>
    <row r="359" spans="1:10" ht="25.5">
      <c r="A359" s="153"/>
      <c r="B359" s="25"/>
      <c r="C359" s="16" t="s">
        <v>143</v>
      </c>
      <c r="D359" s="16" t="s">
        <v>137</v>
      </c>
      <c r="E359" s="162" t="s">
        <v>721</v>
      </c>
      <c r="F359" s="85"/>
      <c r="G359" s="161" t="s">
        <v>722</v>
      </c>
      <c r="H359" s="41">
        <f>H360</f>
        <v>5584.5</v>
      </c>
      <c r="I359" s="41">
        <f>I360</f>
        <v>5584.5</v>
      </c>
      <c r="J359" s="99">
        <f t="shared" si="18"/>
        <v>100</v>
      </c>
    </row>
    <row r="360" spans="1:10">
      <c r="A360" s="153"/>
      <c r="B360" s="25"/>
      <c r="C360" s="16" t="s">
        <v>143</v>
      </c>
      <c r="D360" s="16" t="s">
        <v>137</v>
      </c>
      <c r="E360" s="51" t="s">
        <v>721</v>
      </c>
      <c r="F360" s="114" t="s">
        <v>372</v>
      </c>
      <c r="G360" s="111" t="s">
        <v>401</v>
      </c>
      <c r="H360" s="41">
        <f>5584.6-0.1</f>
        <v>5584.5</v>
      </c>
      <c r="I360" s="41">
        <f>5584.6-0.1</f>
        <v>5584.5</v>
      </c>
      <c r="J360" s="99">
        <f t="shared" si="18"/>
        <v>100</v>
      </c>
    </row>
    <row r="361" spans="1:10" ht="51">
      <c r="A361" s="1"/>
      <c r="B361" s="25"/>
      <c r="C361" s="47" t="s">
        <v>143</v>
      </c>
      <c r="D361" s="47" t="s">
        <v>137</v>
      </c>
      <c r="E361" s="52" t="s">
        <v>269</v>
      </c>
      <c r="F361" s="16"/>
      <c r="G361" s="60" t="s">
        <v>296</v>
      </c>
      <c r="H361" s="98">
        <f>H362</f>
        <v>17065.3</v>
      </c>
      <c r="I361" s="98">
        <f>I362</f>
        <v>16346.8</v>
      </c>
      <c r="J361" s="99">
        <f t="shared" si="18"/>
        <v>95.8</v>
      </c>
    </row>
    <row r="362" spans="1:10" ht="63.75">
      <c r="A362" s="1"/>
      <c r="B362" s="25"/>
      <c r="C362" s="16" t="s">
        <v>143</v>
      </c>
      <c r="D362" s="16" t="s">
        <v>137</v>
      </c>
      <c r="E362" s="21" t="s">
        <v>353</v>
      </c>
      <c r="F362" s="16"/>
      <c r="G362" s="104" t="s">
        <v>352</v>
      </c>
      <c r="H362" s="98">
        <f>H363+H365</f>
        <v>17065.3</v>
      </c>
      <c r="I362" s="98">
        <f>I363+I365</f>
        <v>16346.8</v>
      </c>
      <c r="J362" s="99">
        <f t="shared" si="18"/>
        <v>95.8</v>
      </c>
    </row>
    <row r="363" spans="1:10" ht="51">
      <c r="A363" s="1"/>
      <c r="B363" s="25"/>
      <c r="C363" s="16" t="s">
        <v>143</v>
      </c>
      <c r="D363" s="16" t="s">
        <v>137</v>
      </c>
      <c r="E363" s="21" t="s">
        <v>272</v>
      </c>
      <c r="F363" s="85"/>
      <c r="G363" s="102" t="s">
        <v>606</v>
      </c>
      <c r="H363" s="41">
        <f>H364</f>
        <v>7586.4000000000005</v>
      </c>
      <c r="I363" s="41">
        <f>I364</f>
        <v>7512.8</v>
      </c>
      <c r="J363" s="99">
        <f t="shared" si="18"/>
        <v>99</v>
      </c>
    </row>
    <row r="364" spans="1:10" ht="38.25">
      <c r="A364" s="1"/>
      <c r="B364" s="25"/>
      <c r="C364" s="16" t="s">
        <v>143</v>
      </c>
      <c r="D364" s="16" t="s">
        <v>137</v>
      </c>
      <c r="E364" s="21" t="s">
        <v>272</v>
      </c>
      <c r="F364" s="85" t="s">
        <v>314</v>
      </c>
      <c r="G364" s="102" t="s">
        <v>315</v>
      </c>
      <c r="H364" s="41">
        <f>7778.2-53.4-12.5-125.9</f>
        <v>7586.4000000000005</v>
      </c>
      <c r="I364" s="41">
        <v>7512.8</v>
      </c>
      <c r="J364" s="99">
        <f t="shared" si="18"/>
        <v>99</v>
      </c>
    </row>
    <row r="365" spans="1:10" ht="25.5">
      <c r="A365" s="1"/>
      <c r="B365" s="25"/>
      <c r="C365" s="16" t="s">
        <v>143</v>
      </c>
      <c r="D365" s="16" t="s">
        <v>137</v>
      </c>
      <c r="E365" s="21" t="s">
        <v>605</v>
      </c>
      <c r="F365" s="16"/>
      <c r="G365" s="102" t="s">
        <v>273</v>
      </c>
      <c r="H365" s="41">
        <f>H366</f>
        <v>9478.9</v>
      </c>
      <c r="I365" s="41">
        <f>I366</f>
        <v>8834</v>
      </c>
      <c r="J365" s="99">
        <f t="shared" si="18"/>
        <v>93.2</v>
      </c>
    </row>
    <row r="366" spans="1:10" ht="38.25">
      <c r="A366" s="1"/>
      <c r="B366" s="25"/>
      <c r="C366" s="16" t="s">
        <v>143</v>
      </c>
      <c r="D366" s="16" t="s">
        <v>137</v>
      </c>
      <c r="E366" s="21" t="s">
        <v>605</v>
      </c>
      <c r="F366" s="85" t="s">
        <v>314</v>
      </c>
      <c r="G366" s="102" t="s">
        <v>315</v>
      </c>
      <c r="H366" s="41">
        <f>8470.4+300+300+508.5+400-800+300</f>
        <v>9478.9</v>
      </c>
      <c r="I366" s="41">
        <v>8834</v>
      </c>
      <c r="J366" s="99">
        <f t="shared" si="18"/>
        <v>93.2</v>
      </c>
    </row>
    <row r="367" spans="1:10" ht="25.5">
      <c r="A367" s="153"/>
      <c r="B367" s="25"/>
      <c r="C367" s="16" t="s">
        <v>143</v>
      </c>
      <c r="D367" s="16" t="s">
        <v>137</v>
      </c>
      <c r="E367" s="87">
        <v>9900000000</v>
      </c>
      <c r="F367" s="73"/>
      <c r="G367" s="149" t="s">
        <v>195</v>
      </c>
      <c r="H367" s="100">
        <f t="shared" ref="H367:I369" si="22">H368</f>
        <v>65.900000000000006</v>
      </c>
      <c r="I367" s="100">
        <f t="shared" si="22"/>
        <v>65.900000000000006</v>
      </c>
      <c r="J367" s="62">
        <f t="shared" si="18"/>
        <v>100</v>
      </c>
    </row>
    <row r="368" spans="1:10" ht="28.5" customHeight="1">
      <c r="A368" s="153"/>
      <c r="B368" s="25"/>
      <c r="C368" s="16" t="s">
        <v>143</v>
      </c>
      <c r="D368" s="16" t="s">
        <v>137</v>
      </c>
      <c r="E368" s="85" t="s">
        <v>31</v>
      </c>
      <c r="F368" s="85"/>
      <c r="G368" s="104" t="s">
        <v>53</v>
      </c>
      <c r="H368" s="98">
        <f t="shared" si="22"/>
        <v>65.900000000000006</v>
      </c>
      <c r="I368" s="98">
        <f t="shared" si="22"/>
        <v>65.900000000000006</v>
      </c>
      <c r="J368" s="58">
        <f t="shared" si="18"/>
        <v>100</v>
      </c>
    </row>
    <row r="369" spans="1:10" ht="25.5">
      <c r="A369" s="153"/>
      <c r="B369" s="25"/>
      <c r="C369" s="16" t="s">
        <v>143</v>
      </c>
      <c r="D369" s="16" t="s">
        <v>137</v>
      </c>
      <c r="E369" s="85" t="s">
        <v>802</v>
      </c>
      <c r="F369" s="16"/>
      <c r="G369" s="54" t="s">
        <v>801</v>
      </c>
      <c r="H369" s="103">
        <f t="shared" si="22"/>
        <v>65.900000000000006</v>
      </c>
      <c r="I369" s="103">
        <f t="shared" si="22"/>
        <v>65.900000000000006</v>
      </c>
      <c r="J369" s="99">
        <f t="shared" si="18"/>
        <v>100</v>
      </c>
    </row>
    <row r="370" spans="1:10">
      <c r="A370" s="153"/>
      <c r="B370" s="25"/>
      <c r="C370" s="16" t="s">
        <v>143</v>
      </c>
      <c r="D370" s="16" t="s">
        <v>137</v>
      </c>
      <c r="E370" s="85" t="s">
        <v>802</v>
      </c>
      <c r="F370" s="85" t="s">
        <v>466</v>
      </c>
      <c r="G370" s="102" t="s">
        <v>467</v>
      </c>
      <c r="H370" s="103">
        <f>53.4+12.5</f>
        <v>65.900000000000006</v>
      </c>
      <c r="I370" s="103">
        <f>53.4+12.5</f>
        <v>65.900000000000006</v>
      </c>
      <c r="J370" s="99">
        <f t="shared" ref="J370:J381" si="23">ROUND((I370/H370*100),1)</f>
        <v>100</v>
      </c>
    </row>
    <row r="371" spans="1:10" ht="14.25">
      <c r="A371" s="1"/>
      <c r="B371" s="25"/>
      <c r="C371" s="30" t="s">
        <v>143</v>
      </c>
      <c r="D371" s="30" t="s">
        <v>141</v>
      </c>
      <c r="E371" s="30"/>
      <c r="F371" s="30"/>
      <c r="G371" s="27" t="s">
        <v>72</v>
      </c>
      <c r="H371" s="40">
        <f>H372+H377+H393+H445+H465+H470</f>
        <v>173048.6</v>
      </c>
      <c r="I371" s="40">
        <f>I372+I377+I393+I445+I465+I470</f>
        <v>146083.29999999999</v>
      </c>
      <c r="J371" s="42">
        <f t="shared" si="23"/>
        <v>84.4</v>
      </c>
    </row>
    <row r="372" spans="1:10" ht="52.5" customHeight="1">
      <c r="A372" s="1"/>
      <c r="B372" s="25"/>
      <c r="C372" s="85" t="s">
        <v>143</v>
      </c>
      <c r="D372" s="85" t="s">
        <v>141</v>
      </c>
      <c r="E372" s="78" t="s">
        <v>106</v>
      </c>
      <c r="F372" s="16"/>
      <c r="G372" s="63" t="s">
        <v>516</v>
      </c>
      <c r="H372" s="100">
        <f t="shared" ref="H372:I375" si="24">H373</f>
        <v>70.599999999999994</v>
      </c>
      <c r="I372" s="100">
        <f t="shared" si="24"/>
        <v>70.599999999999994</v>
      </c>
      <c r="J372" s="62">
        <f t="shared" si="23"/>
        <v>100</v>
      </c>
    </row>
    <row r="373" spans="1:10" ht="38.25">
      <c r="A373" s="1"/>
      <c r="B373" s="25"/>
      <c r="C373" s="47" t="s">
        <v>143</v>
      </c>
      <c r="D373" s="47" t="s">
        <v>141</v>
      </c>
      <c r="E373" s="77" t="s">
        <v>107</v>
      </c>
      <c r="F373" s="16"/>
      <c r="G373" s="60" t="s">
        <v>105</v>
      </c>
      <c r="H373" s="98">
        <f t="shared" si="24"/>
        <v>70.599999999999994</v>
      </c>
      <c r="I373" s="98">
        <f t="shared" si="24"/>
        <v>70.599999999999994</v>
      </c>
      <c r="J373" s="58">
        <f t="shared" si="23"/>
        <v>100</v>
      </c>
    </row>
    <row r="374" spans="1:10" ht="38.25">
      <c r="A374" s="1"/>
      <c r="B374" s="25"/>
      <c r="C374" s="85" t="s">
        <v>143</v>
      </c>
      <c r="D374" s="85" t="s">
        <v>141</v>
      </c>
      <c r="E374" s="74">
        <v>610100000</v>
      </c>
      <c r="F374" s="16"/>
      <c r="G374" s="102" t="s">
        <v>348</v>
      </c>
      <c r="H374" s="103">
        <f t="shared" si="24"/>
        <v>70.599999999999994</v>
      </c>
      <c r="I374" s="103">
        <f t="shared" si="24"/>
        <v>70.599999999999994</v>
      </c>
      <c r="J374" s="99">
        <f t="shared" si="23"/>
        <v>100</v>
      </c>
    </row>
    <row r="375" spans="1:10" ht="38.25">
      <c r="A375" s="1"/>
      <c r="B375" s="25"/>
      <c r="C375" s="85" t="s">
        <v>143</v>
      </c>
      <c r="D375" s="85" t="s">
        <v>141</v>
      </c>
      <c r="E375" s="74" t="s">
        <v>199</v>
      </c>
      <c r="F375" s="16"/>
      <c r="G375" s="102" t="s">
        <v>200</v>
      </c>
      <c r="H375" s="41">
        <f t="shared" si="24"/>
        <v>70.599999999999994</v>
      </c>
      <c r="I375" s="41">
        <f t="shared" si="24"/>
        <v>70.599999999999994</v>
      </c>
      <c r="J375" s="99">
        <f t="shared" si="23"/>
        <v>100</v>
      </c>
    </row>
    <row r="376" spans="1:10" ht="38.25">
      <c r="A376" s="1"/>
      <c r="B376" s="25"/>
      <c r="C376" s="85" t="s">
        <v>143</v>
      </c>
      <c r="D376" s="85" t="s">
        <v>141</v>
      </c>
      <c r="E376" s="74" t="s">
        <v>199</v>
      </c>
      <c r="F376" s="85" t="s">
        <v>314</v>
      </c>
      <c r="G376" s="102" t="s">
        <v>315</v>
      </c>
      <c r="H376" s="41">
        <f>76-5.4</f>
        <v>70.599999999999994</v>
      </c>
      <c r="I376" s="41">
        <f>76-5.4</f>
        <v>70.599999999999994</v>
      </c>
      <c r="J376" s="99">
        <f t="shared" si="23"/>
        <v>100</v>
      </c>
    </row>
    <row r="377" spans="1:10" ht="63.75" customHeight="1">
      <c r="A377" s="1"/>
      <c r="B377" s="25"/>
      <c r="C377" s="5" t="s">
        <v>143</v>
      </c>
      <c r="D377" s="5" t="s">
        <v>141</v>
      </c>
      <c r="E377" s="83" t="s">
        <v>42</v>
      </c>
      <c r="F377" s="16"/>
      <c r="G377" s="53" t="s">
        <v>534</v>
      </c>
      <c r="H377" s="100">
        <f>H378+H382</f>
        <v>21525.7</v>
      </c>
      <c r="I377" s="100">
        <f>I378+I382</f>
        <v>21394.799999999999</v>
      </c>
      <c r="J377" s="62">
        <f t="shared" si="23"/>
        <v>99.4</v>
      </c>
    </row>
    <row r="378" spans="1:10" ht="38.25">
      <c r="A378" s="153"/>
      <c r="B378" s="25"/>
      <c r="C378" s="85" t="s">
        <v>143</v>
      </c>
      <c r="D378" s="85" t="s">
        <v>141</v>
      </c>
      <c r="E378" s="52" t="s">
        <v>712</v>
      </c>
      <c r="F378" s="16"/>
      <c r="G378" s="60" t="s">
        <v>713</v>
      </c>
      <c r="H378" s="98">
        <f t="shared" ref="H378:I380" si="25">H379</f>
        <v>8154.3</v>
      </c>
      <c r="I378" s="98">
        <f t="shared" si="25"/>
        <v>8128.8</v>
      </c>
      <c r="J378" s="58">
        <f t="shared" si="23"/>
        <v>99.7</v>
      </c>
    </row>
    <row r="379" spans="1:10" ht="38.25">
      <c r="A379" s="153"/>
      <c r="B379" s="25"/>
      <c r="C379" s="16" t="s">
        <v>143</v>
      </c>
      <c r="D379" s="85" t="s">
        <v>141</v>
      </c>
      <c r="E379" s="21" t="s">
        <v>714</v>
      </c>
      <c r="F379" s="16"/>
      <c r="G379" s="104" t="s">
        <v>715</v>
      </c>
      <c r="H379" s="41">
        <f t="shared" si="25"/>
        <v>8154.3</v>
      </c>
      <c r="I379" s="41">
        <f t="shared" si="25"/>
        <v>8128.8</v>
      </c>
      <c r="J379" s="99">
        <f t="shared" si="23"/>
        <v>99.7</v>
      </c>
    </row>
    <row r="380" spans="1:10" ht="25.5">
      <c r="A380" s="153"/>
      <c r="B380" s="25"/>
      <c r="C380" s="16" t="s">
        <v>143</v>
      </c>
      <c r="D380" s="85" t="s">
        <v>141</v>
      </c>
      <c r="E380" s="21" t="s">
        <v>714</v>
      </c>
      <c r="F380" s="16"/>
      <c r="G380" s="102" t="s">
        <v>716</v>
      </c>
      <c r="H380" s="41">
        <f t="shared" si="25"/>
        <v>8154.3</v>
      </c>
      <c r="I380" s="41">
        <f t="shared" si="25"/>
        <v>8128.8</v>
      </c>
      <c r="J380" s="99">
        <f t="shared" si="23"/>
        <v>99.7</v>
      </c>
    </row>
    <row r="381" spans="1:10" ht="38.25">
      <c r="A381" s="153"/>
      <c r="B381" s="25"/>
      <c r="C381" s="85" t="s">
        <v>143</v>
      </c>
      <c r="D381" s="85" t="s">
        <v>141</v>
      </c>
      <c r="E381" s="21" t="s">
        <v>714</v>
      </c>
      <c r="F381" s="85" t="s">
        <v>314</v>
      </c>
      <c r="G381" s="102" t="s">
        <v>315</v>
      </c>
      <c r="H381" s="41">
        <f>5500+640+1751.1+263.2</f>
        <v>8154.3</v>
      </c>
      <c r="I381" s="41">
        <v>8128.8</v>
      </c>
      <c r="J381" s="99">
        <f t="shared" si="23"/>
        <v>99.7</v>
      </c>
    </row>
    <row r="382" spans="1:10" ht="38.25">
      <c r="A382" s="1"/>
      <c r="B382" s="25"/>
      <c r="C382" s="16" t="s">
        <v>143</v>
      </c>
      <c r="D382" s="85" t="s">
        <v>141</v>
      </c>
      <c r="E382" s="52" t="s">
        <v>270</v>
      </c>
      <c r="F382" s="16"/>
      <c r="G382" s="60" t="s">
        <v>597</v>
      </c>
      <c r="H382" s="41">
        <f>H383+H388</f>
        <v>13371.4</v>
      </c>
      <c r="I382" s="41">
        <f>I383+I388</f>
        <v>13265.999999999998</v>
      </c>
      <c r="J382" s="99">
        <f t="shared" ref="J382:J434" si="26">ROUND((I382/H382*100),1)</f>
        <v>99.2</v>
      </c>
    </row>
    <row r="383" spans="1:10" ht="25.5">
      <c r="A383" s="1"/>
      <c r="B383" s="25"/>
      <c r="C383" s="47" t="s">
        <v>143</v>
      </c>
      <c r="D383" s="47" t="s">
        <v>141</v>
      </c>
      <c r="E383" s="52" t="s">
        <v>354</v>
      </c>
      <c r="F383" s="16"/>
      <c r="G383" s="60" t="s">
        <v>578</v>
      </c>
      <c r="H383" s="41">
        <f>H384+H386</f>
        <v>11292</v>
      </c>
      <c r="I383" s="41">
        <f>I384+I386</f>
        <v>11186.599999999999</v>
      </c>
      <c r="J383" s="99">
        <f t="shared" si="26"/>
        <v>99.1</v>
      </c>
    </row>
    <row r="384" spans="1:10" ht="25.5">
      <c r="A384" s="1"/>
      <c r="B384" s="25"/>
      <c r="C384" s="16" t="s">
        <v>143</v>
      </c>
      <c r="D384" s="85" t="s">
        <v>141</v>
      </c>
      <c r="E384" s="21" t="s">
        <v>271</v>
      </c>
      <c r="F384" s="85"/>
      <c r="G384" s="102" t="s">
        <v>598</v>
      </c>
      <c r="H384" s="41">
        <f>H385</f>
        <v>8479.1</v>
      </c>
      <c r="I384" s="41">
        <f>I385</f>
        <v>8444.2999999999993</v>
      </c>
      <c r="J384" s="99">
        <f t="shared" si="26"/>
        <v>99.6</v>
      </c>
    </row>
    <row r="385" spans="1:10" ht="38.25">
      <c r="A385" s="1"/>
      <c r="B385" s="25"/>
      <c r="C385" s="16" t="s">
        <v>143</v>
      </c>
      <c r="D385" s="85" t="s">
        <v>141</v>
      </c>
      <c r="E385" s="21" t="s">
        <v>271</v>
      </c>
      <c r="F385" s="85" t="s">
        <v>314</v>
      </c>
      <c r="G385" s="102" t="s">
        <v>315</v>
      </c>
      <c r="H385" s="41">
        <f>13000-1700-2000-820.9</f>
        <v>8479.1</v>
      </c>
      <c r="I385" s="41">
        <v>8444.2999999999993</v>
      </c>
      <c r="J385" s="99">
        <f t="shared" si="26"/>
        <v>99.6</v>
      </c>
    </row>
    <row r="386" spans="1:10" ht="25.5">
      <c r="A386" s="1"/>
      <c r="B386" s="25"/>
      <c r="C386" s="16" t="s">
        <v>143</v>
      </c>
      <c r="D386" s="85" t="s">
        <v>141</v>
      </c>
      <c r="E386" s="21" t="s">
        <v>579</v>
      </c>
      <c r="F386" s="85"/>
      <c r="G386" s="102" t="s">
        <v>584</v>
      </c>
      <c r="H386" s="41">
        <f>H387</f>
        <v>2812.9</v>
      </c>
      <c r="I386" s="41">
        <f>I387</f>
        <v>2742.3</v>
      </c>
      <c r="J386" s="99">
        <f t="shared" si="26"/>
        <v>97.5</v>
      </c>
    </row>
    <row r="387" spans="1:10" ht="38.25">
      <c r="A387" s="1"/>
      <c r="B387" s="25"/>
      <c r="C387" s="16" t="s">
        <v>143</v>
      </c>
      <c r="D387" s="85" t="s">
        <v>141</v>
      </c>
      <c r="E387" s="21" t="s">
        <v>579</v>
      </c>
      <c r="F387" s="85" t="s">
        <v>314</v>
      </c>
      <c r="G387" s="102" t="s">
        <v>315</v>
      </c>
      <c r="H387" s="41">
        <f>3000-300-287.1+400</f>
        <v>2812.9</v>
      </c>
      <c r="I387" s="41">
        <v>2742.3</v>
      </c>
      <c r="J387" s="99">
        <f t="shared" si="26"/>
        <v>97.5</v>
      </c>
    </row>
    <row r="388" spans="1:10" ht="51">
      <c r="A388" s="1"/>
      <c r="B388" s="25"/>
      <c r="C388" s="47" t="s">
        <v>143</v>
      </c>
      <c r="D388" s="47" t="s">
        <v>141</v>
      </c>
      <c r="E388" s="52" t="s">
        <v>580</v>
      </c>
      <c r="F388" s="16"/>
      <c r="G388" s="60" t="s">
        <v>581</v>
      </c>
      <c r="H388" s="98">
        <f>H389+H391</f>
        <v>2079.4</v>
      </c>
      <c r="I388" s="98">
        <f>I389+I391</f>
        <v>2079.4</v>
      </c>
      <c r="J388" s="99">
        <f t="shared" si="26"/>
        <v>100</v>
      </c>
    </row>
    <row r="389" spans="1:10" ht="51">
      <c r="A389" s="1"/>
      <c r="B389" s="25"/>
      <c r="C389" s="16" t="s">
        <v>143</v>
      </c>
      <c r="D389" s="85" t="s">
        <v>141</v>
      </c>
      <c r="E389" s="21" t="s">
        <v>582</v>
      </c>
      <c r="F389" s="16"/>
      <c r="G389" s="102" t="s">
        <v>599</v>
      </c>
      <c r="H389" s="103">
        <f>H390</f>
        <v>1300</v>
      </c>
      <c r="I389" s="103">
        <f>I390</f>
        <v>1300</v>
      </c>
      <c r="J389" s="99">
        <f t="shared" si="26"/>
        <v>100</v>
      </c>
    </row>
    <row r="390" spans="1:10" ht="38.25">
      <c r="A390" s="1"/>
      <c r="B390" s="25"/>
      <c r="C390" s="85" t="s">
        <v>143</v>
      </c>
      <c r="D390" s="85" t="s">
        <v>141</v>
      </c>
      <c r="E390" s="21" t="s">
        <v>582</v>
      </c>
      <c r="F390" s="85" t="s">
        <v>314</v>
      </c>
      <c r="G390" s="102" t="s">
        <v>315</v>
      </c>
      <c r="H390" s="41">
        <v>1300</v>
      </c>
      <c r="I390" s="41">
        <v>1300</v>
      </c>
      <c r="J390" s="99">
        <f t="shared" si="26"/>
        <v>100</v>
      </c>
    </row>
    <row r="391" spans="1:10" ht="51">
      <c r="A391" s="1"/>
      <c r="B391" s="25"/>
      <c r="C391" s="16" t="s">
        <v>143</v>
      </c>
      <c r="D391" s="85" t="s">
        <v>141</v>
      </c>
      <c r="E391" s="21" t="s">
        <v>583</v>
      </c>
      <c r="F391" s="16"/>
      <c r="G391" s="102" t="s">
        <v>585</v>
      </c>
      <c r="H391" s="41">
        <f>H392</f>
        <v>779.4</v>
      </c>
      <c r="I391" s="41">
        <f>I392</f>
        <v>779.4</v>
      </c>
      <c r="J391" s="99">
        <f t="shared" si="26"/>
        <v>100</v>
      </c>
    </row>
    <row r="392" spans="1:10" ht="38.25">
      <c r="A392" s="1"/>
      <c r="B392" s="25"/>
      <c r="C392" s="16" t="s">
        <v>143</v>
      </c>
      <c r="D392" s="85" t="s">
        <v>141</v>
      </c>
      <c r="E392" s="21" t="s">
        <v>583</v>
      </c>
      <c r="F392" s="85" t="s">
        <v>314</v>
      </c>
      <c r="G392" s="102" t="s">
        <v>315</v>
      </c>
      <c r="H392" s="41">
        <f>500+200+79.4</f>
        <v>779.4</v>
      </c>
      <c r="I392" s="41">
        <f>500+200+79.4</f>
        <v>779.4</v>
      </c>
      <c r="J392" s="99">
        <f t="shared" si="26"/>
        <v>100</v>
      </c>
    </row>
    <row r="393" spans="1:10" ht="49.5" customHeight="1">
      <c r="A393" s="1"/>
      <c r="B393" s="25"/>
      <c r="C393" s="5" t="s">
        <v>143</v>
      </c>
      <c r="D393" s="5" t="s">
        <v>141</v>
      </c>
      <c r="E393" s="73" t="s">
        <v>85</v>
      </c>
      <c r="F393" s="16"/>
      <c r="G393" s="53" t="s">
        <v>541</v>
      </c>
      <c r="H393" s="100">
        <f>H394+H407+H411+H419+H431+H439</f>
        <v>46470.2</v>
      </c>
      <c r="I393" s="100">
        <f>I394+I407+I411+I419+I431+I439</f>
        <v>32976.299999999996</v>
      </c>
      <c r="J393" s="62">
        <f t="shared" si="26"/>
        <v>71</v>
      </c>
    </row>
    <row r="394" spans="1:10" ht="38.25">
      <c r="A394" s="1"/>
      <c r="B394" s="25"/>
      <c r="C394" s="47" t="s">
        <v>143</v>
      </c>
      <c r="D394" s="47" t="s">
        <v>141</v>
      </c>
      <c r="E394" s="52" t="s">
        <v>86</v>
      </c>
      <c r="F394" s="47"/>
      <c r="G394" s="48" t="s">
        <v>274</v>
      </c>
      <c r="H394" s="98">
        <f>H395+H402</f>
        <v>23292</v>
      </c>
      <c r="I394" s="98">
        <f>I395+I402</f>
        <v>14232.6</v>
      </c>
      <c r="J394" s="58">
        <f t="shared" si="26"/>
        <v>61.1</v>
      </c>
    </row>
    <row r="395" spans="1:10" ht="25.5">
      <c r="A395" s="1"/>
      <c r="B395" s="25"/>
      <c r="C395" s="16" t="s">
        <v>143</v>
      </c>
      <c r="D395" s="16" t="s">
        <v>141</v>
      </c>
      <c r="E395" s="21" t="s">
        <v>355</v>
      </c>
      <c r="F395" s="47"/>
      <c r="G395" s="104" t="s">
        <v>376</v>
      </c>
      <c r="H395" s="98">
        <f>H396+H398+H400</f>
        <v>17682.400000000001</v>
      </c>
      <c r="I395" s="98">
        <f>I396+I398+I400</f>
        <v>8688.1</v>
      </c>
      <c r="J395" s="99">
        <f t="shared" si="26"/>
        <v>49.1</v>
      </c>
    </row>
    <row r="396" spans="1:10" ht="30.75" customHeight="1">
      <c r="A396" s="1"/>
      <c r="B396" s="25"/>
      <c r="C396" s="16" t="s">
        <v>143</v>
      </c>
      <c r="D396" s="16" t="s">
        <v>141</v>
      </c>
      <c r="E396" s="74" t="s">
        <v>87</v>
      </c>
      <c r="F396" s="21"/>
      <c r="G396" s="102" t="s">
        <v>28</v>
      </c>
      <c r="H396" s="41">
        <f>H397</f>
        <v>12874.4</v>
      </c>
      <c r="I396" s="41">
        <f>I397</f>
        <v>4271.1000000000004</v>
      </c>
      <c r="J396" s="99">
        <f t="shared" si="26"/>
        <v>33.200000000000003</v>
      </c>
    </row>
    <row r="397" spans="1:10" ht="38.25">
      <c r="A397" s="1"/>
      <c r="B397" s="25"/>
      <c r="C397" s="16" t="s">
        <v>143</v>
      </c>
      <c r="D397" s="16" t="s">
        <v>141</v>
      </c>
      <c r="E397" s="74" t="s">
        <v>87</v>
      </c>
      <c r="F397" s="85" t="s">
        <v>314</v>
      </c>
      <c r="G397" s="102" t="s">
        <v>315</v>
      </c>
      <c r="H397" s="41">
        <f>13373.4-5.7-493.3</f>
        <v>12874.4</v>
      </c>
      <c r="I397" s="39">
        <v>4271.1000000000004</v>
      </c>
      <c r="J397" s="99">
        <f t="shared" si="26"/>
        <v>33.200000000000003</v>
      </c>
    </row>
    <row r="398" spans="1:10" ht="63.75">
      <c r="A398" s="1"/>
      <c r="B398" s="25"/>
      <c r="C398" s="16" t="s">
        <v>143</v>
      </c>
      <c r="D398" s="16" t="s">
        <v>141</v>
      </c>
      <c r="E398" s="74" t="s">
        <v>88</v>
      </c>
      <c r="F398" s="21"/>
      <c r="G398" s="102" t="s">
        <v>356</v>
      </c>
      <c r="H398" s="41">
        <f>H399</f>
        <v>3945</v>
      </c>
      <c r="I398" s="41">
        <f>I399</f>
        <v>3554.2</v>
      </c>
      <c r="J398" s="99">
        <f t="shared" si="26"/>
        <v>90.1</v>
      </c>
    </row>
    <row r="399" spans="1:10" ht="38.25">
      <c r="A399" s="1"/>
      <c r="B399" s="25"/>
      <c r="C399" s="16" t="s">
        <v>143</v>
      </c>
      <c r="D399" s="16" t="s">
        <v>141</v>
      </c>
      <c r="E399" s="74" t="s">
        <v>88</v>
      </c>
      <c r="F399" s="85" t="s">
        <v>314</v>
      </c>
      <c r="G399" s="102" t="s">
        <v>315</v>
      </c>
      <c r="H399" s="41">
        <f>920+3180-600-100+600-55</f>
        <v>3945</v>
      </c>
      <c r="I399" s="41">
        <v>3554.2</v>
      </c>
      <c r="J399" s="99">
        <f t="shared" si="26"/>
        <v>90.1</v>
      </c>
    </row>
    <row r="400" spans="1:10" ht="25.5">
      <c r="A400" s="1"/>
      <c r="B400" s="25"/>
      <c r="C400" s="16" t="s">
        <v>143</v>
      </c>
      <c r="D400" s="16" t="s">
        <v>141</v>
      </c>
      <c r="E400" s="74" t="s">
        <v>275</v>
      </c>
      <c r="F400" s="16"/>
      <c r="G400" s="102" t="s">
        <v>29</v>
      </c>
      <c r="H400" s="41">
        <f>H401</f>
        <v>863</v>
      </c>
      <c r="I400" s="41">
        <f>I401</f>
        <v>862.8</v>
      </c>
      <c r="J400" s="99">
        <f t="shared" si="26"/>
        <v>100</v>
      </c>
    </row>
    <row r="401" spans="1:10" ht="38.25">
      <c r="A401" s="1"/>
      <c r="B401" s="25"/>
      <c r="C401" s="16" t="s">
        <v>143</v>
      </c>
      <c r="D401" s="16" t="s">
        <v>141</v>
      </c>
      <c r="E401" s="74" t="s">
        <v>275</v>
      </c>
      <c r="F401" s="85" t="s">
        <v>314</v>
      </c>
      <c r="G401" s="102" t="s">
        <v>315</v>
      </c>
      <c r="H401" s="41">
        <f>100+200+163+400</f>
        <v>863</v>
      </c>
      <c r="I401" s="41">
        <v>862.8</v>
      </c>
      <c r="J401" s="99">
        <f t="shared" si="26"/>
        <v>100</v>
      </c>
    </row>
    <row r="402" spans="1:10" ht="27.75" customHeight="1">
      <c r="A402" s="1"/>
      <c r="B402" s="25"/>
      <c r="C402" s="16" t="s">
        <v>143</v>
      </c>
      <c r="D402" s="16" t="s">
        <v>141</v>
      </c>
      <c r="E402" s="21" t="s">
        <v>443</v>
      </c>
      <c r="F402" s="85"/>
      <c r="G402" s="104" t="s">
        <v>444</v>
      </c>
      <c r="H402" s="41">
        <f>H403+H405</f>
        <v>5609.6</v>
      </c>
      <c r="I402" s="41">
        <f>I403+I405</f>
        <v>5544.5</v>
      </c>
      <c r="J402" s="99">
        <f t="shared" si="26"/>
        <v>98.8</v>
      </c>
    </row>
    <row r="403" spans="1:10" ht="25.5">
      <c r="A403" s="1"/>
      <c r="B403" s="25"/>
      <c r="C403" s="16" t="s">
        <v>143</v>
      </c>
      <c r="D403" s="16" t="s">
        <v>141</v>
      </c>
      <c r="E403" s="74" t="s">
        <v>323</v>
      </c>
      <c r="F403" s="16"/>
      <c r="G403" s="102" t="s">
        <v>357</v>
      </c>
      <c r="H403" s="41">
        <f>H404</f>
        <v>897</v>
      </c>
      <c r="I403" s="41">
        <f>I404</f>
        <v>831.9</v>
      </c>
      <c r="J403" s="99">
        <f t="shared" si="26"/>
        <v>92.7</v>
      </c>
    </row>
    <row r="404" spans="1:10" ht="38.25">
      <c r="A404" s="1"/>
      <c r="B404" s="25"/>
      <c r="C404" s="16" t="s">
        <v>143</v>
      </c>
      <c r="D404" s="16" t="s">
        <v>141</v>
      </c>
      <c r="E404" s="74" t="s">
        <v>323</v>
      </c>
      <c r="F404" s="85" t="s">
        <v>314</v>
      </c>
      <c r="G404" s="102" t="s">
        <v>315</v>
      </c>
      <c r="H404" s="41">
        <f>300+597</f>
        <v>897</v>
      </c>
      <c r="I404" s="41">
        <v>831.9</v>
      </c>
      <c r="J404" s="99">
        <f t="shared" si="26"/>
        <v>92.7</v>
      </c>
    </row>
    <row r="405" spans="1:10" ht="25.5">
      <c r="A405" s="153"/>
      <c r="B405" s="25"/>
      <c r="C405" s="16" t="s">
        <v>143</v>
      </c>
      <c r="D405" s="16" t="s">
        <v>141</v>
      </c>
      <c r="E405" s="74" t="s">
        <v>639</v>
      </c>
      <c r="F405" s="85"/>
      <c r="G405" s="102" t="s">
        <v>640</v>
      </c>
      <c r="H405" s="41">
        <f>H406</f>
        <v>4712.6000000000004</v>
      </c>
      <c r="I405" s="41">
        <f>I406</f>
        <v>4712.6000000000004</v>
      </c>
      <c r="J405" s="99">
        <f t="shared" si="26"/>
        <v>100</v>
      </c>
    </row>
    <row r="406" spans="1:10" ht="38.25">
      <c r="A406" s="153"/>
      <c r="B406" s="25"/>
      <c r="C406" s="16" t="s">
        <v>143</v>
      </c>
      <c r="D406" s="16" t="s">
        <v>141</v>
      </c>
      <c r="E406" s="74" t="s">
        <v>639</v>
      </c>
      <c r="F406" s="85" t="s">
        <v>314</v>
      </c>
      <c r="G406" s="102" t="s">
        <v>315</v>
      </c>
      <c r="H406" s="39">
        <f>5916.6-1204</f>
        <v>4712.6000000000004</v>
      </c>
      <c r="I406" s="39">
        <f>5916.6-1204</f>
        <v>4712.6000000000004</v>
      </c>
      <c r="J406" s="99">
        <f t="shared" si="26"/>
        <v>100</v>
      </c>
    </row>
    <row r="407" spans="1:10" ht="25.5">
      <c r="A407" s="1"/>
      <c r="B407" s="25"/>
      <c r="C407" s="16" t="s">
        <v>143</v>
      </c>
      <c r="D407" s="16" t="s">
        <v>141</v>
      </c>
      <c r="E407" s="52" t="s">
        <v>90</v>
      </c>
      <c r="F407" s="47"/>
      <c r="G407" s="48" t="s">
        <v>32</v>
      </c>
      <c r="H407" s="98">
        <f t="shared" ref="H407:I409" si="27">H408</f>
        <v>500</v>
      </c>
      <c r="I407" s="98">
        <f t="shared" si="27"/>
        <v>500</v>
      </c>
      <c r="J407" s="58">
        <f t="shared" si="26"/>
        <v>100</v>
      </c>
    </row>
    <row r="408" spans="1:10" ht="16.5" customHeight="1">
      <c r="A408" s="1"/>
      <c r="B408" s="25"/>
      <c r="C408" s="16" t="s">
        <v>143</v>
      </c>
      <c r="D408" s="16" t="s">
        <v>141</v>
      </c>
      <c r="E408" s="21" t="s">
        <v>358</v>
      </c>
      <c r="F408" s="47"/>
      <c r="G408" s="104" t="s">
        <v>359</v>
      </c>
      <c r="H408" s="103">
        <f t="shared" si="27"/>
        <v>500</v>
      </c>
      <c r="I408" s="103">
        <f t="shared" si="27"/>
        <v>500</v>
      </c>
      <c r="J408" s="99">
        <f t="shared" si="26"/>
        <v>100</v>
      </c>
    </row>
    <row r="409" spans="1:10" ht="25.5">
      <c r="A409" s="1"/>
      <c r="B409" s="25"/>
      <c r="C409" s="16" t="s">
        <v>143</v>
      </c>
      <c r="D409" s="16" t="s">
        <v>141</v>
      </c>
      <c r="E409" s="80" t="s">
        <v>89</v>
      </c>
      <c r="F409" s="16"/>
      <c r="G409" s="102" t="s">
        <v>276</v>
      </c>
      <c r="H409" s="41">
        <f t="shared" si="27"/>
        <v>500</v>
      </c>
      <c r="I409" s="41">
        <f t="shared" si="27"/>
        <v>500</v>
      </c>
      <c r="J409" s="99">
        <f t="shared" si="26"/>
        <v>100</v>
      </c>
    </row>
    <row r="410" spans="1:10" ht="38.25">
      <c r="A410" s="1"/>
      <c r="B410" s="25"/>
      <c r="C410" s="16" t="s">
        <v>143</v>
      </c>
      <c r="D410" s="16" t="s">
        <v>141</v>
      </c>
      <c r="E410" s="80" t="s">
        <v>89</v>
      </c>
      <c r="F410" s="85" t="s">
        <v>314</v>
      </c>
      <c r="G410" s="102" t="s">
        <v>315</v>
      </c>
      <c r="H410" s="41">
        <v>500</v>
      </c>
      <c r="I410" s="41">
        <v>500</v>
      </c>
      <c r="J410" s="99">
        <f t="shared" si="26"/>
        <v>100</v>
      </c>
    </row>
    <row r="411" spans="1:10" ht="38.25">
      <c r="A411" s="1"/>
      <c r="B411" s="25"/>
      <c r="C411" s="16" t="s">
        <v>143</v>
      </c>
      <c r="D411" s="16" t="s">
        <v>141</v>
      </c>
      <c r="E411" s="52" t="s">
        <v>91</v>
      </c>
      <c r="F411" s="47"/>
      <c r="G411" s="48" t="s">
        <v>277</v>
      </c>
      <c r="H411" s="98">
        <f>H412</f>
        <v>8269.4</v>
      </c>
      <c r="I411" s="98">
        <f>I412</f>
        <v>8122.2</v>
      </c>
      <c r="J411" s="58">
        <f t="shared" si="26"/>
        <v>98.2</v>
      </c>
    </row>
    <row r="412" spans="1:10" ht="51">
      <c r="A412" s="1"/>
      <c r="B412" s="25"/>
      <c r="C412" s="16" t="s">
        <v>143</v>
      </c>
      <c r="D412" s="16" t="s">
        <v>141</v>
      </c>
      <c r="E412" s="21" t="s">
        <v>360</v>
      </c>
      <c r="F412" s="47"/>
      <c r="G412" s="104" t="s">
        <v>364</v>
      </c>
      <c r="H412" s="103">
        <f>H413+H415+H417</f>
        <v>8269.4</v>
      </c>
      <c r="I412" s="103">
        <f>I413+I415+I417</f>
        <v>8122.2</v>
      </c>
      <c r="J412" s="99">
        <f t="shared" si="26"/>
        <v>98.2</v>
      </c>
    </row>
    <row r="413" spans="1:10" ht="25.5">
      <c r="A413" s="1"/>
      <c r="B413" s="25"/>
      <c r="C413" s="16" t="s">
        <v>143</v>
      </c>
      <c r="D413" s="16" t="s">
        <v>141</v>
      </c>
      <c r="E413" s="21" t="s">
        <v>92</v>
      </c>
      <c r="F413" s="16"/>
      <c r="G413" s="102" t="s">
        <v>470</v>
      </c>
      <c r="H413" s="41">
        <f>H414</f>
        <v>5348.2</v>
      </c>
      <c r="I413" s="41">
        <f>I414</f>
        <v>5207</v>
      </c>
      <c r="J413" s="99">
        <f t="shared" si="26"/>
        <v>97.4</v>
      </c>
    </row>
    <row r="414" spans="1:10" ht="38.25">
      <c r="A414" s="1"/>
      <c r="B414" s="25"/>
      <c r="C414" s="16" t="s">
        <v>143</v>
      </c>
      <c r="D414" s="16" t="s">
        <v>141</v>
      </c>
      <c r="E414" s="21" t="s">
        <v>92</v>
      </c>
      <c r="F414" s="85" t="s">
        <v>314</v>
      </c>
      <c r="G414" s="102" t="s">
        <v>315</v>
      </c>
      <c r="H414" s="41">
        <f>2800+1500+1194.8+98.2-244.8</f>
        <v>5348.2</v>
      </c>
      <c r="I414" s="99">
        <v>5207</v>
      </c>
      <c r="J414" s="99">
        <f t="shared" si="26"/>
        <v>97.4</v>
      </c>
    </row>
    <row r="415" spans="1:10" ht="25.5">
      <c r="A415" s="1"/>
      <c r="B415" s="25"/>
      <c r="C415" s="16" t="s">
        <v>143</v>
      </c>
      <c r="D415" s="16" t="s">
        <v>141</v>
      </c>
      <c r="E415" s="21" t="s">
        <v>93</v>
      </c>
      <c r="F415" s="16"/>
      <c r="G415" s="102" t="s">
        <v>30</v>
      </c>
      <c r="H415" s="41">
        <f>H416</f>
        <v>2911.2</v>
      </c>
      <c r="I415" s="41">
        <f>I416</f>
        <v>2905.2</v>
      </c>
      <c r="J415" s="99">
        <f t="shared" si="26"/>
        <v>99.8</v>
      </c>
    </row>
    <row r="416" spans="1:10" ht="38.25">
      <c r="A416" s="1"/>
      <c r="B416" s="25"/>
      <c r="C416" s="47" t="s">
        <v>143</v>
      </c>
      <c r="D416" s="47" t="s">
        <v>141</v>
      </c>
      <c r="E416" s="21" t="s">
        <v>93</v>
      </c>
      <c r="F416" s="85" t="s">
        <v>314</v>
      </c>
      <c r="G416" s="102" t="s">
        <v>315</v>
      </c>
      <c r="H416" s="41">
        <f>5+3800-1194.8+200+101</f>
        <v>2911.2</v>
      </c>
      <c r="I416" s="41">
        <v>2905.2</v>
      </c>
      <c r="J416" s="99">
        <f t="shared" si="26"/>
        <v>99.8</v>
      </c>
    </row>
    <row r="417" spans="1:10" ht="25.5">
      <c r="A417" s="1"/>
      <c r="B417" s="25"/>
      <c r="C417" s="16" t="s">
        <v>143</v>
      </c>
      <c r="D417" s="16" t="s">
        <v>141</v>
      </c>
      <c r="E417" s="21" t="s">
        <v>94</v>
      </c>
      <c r="F417" s="16"/>
      <c r="G417" s="102" t="s">
        <v>280</v>
      </c>
      <c r="H417" s="41">
        <f>H418</f>
        <v>10</v>
      </c>
      <c r="I417" s="41">
        <f>I418</f>
        <v>10</v>
      </c>
      <c r="J417" s="99">
        <f t="shared" si="26"/>
        <v>100</v>
      </c>
    </row>
    <row r="418" spans="1:10" ht="38.25">
      <c r="A418" s="1"/>
      <c r="B418" s="25"/>
      <c r="C418" s="16" t="s">
        <v>143</v>
      </c>
      <c r="D418" s="16" t="s">
        <v>141</v>
      </c>
      <c r="E418" s="21" t="s">
        <v>94</v>
      </c>
      <c r="F418" s="85" t="s">
        <v>314</v>
      </c>
      <c r="G418" s="102" t="s">
        <v>315</v>
      </c>
      <c r="H418" s="41">
        <f>5+5</f>
        <v>10</v>
      </c>
      <c r="I418" s="41">
        <f>5+5</f>
        <v>10</v>
      </c>
      <c r="J418" s="99">
        <f t="shared" si="26"/>
        <v>100</v>
      </c>
    </row>
    <row r="419" spans="1:10" ht="51">
      <c r="A419" s="1"/>
      <c r="B419" s="25"/>
      <c r="C419" s="47" t="s">
        <v>143</v>
      </c>
      <c r="D419" s="47" t="s">
        <v>141</v>
      </c>
      <c r="E419" s="52" t="s">
        <v>95</v>
      </c>
      <c r="F419" s="47"/>
      <c r="G419" s="48" t="s">
        <v>600</v>
      </c>
      <c r="H419" s="98">
        <f>H420+H425+H428</f>
        <v>1822.6</v>
      </c>
      <c r="I419" s="98">
        <f>I420+I425+I428</f>
        <v>1817.6000000000001</v>
      </c>
      <c r="J419" s="58">
        <f t="shared" si="26"/>
        <v>99.7</v>
      </c>
    </row>
    <row r="420" spans="1:10" ht="38.25">
      <c r="A420" s="1"/>
      <c r="B420" s="25"/>
      <c r="C420" s="16" t="s">
        <v>143</v>
      </c>
      <c r="D420" s="16" t="s">
        <v>141</v>
      </c>
      <c r="E420" s="21" t="s">
        <v>361</v>
      </c>
      <c r="F420" s="47"/>
      <c r="G420" s="104" t="s">
        <v>362</v>
      </c>
      <c r="H420" s="98">
        <f>H421+H423</f>
        <v>1068.8</v>
      </c>
      <c r="I420" s="98">
        <f>I421+I423</f>
        <v>1063.8000000000002</v>
      </c>
      <c r="J420" s="99">
        <f t="shared" si="26"/>
        <v>99.5</v>
      </c>
    </row>
    <row r="421" spans="1:10" ht="42.75" customHeight="1">
      <c r="A421" s="1"/>
      <c r="B421" s="25"/>
      <c r="C421" s="16" t="s">
        <v>143</v>
      </c>
      <c r="D421" s="16" t="s">
        <v>141</v>
      </c>
      <c r="E421" s="80" t="s">
        <v>96</v>
      </c>
      <c r="F421" s="16"/>
      <c r="G421" s="102" t="s">
        <v>278</v>
      </c>
      <c r="H421" s="41">
        <f>H422</f>
        <v>719.69999999999993</v>
      </c>
      <c r="I421" s="41">
        <f>I422</f>
        <v>714.7</v>
      </c>
      <c r="J421" s="99">
        <f t="shared" si="26"/>
        <v>99.3</v>
      </c>
    </row>
    <row r="422" spans="1:10" ht="38.25">
      <c r="A422" s="1"/>
      <c r="B422" s="25"/>
      <c r="C422" s="16" t="s">
        <v>143</v>
      </c>
      <c r="D422" s="16" t="s">
        <v>141</v>
      </c>
      <c r="E422" s="80" t="s">
        <v>96</v>
      </c>
      <c r="F422" s="85" t="s">
        <v>314</v>
      </c>
      <c r="G422" s="102" t="s">
        <v>315</v>
      </c>
      <c r="H422" s="41">
        <f>683.8-19.1+55</f>
        <v>719.69999999999993</v>
      </c>
      <c r="I422" s="41">
        <v>714.7</v>
      </c>
      <c r="J422" s="99">
        <f t="shared" si="26"/>
        <v>99.3</v>
      </c>
    </row>
    <row r="423" spans="1:10" ht="76.5">
      <c r="A423" s="1"/>
      <c r="B423" s="25"/>
      <c r="C423" s="16" t="s">
        <v>143</v>
      </c>
      <c r="D423" s="16" t="s">
        <v>141</v>
      </c>
      <c r="E423" s="80" t="s">
        <v>97</v>
      </c>
      <c r="F423" s="16"/>
      <c r="G423" s="102" t="s">
        <v>279</v>
      </c>
      <c r="H423" s="41">
        <f>H424</f>
        <v>349.1</v>
      </c>
      <c r="I423" s="41">
        <f>I424</f>
        <v>349.1</v>
      </c>
      <c r="J423" s="99">
        <f t="shared" si="26"/>
        <v>100</v>
      </c>
    </row>
    <row r="424" spans="1:10" ht="38.25">
      <c r="A424" s="1"/>
      <c r="B424" s="25"/>
      <c r="C424" s="16" t="s">
        <v>143</v>
      </c>
      <c r="D424" s="16" t="s">
        <v>141</v>
      </c>
      <c r="E424" s="80" t="s">
        <v>97</v>
      </c>
      <c r="F424" s="85" t="s">
        <v>314</v>
      </c>
      <c r="G424" s="102" t="s">
        <v>315</v>
      </c>
      <c r="H424" s="41">
        <f>180+150+19.1</f>
        <v>349.1</v>
      </c>
      <c r="I424" s="41">
        <f>180+150+19.1</f>
        <v>349.1</v>
      </c>
      <c r="J424" s="99">
        <f t="shared" si="26"/>
        <v>100</v>
      </c>
    </row>
    <row r="425" spans="1:10" ht="41.25" customHeight="1">
      <c r="A425" s="1"/>
      <c r="B425" s="25"/>
      <c r="C425" s="16" t="s">
        <v>143</v>
      </c>
      <c r="D425" s="16" t="s">
        <v>141</v>
      </c>
      <c r="E425" s="21" t="s">
        <v>538</v>
      </c>
      <c r="F425" s="47"/>
      <c r="G425" s="104" t="s">
        <v>377</v>
      </c>
      <c r="H425" s="41">
        <f>H426</f>
        <v>500</v>
      </c>
      <c r="I425" s="41">
        <f>I426</f>
        <v>500</v>
      </c>
      <c r="J425" s="99">
        <f t="shared" si="26"/>
        <v>100</v>
      </c>
    </row>
    <row r="426" spans="1:10" ht="25.5">
      <c r="A426" s="1"/>
      <c r="B426" s="25"/>
      <c r="C426" s="47" t="s">
        <v>143</v>
      </c>
      <c r="D426" s="47" t="s">
        <v>141</v>
      </c>
      <c r="E426" s="80" t="s">
        <v>537</v>
      </c>
      <c r="F426" s="16"/>
      <c r="G426" s="102" t="s">
        <v>302</v>
      </c>
      <c r="H426" s="41">
        <f>H427</f>
        <v>500</v>
      </c>
      <c r="I426" s="41">
        <f>I427</f>
        <v>500</v>
      </c>
      <c r="J426" s="99">
        <f t="shared" si="26"/>
        <v>100</v>
      </c>
    </row>
    <row r="427" spans="1:10" ht="38.25">
      <c r="A427" s="1"/>
      <c r="B427" s="25"/>
      <c r="C427" s="16" t="s">
        <v>143</v>
      </c>
      <c r="D427" s="16" t="s">
        <v>141</v>
      </c>
      <c r="E427" s="80" t="s">
        <v>537</v>
      </c>
      <c r="F427" s="85" t="s">
        <v>314</v>
      </c>
      <c r="G427" s="102" t="s">
        <v>315</v>
      </c>
      <c r="H427" s="41">
        <v>500</v>
      </c>
      <c r="I427" s="41">
        <v>500</v>
      </c>
      <c r="J427" s="99">
        <f t="shared" si="26"/>
        <v>100</v>
      </c>
    </row>
    <row r="428" spans="1:10" ht="51">
      <c r="A428" s="1"/>
      <c r="B428" s="25"/>
      <c r="C428" s="16" t="s">
        <v>143</v>
      </c>
      <c r="D428" s="16" t="s">
        <v>141</v>
      </c>
      <c r="E428" s="21" t="s">
        <v>539</v>
      </c>
      <c r="F428" s="47"/>
      <c r="G428" s="104" t="s">
        <v>364</v>
      </c>
      <c r="H428" s="41">
        <f>H429</f>
        <v>253.8</v>
      </c>
      <c r="I428" s="41">
        <f>I429</f>
        <v>253.8</v>
      </c>
      <c r="J428" s="99">
        <f t="shared" si="26"/>
        <v>100</v>
      </c>
    </row>
    <row r="429" spans="1:10" ht="38.25" customHeight="1">
      <c r="A429" s="1"/>
      <c r="B429" s="25"/>
      <c r="C429" s="16" t="s">
        <v>143</v>
      </c>
      <c r="D429" s="16" t="s">
        <v>141</v>
      </c>
      <c r="E429" s="80" t="s">
        <v>540</v>
      </c>
      <c r="F429" s="16"/>
      <c r="G429" s="102" t="s">
        <v>365</v>
      </c>
      <c r="H429" s="41">
        <f>H430</f>
        <v>253.8</v>
      </c>
      <c r="I429" s="41">
        <f>I430</f>
        <v>253.8</v>
      </c>
      <c r="J429" s="99">
        <f t="shared" si="26"/>
        <v>100</v>
      </c>
    </row>
    <row r="430" spans="1:10" ht="38.25">
      <c r="A430" s="1"/>
      <c r="B430" s="25"/>
      <c r="C430" s="16" t="s">
        <v>143</v>
      </c>
      <c r="D430" s="16" t="s">
        <v>141</v>
      </c>
      <c r="E430" s="80" t="s">
        <v>540</v>
      </c>
      <c r="F430" s="85" t="s">
        <v>314</v>
      </c>
      <c r="G430" s="102" t="s">
        <v>315</v>
      </c>
      <c r="H430" s="41">
        <f>270-5-11.2</f>
        <v>253.8</v>
      </c>
      <c r="I430" s="41">
        <f>270-5-11.2</f>
        <v>253.8</v>
      </c>
      <c r="J430" s="99">
        <f t="shared" si="26"/>
        <v>100</v>
      </c>
    </row>
    <row r="431" spans="1:10" ht="54.75" customHeight="1">
      <c r="A431" s="153"/>
      <c r="B431" s="25"/>
      <c r="C431" s="16" t="s">
        <v>143</v>
      </c>
      <c r="D431" s="85" t="s">
        <v>141</v>
      </c>
      <c r="E431" s="52" t="s">
        <v>671</v>
      </c>
      <c r="F431" s="16"/>
      <c r="G431" s="60" t="s">
        <v>672</v>
      </c>
      <c r="H431" s="98">
        <f>H432</f>
        <v>8040.2</v>
      </c>
      <c r="I431" s="98">
        <f>I432</f>
        <v>7369.2</v>
      </c>
      <c r="J431" s="58">
        <f t="shared" si="26"/>
        <v>91.7</v>
      </c>
    </row>
    <row r="432" spans="1:10" ht="51">
      <c r="A432" s="153"/>
      <c r="B432" s="25"/>
      <c r="C432" s="16" t="s">
        <v>143</v>
      </c>
      <c r="D432" s="85" t="s">
        <v>141</v>
      </c>
      <c r="E432" s="21" t="s">
        <v>674</v>
      </c>
      <c r="F432" s="85"/>
      <c r="G432" s="102" t="s">
        <v>675</v>
      </c>
      <c r="H432" s="41">
        <f>H433+H435+H437</f>
        <v>8040.2</v>
      </c>
      <c r="I432" s="41">
        <f>I433+I435+I437</f>
        <v>7369.2</v>
      </c>
      <c r="J432" s="99">
        <f t="shared" si="26"/>
        <v>91.7</v>
      </c>
    </row>
    <row r="433" spans="1:10" ht="58.5" customHeight="1">
      <c r="A433" s="153"/>
      <c r="B433" s="25"/>
      <c r="C433" s="16" t="s">
        <v>143</v>
      </c>
      <c r="D433" s="85" t="s">
        <v>141</v>
      </c>
      <c r="E433" s="21" t="s">
        <v>673</v>
      </c>
      <c r="F433" s="85"/>
      <c r="G433" s="102" t="s">
        <v>668</v>
      </c>
      <c r="H433" s="41">
        <f>H434</f>
        <v>4388.8999999999996</v>
      </c>
      <c r="I433" s="41">
        <f>I434</f>
        <v>4059.7</v>
      </c>
      <c r="J433" s="99">
        <f t="shared" si="26"/>
        <v>92.5</v>
      </c>
    </row>
    <row r="434" spans="1:10" ht="38.25">
      <c r="A434" s="153"/>
      <c r="B434" s="25"/>
      <c r="C434" s="16" t="s">
        <v>143</v>
      </c>
      <c r="D434" s="85" t="s">
        <v>141</v>
      </c>
      <c r="E434" s="21" t="s">
        <v>673</v>
      </c>
      <c r="F434" s="85" t="s">
        <v>314</v>
      </c>
      <c r="G434" s="102" t="s">
        <v>315</v>
      </c>
      <c r="H434" s="41">
        <f>765+8998.1-113+70-5488.6+0.7+156.7</f>
        <v>4388.8999999999996</v>
      </c>
      <c r="I434" s="99">
        <v>4059.7</v>
      </c>
      <c r="J434" s="99">
        <f t="shared" si="26"/>
        <v>92.5</v>
      </c>
    </row>
    <row r="435" spans="1:10" ht="38.25">
      <c r="A435" s="153"/>
      <c r="B435" s="25"/>
      <c r="C435" s="16" t="s">
        <v>143</v>
      </c>
      <c r="D435" s="85" t="s">
        <v>141</v>
      </c>
      <c r="E435" s="21" t="s">
        <v>767</v>
      </c>
      <c r="F435" s="85"/>
      <c r="G435" s="160" t="s">
        <v>758</v>
      </c>
      <c r="H435" s="41">
        <f>H436</f>
        <v>3601.3</v>
      </c>
      <c r="I435" s="41">
        <f>I436</f>
        <v>3266.8</v>
      </c>
      <c r="J435" s="99">
        <f t="shared" ref="J435:J469" si="28">ROUND((I435/H435*100),1)</f>
        <v>90.7</v>
      </c>
    </row>
    <row r="436" spans="1:10" ht="38.25">
      <c r="A436" s="153"/>
      <c r="B436" s="25"/>
      <c r="C436" s="16" t="s">
        <v>143</v>
      </c>
      <c r="D436" s="85" t="s">
        <v>141</v>
      </c>
      <c r="E436" s="21" t="s">
        <v>767</v>
      </c>
      <c r="F436" s="85" t="s">
        <v>314</v>
      </c>
      <c r="G436" s="102" t="s">
        <v>315</v>
      </c>
      <c r="H436" s="41">
        <f>3726-124.7</f>
        <v>3601.3</v>
      </c>
      <c r="I436" s="99">
        <v>3266.8</v>
      </c>
      <c r="J436" s="99">
        <f t="shared" si="28"/>
        <v>90.7</v>
      </c>
    </row>
    <row r="437" spans="1:10" ht="76.5">
      <c r="A437" s="153"/>
      <c r="B437" s="25"/>
      <c r="C437" s="16" t="s">
        <v>143</v>
      </c>
      <c r="D437" s="85" t="s">
        <v>141</v>
      </c>
      <c r="E437" s="21" t="s">
        <v>748</v>
      </c>
      <c r="F437" s="85"/>
      <c r="G437" s="102" t="s">
        <v>747</v>
      </c>
      <c r="H437" s="41">
        <f>H438</f>
        <v>50</v>
      </c>
      <c r="I437" s="41">
        <f>I438</f>
        <v>42.7</v>
      </c>
      <c r="J437" s="99">
        <f t="shared" si="28"/>
        <v>85.4</v>
      </c>
    </row>
    <row r="438" spans="1:10" ht="38.25">
      <c r="A438" s="153"/>
      <c r="B438" s="25"/>
      <c r="C438" s="16" t="s">
        <v>143</v>
      </c>
      <c r="D438" s="85" t="s">
        <v>141</v>
      </c>
      <c r="E438" s="21" t="s">
        <v>748</v>
      </c>
      <c r="F438" s="85" t="s">
        <v>314</v>
      </c>
      <c r="G438" s="102" t="s">
        <v>315</v>
      </c>
      <c r="H438" s="41">
        <f>43+7</f>
        <v>50</v>
      </c>
      <c r="I438" s="99">
        <v>42.7</v>
      </c>
      <c r="J438" s="99">
        <f t="shared" si="28"/>
        <v>85.4</v>
      </c>
    </row>
    <row r="439" spans="1:10" ht="63.75">
      <c r="A439" s="153"/>
      <c r="B439" s="25"/>
      <c r="C439" s="16" t="s">
        <v>143</v>
      </c>
      <c r="D439" s="85" t="s">
        <v>141</v>
      </c>
      <c r="E439" s="52" t="s">
        <v>768</v>
      </c>
      <c r="F439" s="16"/>
      <c r="G439" s="60" t="s">
        <v>773</v>
      </c>
      <c r="H439" s="98">
        <f>H441+H443</f>
        <v>4546</v>
      </c>
      <c r="I439" s="98">
        <f>I441+I443</f>
        <v>934.69999999999993</v>
      </c>
      <c r="J439" s="99">
        <f t="shared" si="28"/>
        <v>20.6</v>
      </c>
    </row>
    <row r="440" spans="1:10" ht="76.5">
      <c r="A440" s="153"/>
      <c r="B440" s="25"/>
      <c r="C440" s="16" t="s">
        <v>143</v>
      </c>
      <c r="D440" s="85" t="s">
        <v>141</v>
      </c>
      <c r="E440" s="21" t="s">
        <v>778</v>
      </c>
      <c r="F440" s="16"/>
      <c r="G440" s="102" t="s">
        <v>779</v>
      </c>
      <c r="H440" s="98">
        <f>H441+H443</f>
        <v>4546</v>
      </c>
      <c r="I440" s="98">
        <f>I441+I443</f>
        <v>934.69999999999993</v>
      </c>
      <c r="J440" s="99">
        <f t="shared" si="28"/>
        <v>20.6</v>
      </c>
    </row>
    <row r="441" spans="1:10" ht="42" customHeight="1">
      <c r="A441" s="153"/>
      <c r="B441" s="25"/>
      <c r="C441" s="16" t="s">
        <v>143</v>
      </c>
      <c r="D441" s="85" t="s">
        <v>141</v>
      </c>
      <c r="E441" s="21" t="s">
        <v>775</v>
      </c>
      <c r="F441" s="85"/>
      <c r="G441" s="102" t="s">
        <v>782</v>
      </c>
      <c r="H441" s="41">
        <f>H442</f>
        <v>3990.2999999999997</v>
      </c>
      <c r="I441" s="41">
        <f>I442</f>
        <v>831.3</v>
      </c>
      <c r="J441" s="99">
        <f t="shared" si="28"/>
        <v>20.8</v>
      </c>
    </row>
    <row r="442" spans="1:10" ht="38.25">
      <c r="A442" s="153"/>
      <c r="B442" s="25"/>
      <c r="C442" s="16" t="s">
        <v>143</v>
      </c>
      <c r="D442" s="85" t="s">
        <v>141</v>
      </c>
      <c r="E442" s="21" t="s">
        <v>775</v>
      </c>
      <c r="F442" s="85" t="s">
        <v>314</v>
      </c>
      <c r="G442" s="102" t="s">
        <v>315</v>
      </c>
      <c r="H442" s="41">
        <f>4152.7-320.9+158.5</f>
        <v>3990.2999999999997</v>
      </c>
      <c r="I442" s="41">
        <v>831.3</v>
      </c>
      <c r="J442" s="99">
        <f t="shared" si="28"/>
        <v>20.8</v>
      </c>
    </row>
    <row r="443" spans="1:10" ht="52.5" customHeight="1">
      <c r="A443" s="153"/>
      <c r="B443" s="25"/>
      <c r="C443" s="16" t="s">
        <v>143</v>
      </c>
      <c r="D443" s="85" t="s">
        <v>141</v>
      </c>
      <c r="E443" s="21" t="s">
        <v>776</v>
      </c>
      <c r="F443" s="85"/>
      <c r="G443" s="102" t="s">
        <v>781</v>
      </c>
      <c r="H443" s="41">
        <f>H444</f>
        <v>555.70000000000005</v>
      </c>
      <c r="I443" s="41">
        <f>I444</f>
        <v>103.4</v>
      </c>
      <c r="J443" s="99">
        <f t="shared" si="28"/>
        <v>18.600000000000001</v>
      </c>
    </row>
    <row r="444" spans="1:10" ht="38.25">
      <c r="A444" s="153"/>
      <c r="B444" s="25"/>
      <c r="C444" s="16" t="s">
        <v>143</v>
      </c>
      <c r="D444" s="85" t="s">
        <v>141</v>
      </c>
      <c r="E444" s="21" t="s">
        <v>776</v>
      </c>
      <c r="F444" s="85" t="s">
        <v>314</v>
      </c>
      <c r="G444" s="102" t="s">
        <v>315</v>
      </c>
      <c r="H444" s="41">
        <v>555.70000000000005</v>
      </c>
      <c r="I444" s="99">
        <v>103.4</v>
      </c>
      <c r="J444" s="99">
        <f t="shared" si="28"/>
        <v>18.600000000000001</v>
      </c>
    </row>
    <row r="445" spans="1:10" ht="63.75">
      <c r="A445" s="1"/>
      <c r="B445" s="25"/>
      <c r="C445" s="5" t="s">
        <v>143</v>
      </c>
      <c r="D445" s="5" t="s">
        <v>141</v>
      </c>
      <c r="E445" s="76">
        <v>1400000000</v>
      </c>
      <c r="F445" s="16"/>
      <c r="G445" s="53" t="s">
        <v>789</v>
      </c>
      <c r="H445" s="100">
        <f>H446</f>
        <v>104554.5</v>
      </c>
      <c r="I445" s="100">
        <f>I446</f>
        <v>91236.800000000003</v>
      </c>
      <c r="J445" s="62">
        <f t="shared" si="28"/>
        <v>87.3</v>
      </c>
    </row>
    <row r="446" spans="1:10" ht="89.25">
      <c r="A446" s="1"/>
      <c r="B446" s="25"/>
      <c r="C446" s="47" t="s">
        <v>143</v>
      </c>
      <c r="D446" s="47" t="s">
        <v>141</v>
      </c>
      <c r="E446" s="75">
        <v>1410000000</v>
      </c>
      <c r="F446" s="16"/>
      <c r="G446" s="48" t="s">
        <v>324</v>
      </c>
      <c r="H446" s="98">
        <f>H447+H454</f>
        <v>104554.5</v>
      </c>
      <c r="I446" s="98">
        <f>I447+I454</f>
        <v>91236.800000000003</v>
      </c>
      <c r="J446" s="58">
        <f t="shared" si="28"/>
        <v>87.3</v>
      </c>
    </row>
    <row r="447" spans="1:10" ht="118.5" customHeight="1">
      <c r="A447" s="1"/>
      <c r="B447" s="25"/>
      <c r="C447" s="16" t="s">
        <v>143</v>
      </c>
      <c r="D447" s="16" t="s">
        <v>141</v>
      </c>
      <c r="E447" s="74">
        <v>1410100000</v>
      </c>
      <c r="F447" s="16"/>
      <c r="G447" s="102" t="s">
        <v>683</v>
      </c>
      <c r="H447" s="41">
        <f>H448+H450+H452</f>
        <v>6620.5</v>
      </c>
      <c r="I447" s="41">
        <f>I448+I450+I452</f>
        <v>6603.7</v>
      </c>
      <c r="J447" s="99">
        <f t="shared" si="28"/>
        <v>99.7</v>
      </c>
    </row>
    <row r="448" spans="1:10" ht="38.25">
      <c r="A448" s="1"/>
      <c r="B448" s="25"/>
      <c r="C448" s="16" t="s">
        <v>143</v>
      </c>
      <c r="D448" s="16" t="s">
        <v>141</v>
      </c>
      <c r="E448" s="74" t="s">
        <v>627</v>
      </c>
      <c r="F448" s="16"/>
      <c r="G448" s="102" t="s">
        <v>497</v>
      </c>
      <c r="H448" s="41">
        <f>H449</f>
        <v>5265.2</v>
      </c>
      <c r="I448" s="41">
        <f>I449</f>
        <v>5265.2</v>
      </c>
      <c r="J448" s="99">
        <f t="shared" si="28"/>
        <v>100</v>
      </c>
    </row>
    <row r="449" spans="1:10" ht="38.25">
      <c r="A449" s="1"/>
      <c r="B449" s="25"/>
      <c r="C449" s="16" t="s">
        <v>143</v>
      </c>
      <c r="D449" s="16" t="s">
        <v>141</v>
      </c>
      <c r="E449" s="74" t="s">
        <v>627</v>
      </c>
      <c r="F449" s="85" t="s">
        <v>314</v>
      </c>
      <c r="G449" s="102" t="s">
        <v>315</v>
      </c>
      <c r="H449" s="41">
        <f>478.3+4711.2+75.7</f>
        <v>5265.2</v>
      </c>
      <c r="I449" s="41">
        <v>5265.2</v>
      </c>
      <c r="J449" s="99">
        <f t="shared" si="28"/>
        <v>100</v>
      </c>
    </row>
    <row r="450" spans="1:10" ht="25.5">
      <c r="A450" s="153"/>
      <c r="B450" s="25"/>
      <c r="C450" s="16" t="s">
        <v>143</v>
      </c>
      <c r="D450" s="16" t="s">
        <v>141</v>
      </c>
      <c r="E450" s="74" t="s">
        <v>702</v>
      </c>
      <c r="F450" s="85"/>
      <c r="G450" s="102" t="s">
        <v>703</v>
      </c>
      <c r="H450" s="41">
        <f>H451</f>
        <v>808.7</v>
      </c>
      <c r="I450" s="41">
        <f>I451</f>
        <v>791.9</v>
      </c>
      <c r="J450" s="99">
        <f t="shared" si="28"/>
        <v>97.9</v>
      </c>
    </row>
    <row r="451" spans="1:10" ht="38.25">
      <c r="A451" s="153"/>
      <c r="B451" s="25"/>
      <c r="C451" s="16" t="s">
        <v>143</v>
      </c>
      <c r="D451" s="16" t="s">
        <v>141</v>
      </c>
      <c r="E451" s="74" t="s">
        <v>702</v>
      </c>
      <c r="F451" s="85" t="s">
        <v>314</v>
      </c>
      <c r="G451" s="102" t="s">
        <v>315</v>
      </c>
      <c r="H451" s="41">
        <f>5.7+573+230</f>
        <v>808.7</v>
      </c>
      <c r="I451" s="41">
        <v>791.9</v>
      </c>
      <c r="J451" s="99">
        <f t="shared" si="28"/>
        <v>97.9</v>
      </c>
    </row>
    <row r="452" spans="1:10" ht="51">
      <c r="A452" s="153"/>
      <c r="B452" s="25"/>
      <c r="C452" s="85" t="s">
        <v>143</v>
      </c>
      <c r="D452" s="85" t="s">
        <v>141</v>
      </c>
      <c r="E452" s="74" t="s">
        <v>733</v>
      </c>
      <c r="F452" s="85"/>
      <c r="G452" s="102" t="s">
        <v>734</v>
      </c>
      <c r="H452" s="41">
        <f>H453</f>
        <v>546.6</v>
      </c>
      <c r="I452" s="41">
        <f>I453</f>
        <v>546.6</v>
      </c>
      <c r="J452" s="99">
        <f t="shared" si="28"/>
        <v>100</v>
      </c>
    </row>
    <row r="453" spans="1:10" ht="38.25">
      <c r="A453" s="153"/>
      <c r="B453" s="25"/>
      <c r="C453" s="85" t="s">
        <v>143</v>
      </c>
      <c r="D453" s="85" t="s">
        <v>141</v>
      </c>
      <c r="E453" s="74" t="s">
        <v>733</v>
      </c>
      <c r="F453" s="85" t="s">
        <v>314</v>
      </c>
      <c r="G453" s="102" t="s">
        <v>315</v>
      </c>
      <c r="H453" s="41">
        <f>538+8.6</f>
        <v>546.6</v>
      </c>
      <c r="I453" s="41">
        <f>538+8.6</f>
        <v>546.6</v>
      </c>
      <c r="J453" s="99">
        <f t="shared" si="28"/>
        <v>100</v>
      </c>
    </row>
    <row r="454" spans="1:10" ht="102">
      <c r="A454" s="1"/>
      <c r="B454" s="25"/>
      <c r="C454" s="16" t="s">
        <v>143</v>
      </c>
      <c r="D454" s="16" t="s">
        <v>141</v>
      </c>
      <c r="E454" s="74">
        <v>1410200000</v>
      </c>
      <c r="F454" s="16"/>
      <c r="G454" s="102" t="s">
        <v>684</v>
      </c>
      <c r="H454" s="41">
        <f>H455+H457+H459+H461+H463</f>
        <v>97934</v>
      </c>
      <c r="I454" s="41">
        <f>I455+I457+I459+I461+I463</f>
        <v>84633.1</v>
      </c>
      <c r="J454" s="99">
        <f t="shared" si="28"/>
        <v>86.4</v>
      </c>
    </row>
    <row r="455" spans="1:10" ht="38.25">
      <c r="A455" s="1"/>
      <c r="B455" s="25"/>
      <c r="C455" s="16" t="s">
        <v>143</v>
      </c>
      <c r="D455" s="16" t="s">
        <v>141</v>
      </c>
      <c r="E455" s="74" t="s">
        <v>628</v>
      </c>
      <c r="F455" s="16"/>
      <c r="G455" s="102" t="s">
        <v>499</v>
      </c>
      <c r="H455" s="41">
        <f>H456</f>
        <v>4921.8</v>
      </c>
      <c r="I455" s="41">
        <f>I456</f>
        <v>4921.8</v>
      </c>
      <c r="J455" s="99">
        <f t="shared" si="28"/>
        <v>100</v>
      </c>
    </row>
    <row r="456" spans="1:10" ht="38.25">
      <c r="A456" s="1"/>
      <c r="B456" s="25"/>
      <c r="C456" s="16" t="s">
        <v>143</v>
      </c>
      <c r="D456" s="16" t="s">
        <v>141</v>
      </c>
      <c r="E456" s="74" t="s">
        <v>628</v>
      </c>
      <c r="F456" s="85" t="s">
        <v>314</v>
      </c>
      <c r="G456" s="102" t="s">
        <v>315</v>
      </c>
      <c r="H456" s="41">
        <f>239.1+4758.4-75.7</f>
        <v>4921.8</v>
      </c>
      <c r="I456" s="41">
        <f>239.1+4758.4-75.7</f>
        <v>4921.8</v>
      </c>
      <c r="J456" s="99">
        <f t="shared" si="28"/>
        <v>100</v>
      </c>
    </row>
    <row r="457" spans="1:10" ht="25.5">
      <c r="A457" s="153"/>
      <c r="B457" s="25"/>
      <c r="C457" s="85" t="s">
        <v>143</v>
      </c>
      <c r="D457" s="85" t="s">
        <v>141</v>
      </c>
      <c r="E457" s="74" t="s">
        <v>735</v>
      </c>
      <c r="F457" s="85"/>
      <c r="G457" s="102" t="s">
        <v>703</v>
      </c>
      <c r="H457" s="41">
        <f>H458</f>
        <v>721.7</v>
      </c>
      <c r="I457" s="41">
        <f>I458</f>
        <v>390.5</v>
      </c>
      <c r="J457" s="99">
        <f t="shared" si="28"/>
        <v>54.1</v>
      </c>
    </row>
    <row r="458" spans="1:10" ht="38.25">
      <c r="A458" s="153"/>
      <c r="B458" s="25"/>
      <c r="C458" s="85" t="s">
        <v>143</v>
      </c>
      <c r="D458" s="85" t="s">
        <v>141</v>
      </c>
      <c r="E458" s="74" t="s">
        <v>735</v>
      </c>
      <c r="F458" s="85" t="s">
        <v>314</v>
      </c>
      <c r="G458" s="102" t="s">
        <v>315</v>
      </c>
      <c r="H458" s="41">
        <f>107-107+721.7</f>
        <v>721.7</v>
      </c>
      <c r="I458" s="41">
        <v>390.5</v>
      </c>
      <c r="J458" s="99">
        <f t="shared" si="28"/>
        <v>54.1</v>
      </c>
    </row>
    <row r="459" spans="1:10" ht="63.75">
      <c r="A459" s="153"/>
      <c r="B459" s="25"/>
      <c r="C459" s="16" t="s">
        <v>143</v>
      </c>
      <c r="D459" s="16" t="s">
        <v>141</v>
      </c>
      <c r="E459" s="74" t="s">
        <v>635</v>
      </c>
      <c r="F459" s="16"/>
      <c r="G459" s="102" t="s">
        <v>636</v>
      </c>
      <c r="H459" s="41">
        <f>H460</f>
        <v>74810</v>
      </c>
      <c r="I459" s="41">
        <f>I460</f>
        <v>74810</v>
      </c>
      <c r="J459" s="99">
        <f t="shared" si="28"/>
        <v>100</v>
      </c>
    </row>
    <row r="460" spans="1:10" ht="38.25">
      <c r="A460" s="153"/>
      <c r="B460" s="25"/>
      <c r="C460" s="16" t="s">
        <v>143</v>
      </c>
      <c r="D460" s="16" t="s">
        <v>141</v>
      </c>
      <c r="E460" s="74" t="s">
        <v>635</v>
      </c>
      <c r="F460" s="85" t="s">
        <v>314</v>
      </c>
      <c r="G460" s="102" t="s">
        <v>315</v>
      </c>
      <c r="H460" s="41">
        <v>74810</v>
      </c>
      <c r="I460" s="41">
        <v>74810</v>
      </c>
      <c r="J460" s="99">
        <f t="shared" si="28"/>
        <v>100</v>
      </c>
    </row>
    <row r="461" spans="1:10" ht="25.5">
      <c r="A461" s="153"/>
      <c r="B461" s="25"/>
      <c r="C461" s="85" t="s">
        <v>143</v>
      </c>
      <c r="D461" s="85" t="s">
        <v>141</v>
      </c>
      <c r="E461" s="74">
        <v>1410211180</v>
      </c>
      <c r="F461" s="85"/>
      <c r="G461" s="102" t="s">
        <v>664</v>
      </c>
      <c r="H461" s="41">
        <f>H462</f>
        <v>1000</v>
      </c>
      <c r="I461" s="41">
        <f>I462</f>
        <v>955</v>
      </c>
      <c r="J461" s="99">
        <f t="shared" si="28"/>
        <v>95.5</v>
      </c>
    </row>
    <row r="462" spans="1:10" ht="38.25">
      <c r="A462" s="153"/>
      <c r="B462" s="25"/>
      <c r="C462" s="85" t="s">
        <v>143</v>
      </c>
      <c r="D462" s="85" t="s">
        <v>141</v>
      </c>
      <c r="E462" s="74">
        <v>1410211180</v>
      </c>
      <c r="F462" s="85" t="s">
        <v>314</v>
      </c>
      <c r="G462" s="102" t="s">
        <v>315</v>
      </c>
      <c r="H462" s="41">
        <v>1000</v>
      </c>
      <c r="I462" s="41">
        <v>955</v>
      </c>
      <c r="J462" s="99">
        <f t="shared" si="28"/>
        <v>95.5</v>
      </c>
    </row>
    <row r="463" spans="1:10" ht="25.5">
      <c r="A463" s="153"/>
      <c r="B463" s="25"/>
      <c r="C463" s="85" t="s">
        <v>143</v>
      </c>
      <c r="D463" s="85" t="s">
        <v>141</v>
      </c>
      <c r="E463" s="74" t="s">
        <v>691</v>
      </c>
      <c r="F463" s="85"/>
      <c r="G463" s="102" t="s">
        <v>701</v>
      </c>
      <c r="H463" s="41">
        <f>H464</f>
        <v>16480.5</v>
      </c>
      <c r="I463" s="41">
        <f>I464</f>
        <v>3555.8</v>
      </c>
      <c r="J463" s="99">
        <f t="shared" si="28"/>
        <v>21.6</v>
      </c>
    </row>
    <row r="464" spans="1:10" ht="38.25">
      <c r="A464" s="153"/>
      <c r="B464" s="25"/>
      <c r="C464" s="85" t="s">
        <v>143</v>
      </c>
      <c r="D464" s="85" t="s">
        <v>141</v>
      </c>
      <c r="E464" s="74" t="s">
        <v>691</v>
      </c>
      <c r="F464" s="85" t="s">
        <v>314</v>
      </c>
      <c r="G464" s="102" t="s">
        <v>315</v>
      </c>
      <c r="H464" s="41">
        <f>1943.3-5.7-1833.1+16000+376</f>
        <v>16480.5</v>
      </c>
      <c r="I464" s="41">
        <v>3555.8</v>
      </c>
      <c r="J464" s="99">
        <f t="shared" si="28"/>
        <v>21.6</v>
      </c>
    </row>
    <row r="465" spans="1:10" ht="63.75">
      <c r="A465" s="1"/>
      <c r="B465" s="25"/>
      <c r="C465" s="5" t="s">
        <v>143</v>
      </c>
      <c r="D465" s="5" t="s">
        <v>141</v>
      </c>
      <c r="E465" s="73" t="s">
        <v>337</v>
      </c>
      <c r="F465" s="5"/>
      <c r="G465" s="63" t="s">
        <v>517</v>
      </c>
      <c r="H465" s="100">
        <f t="shared" ref="H465:I468" si="29">H466</f>
        <v>249.99999999999997</v>
      </c>
      <c r="I465" s="100">
        <f t="shared" si="29"/>
        <v>227.4</v>
      </c>
      <c r="J465" s="62">
        <f t="shared" si="28"/>
        <v>91</v>
      </c>
    </row>
    <row r="466" spans="1:10" ht="51">
      <c r="A466" s="1"/>
      <c r="B466" s="25"/>
      <c r="C466" s="16" t="s">
        <v>143</v>
      </c>
      <c r="D466" s="16" t="s">
        <v>141</v>
      </c>
      <c r="E466" s="52" t="s">
        <v>338</v>
      </c>
      <c r="F466" s="16"/>
      <c r="G466" s="48" t="s">
        <v>339</v>
      </c>
      <c r="H466" s="98">
        <f t="shared" si="29"/>
        <v>249.99999999999997</v>
      </c>
      <c r="I466" s="98">
        <f t="shared" si="29"/>
        <v>227.4</v>
      </c>
      <c r="J466" s="58">
        <f t="shared" si="28"/>
        <v>91</v>
      </c>
    </row>
    <row r="467" spans="1:10" ht="51">
      <c r="A467" s="1"/>
      <c r="B467" s="25"/>
      <c r="C467" s="16" t="s">
        <v>143</v>
      </c>
      <c r="D467" s="16" t="s">
        <v>141</v>
      </c>
      <c r="E467" s="21" t="s">
        <v>340</v>
      </c>
      <c r="F467" s="16"/>
      <c r="G467" s="102" t="s">
        <v>341</v>
      </c>
      <c r="H467" s="99">
        <f t="shared" si="29"/>
        <v>249.99999999999997</v>
      </c>
      <c r="I467" s="99">
        <f t="shared" si="29"/>
        <v>227.4</v>
      </c>
      <c r="J467" s="99">
        <f t="shared" si="28"/>
        <v>91</v>
      </c>
    </row>
    <row r="468" spans="1:10" ht="25.5">
      <c r="A468" s="1"/>
      <c r="B468" s="25"/>
      <c r="C468" s="16" t="s">
        <v>143</v>
      </c>
      <c r="D468" s="16" t="s">
        <v>141</v>
      </c>
      <c r="E468" s="21" t="s">
        <v>518</v>
      </c>
      <c r="F468" s="16"/>
      <c r="G468" s="102" t="s">
        <v>519</v>
      </c>
      <c r="H468" s="41">
        <f t="shared" si="29"/>
        <v>249.99999999999997</v>
      </c>
      <c r="I468" s="41">
        <f t="shared" si="29"/>
        <v>227.4</v>
      </c>
      <c r="J468" s="99">
        <f t="shared" ref="J468:J522" si="30">ROUND((I468/H468*100),1)</f>
        <v>91</v>
      </c>
    </row>
    <row r="469" spans="1:10" ht="38.25">
      <c r="A469" s="1"/>
      <c r="B469" s="25"/>
      <c r="C469" s="16" t="s">
        <v>143</v>
      </c>
      <c r="D469" s="16" t="s">
        <v>141</v>
      </c>
      <c r="E469" s="21" t="s">
        <v>518</v>
      </c>
      <c r="F469" s="85" t="s">
        <v>314</v>
      </c>
      <c r="G469" s="102" t="s">
        <v>315</v>
      </c>
      <c r="H469" s="41">
        <f>300-22.1-27.9</f>
        <v>249.99999999999997</v>
      </c>
      <c r="I469" s="99">
        <v>227.4</v>
      </c>
      <c r="J469" s="99">
        <f t="shared" si="28"/>
        <v>91</v>
      </c>
    </row>
    <row r="470" spans="1:10" ht="25.5">
      <c r="A470" s="1"/>
      <c r="B470" s="25"/>
      <c r="C470" s="5" t="s">
        <v>143</v>
      </c>
      <c r="D470" s="5" t="s">
        <v>141</v>
      </c>
      <c r="E470" s="87">
        <v>9900000000</v>
      </c>
      <c r="F470" s="73"/>
      <c r="G470" s="149" t="s">
        <v>195</v>
      </c>
      <c r="H470" s="100">
        <f>H471</f>
        <v>177.60000000000002</v>
      </c>
      <c r="I470" s="100">
        <f>I471</f>
        <v>177.4</v>
      </c>
      <c r="J470" s="62">
        <f t="shared" si="30"/>
        <v>99.9</v>
      </c>
    </row>
    <row r="471" spans="1:10" ht="27.75" customHeight="1">
      <c r="A471" s="1"/>
      <c r="B471" s="25"/>
      <c r="C471" s="16" t="s">
        <v>143</v>
      </c>
      <c r="D471" s="85" t="s">
        <v>141</v>
      </c>
      <c r="E471" s="85" t="s">
        <v>31</v>
      </c>
      <c r="F471" s="85"/>
      <c r="G471" s="104" t="s">
        <v>53</v>
      </c>
      <c r="H471" s="98">
        <f>H472+H475</f>
        <v>177.60000000000002</v>
      </c>
      <c r="I471" s="98">
        <f>I472+I475</f>
        <v>177.4</v>
      </c>
      <c r="J471" s="58">
        <f t="shared" si="30"/>
        <v>99.9</v>
      </c>
    </row>
    <row r="472" spans="1:10" ht="25.5">
      <c r="A472" s="153"/>
      <c r="B472" s="25"/>
      <c r="C472" s="16" t="s">
        <v>143</v>
      </c>
      <c r="D472" s="85" t="s">
        <v>141</v>
      </c>
      <c r="E472" s="85" t="s">
        <v>488</v>
      </c>
      <c r="F472" s="85"/>
      <c r="G472" s="54" t="s">
        <v>468</v>
      </c>
      <c r="H472" s="103">
        <f>SUM(H473:H474)</f>
        <v>117.60000000000001</v>
      </c>
      <c r="I472" s="103">
        <f>SUM(I473:I474)</f>
        <v>117.60000000000001</v>
      </c>
      <c r="J472" s="99">
        <f t="shared" si="30"/>
        <v>100</v>
      </c>
    </row>
    <row r="473" spans="1:10">
      <c r="A473" s="153"/>
      <c r="B473" s="25"/>
      <c r="C473" s="16" t="s">
        <v>143</v>
      </c>
      <c r="D473" s="85" t="s">
        <v>141</v>
      </c>
      <c r="E473" s="85" t="s">
        <v>488</v>
      </c>
      <c r="F473" s="85" t="s">
        <v>466</v>
      </c>
      <c r="G473" s="102" t="s">
        <v>467</v>
      </c>
      <c r="H473" s="39">
        <f>77.3+22.1</f>
        <v>99.4</v>
      </c>
      <c r="I473" s="39">
        <f>77.3+22.1</f>
        <v>99.4</v>
      </c>
      <c r="J473" s="99">
        <f t="shared" si="30"/>
        <v>100</v>
      </c>
    </row>
    <row r="474" spans="1:10" ht="16.5" customHeight="1">
      <c r="A474" s="153"/>
      <c r="B474" s="25"/>
      <c r="C474" s="16" t="s">
        <v>143</v>
      </c>
      <c r="D474" s="85" t="s">
        <v>141</v>
      </c>
      <c r="E474" s="85" t="s">
        <v>488</v>
      </c>
      <c r="F474" s="84" t="s">
        <v>180</v>
      </c>
      <c r="G474" s="215" t="s">
        <v>181</v>
      </c>
      <c r="H474" s="39">
        <v>18.2</v>
      </c>
      <c r="I474" s="39">
        <v>18.2</v>
      </c>
      <c r="J474" s="99">
        <f t="shared" si="30"/>
        <v>100</v>
      </c>
    </row>
    <row r="475" spans="1:10" ht="40.5" customHeight="1">
      <c r="A475" s="1"/>
      <c r="B475" s="25"/>
      <c r="C475" s="16" t="s">
        <v>143</v>
      </c>
      <c r="D475" s="85" t="s">
        <v>141</v>
      </c>
      <c r="E475" s="85" t="s">
        <v>589</v>
      </c>
      <c r="F475" s="16"/>
      <c r="G475" s="54" t="s">
        <v>590</v>
      </c>
      <c r="H475" s="41">
        <f>SUM(H476:H476)</f>
        <v>60</v>
      </c>
      <c r="I475" s="41">
        <f>SUM(I476:I476)</f>
        <v>59.8</v>
      </c>
      <c r="J475" s="99">
        <f t="shared" si="30"/>
        <v>99.7</v>
      </c>
    </row>
    <row r="476" spans="1:10" ht="38.25">
      <c r="A476" s="153"/>
      <c r="B476" s="25"/>
      <c r="C476" s="16" t="s">
        <v>143</v>
      </c>
      <c r="D476" s="85" t="s">
        <v>141</v>
      </c>
      <c r="E476" s="85" t="s">
        <v>589</v>
      </c>
      <c r="F476" s="85" t="s">
        <v>314</v>
      </c>
      <c r="G476" s="102" t="s">
        <v>315</v>
      </c>
      <c r="H476" s="41">
        <f>10+50</f>
        <v>60</v>
      </c>
      <c r="I476" s="41">
        <v>59.8</v>
      </c>
      <c r="J476" s="99">
        <f t="shared" si="30"/>
        <v>99.7</v>
      </c>
    </row>
    <row r="477" spans="1:10" ht="15.75">
      <c r="A477" s="3"/>
      <c r="B477" s="96"/>
      <c r="C477" s="4" t="s">
        <v>158</v>
      </c>
      <c r="D477" s="3"/>
      <c r="E477" s="3"/>
      <c r="F477" s="3"/>
      <c r="G477" s="49" t="s">
        <v>159</v>
      </c>
      <c r="H477" s="97">
        <f>H478+H484+H498</f>
        <v>28288.6</v>
      </c>
      <c r="I477" s="97">
        <f>I478+I484+I498</f>
        <v>27891.1</v>
      </c>
      <c r="J477" s="206">
        <f t="shared" si="30"/>
        <v>98.6</v>
      </c>
    </row>
    <row r="478" spans="1:10" ht="15.75">
      <c r="A478" s="3"/>
      <c r="B478" s="96"/>
      <c r="C478" s="35" t="s">
        <v>158</v>
      </c>
      <c r="D478" s="35" t="s">
        <v>136</v>
      </c>
      <c r="E478" s="35"/>
      <c r="F478" s="35"/>
      <c r="G478" s="45" t="s">
        <v>160</v>
      </c>
      <c r="H478" s="42">
        <f>H479</f>
        <v>2773</v>
      </c>
      <c r="I478" s="42">
        <f>I479</f>
        <v>2773</v>
      </c>
      <c r="J478" s="58">
        <f t="shared" si="30"/>
        <v>100</v>
      </c>
    </row>
    <row r="479" spans="1:10" ht="54.75" customHeight="1">
      <c r="A479" s="3"/>
      <c r="B479" s="96"/>
      <c r="C479" s="5" t="s">
        <v>158</v>
      </c>
      <c r="D479" s="5" t="s">
        <v>136</v>
      </c>
      <c r="E479" s="73" t="s">
        <v>45</v>
      </c>
      <c r="F479" s="3"/>
      <c r="G479" s="64" t="s">
        <v>542</v>
      </c>
      <c r="H479" s="100">
        <f>H480</f>
        <v>2773</v>
      </c>
      <c r="I479" s="100">
        <f>I480</f>
        <v>2773</v>
      </c>
      <c r="J479" s="62">
        <f t="shared" si="30"/>
        <v>100</v>
      </c>
    </row>
    <row r="480" spans="1:10" ht="26.25">
      <c r="A480" s="3"/>
      <c r="B480" s="96"/>
      <c r="C480" s="16" t="s">
        <v>158</v>
      </c>
      <c r="D480" s="16" t="s">
        <v>136</v>
      </c>
      <c r="E480" s="52" t="s">
        <v>47</v>
      </c>
      <c r="F480" s="3"/>
      <c r="G480" s="46" t="s">
        <v>128</v>
      </c>
      <c r="H480" s="98">
        <f>H482</f>
        <v>2773</v>
      </c>
      <c r="I480" s="98">
        <f>I482</f>
        <v>2773</v>
      </c>
      <c r="J480" s="58">
        <f t="shared" si="30"/>
        <v>100</v>
      </c>
    </row>
    <row r="481" spans="1:10" ht="26.25">
      <c r="A481" s="3"/>
      <c r="B481" s="96"/>
      <c r="C481" s="16" t="s">
        <v>158</v>
      </c>
      <c r="D481" s="16" t="s">
        <v>136</v>
      </c>
      <c r="E481" s="21" t="s">
        <v>414</v>
      </c>
      <c r="F481" s="3"/>
      <c r="G481" s="115" t="s">
        <v>415</v>
      </c>
      <c r="H481" s="103">
        <f>H482</f>
        <v>2773</v>
      </c>
      <c r="I481" s="103">
        <f>I482</f>
        <v>2773</v>
      </c>
      <c r="J481" s="99">
        <f t="shared" si="30"/>
        <v>100</v>
      </c>
    </row>
    <row r="482" spans="1:10" ht="26.25">
      <c r="A482" s="3"/>
      <c r="B482" s="96"/>
      <c r="C482" s="16" t="s">
        <v>158</v>
      </c>
      <c r="D482" s="16" t="s">
        <v>136</v>
      </c>
      <c r="E482" s="80" t="s">
        <v>213</v>
      </c>
      <c r="F482" s="3"/>
      <c r="G482" s="158" t="s">
        <v>682</v>
      </c>
      <c r="H482" s="41">
        <f>H483</f>
        <v>2773</v>
      </c>
      <c r="I482" s="41">
        <f>I483</f>
        <v>2773</v>
      </c>
      <c r="J482" s="99">
        <f t="shared" si="30"/>
        <v>100</v>
      </c>
    </row>
    <row r="483" spans="1:10" ht="25.5">
      <c r="A483" s="3"/>
      <c r="B483" s="96"/>
      <c r="C483" s="16" t="s">
        <v>158</v>
      </c>
      <c r="D483" s="16" t="s">
        <v>136</v>
      </c>
      <c r="E483" s="80" t="s">
        <v>213</v>
      </c>
      <c r="F483" s="85" t="s">
        <v>412</v>
      </c>
      <c r="G483" s="102" t="s">
        <v>413</v>
      </c>
      <c r="H483" s="39">
        <f>2497.4+275.6</f>
        <v>2773</v>
      </c>
      <c r="I483" s="39">
        <f>2497.4+275.6</f>
        <v>2773</v>
      </c>
      <c r="J483" s="99">
        <f t="shared" si="30"/>
        <v>100</v>
      </c>
    </row>
    <row r="484" spans="1:10" ht="15.75">
      <c r="A484" s="3"/>
      <c r="B484" s="96"/>
      <c r="C484" s="35" t="s">
        <v>158</v>
      </c>
      <c r="D484" s="35" t="s">
        <v>141</v>
      </c>
      <c r="E484" s="35"/>
      <c r="F484" s="35"/>
      <c r="G484" s="45" t="s">
        <v>164</v>
      </c>
      <c r="H484" s="42">
        <f>H485+H493</f>
        <v>1928</v>
      </c>
      <c r="I484" s="42">
        <f>I485+I493</f>
        <v>1928</v>
      </c>
      <c r="J484" s="58">
        <f t="shared" si="30"/>
        <v>100</v>
      </c>
    </row>
    <row r="485" spans="1:10" ht="54" customHeight="1">
      <c r="A485" s="3"/>
      <c r="B485" s="96"/>
      <c r="C485" s="5" t="s">
        <v>158</v>
      </c>
      <c r="D485" s="5" t="s">
        <v>141</v>
      </c>
      <c r="E485" s="73" t="s">
        <v>45</v>
      </c>
      <c r="F485" s="3"/>
      <c r="G485" s="64" t="s">
        <v>542</v>
      </c>
      <c r="H485" s="59">
        <f>H486</f>
        <v>868</v>
      </c>
      <c r="I485" s="59">
        <f>I486</f>
        <v>868</v>
      </c>
      <c r="J485" s="65">
        <f t="shared" si="30"/>
        <v>100</v>
      </c>
    </row>
    <row r="486" spans="1:10" ht="26.25">
      <c r="A486" s="3"/>
      <c r="B486" s="96"/>
      <c r="C486" s="47" t="s">
        <v>158</v>
      </c>
      <c r="D486" s="47" t="s">
        <v>141</v>
      </c>
      <c r="E486" s="52" t="s">
        <v>47</v>
      </c>
      <c r="F486" s="16"/>
      <c r="G486" s="46" t="s">
        <v>128</v>
      </c>
      <c r="H486" s="98">
        <f>H487+H490</f>
        <v>868</v>
      </c>
      <c r="I486" s="98">
        <f>I487+I490</f>
        <v>868</v>
      </c>
      <c r="J486" s="58">
        <f t="shared" si="30"/>
        <v>100</v>
      </c>
    </row>
    <row r="487" spans="1:10" ht="39">
      <c r="A487" s="3"/>
      <c r="B487" s="96"/>
      <c r="C487" s="16" t="s">
        <v>158</v>
      </c>
      <c r="D487" s="16" t="s">
        <v>141</v>
      </c>
      <c r="E487" s="21" t="s">
        <v>409</v>
      </c>
      <c r="F487" s="16"/>
      <c r="G487" s="115" t="s">
        <v>410</v>
      </c>
      <c r="H487" s="103">
        <f>H488</f>
        <v>230</v>
      </c>
      <c r="I487" s="103">
        <f>I488</f>
        <v>230</v>
      </c>
      <c r="J487" s="99">
        <f t="shared" si="30"/>
        <v>100</v>
      </c>
    </row>
    <row r="488" spans="1:10" ht="38.25">
      <c r="A488" s="3"/>
      <c r="B488" s="96"/>
      <c r="C488" s="16" t="s">
        <v>158</v>
      </c>
      <c r="D488" s="16" t="s">
        <v>141</v>
      </c>
      <c r="E488" s="80" t="s">
        <v>214</v>
      </c>
      <c r="F488" s="16"/>
      <c r="G488" s="102" t="s">
        <v>239</v>
      </c>
      <c r="H488" s="41">
        <f>H489</f>
        <v>230</v>
      </c>
      <c r="I488" s="41">
        <f>I489</f>
        <v>230</v>
      </c>
      <c r="J488" s="99">
        <f t="shared" si="30"/>
        <v>100</v>
      </c>
    </row>
    <row r="489" spans="1:10" ht="15.75">
      <c r="A489" s="3"/>
      <c r="B489" s="96"/>
      <c r="C489" s="16" t="s">
        <v>158</v>
      </c>
      <c r="D489" s="16" t="s">
        <v>141</v>
      </c>
      <c r="E489" s="80" t="s">
        <v>214</v>
      </c>
      <c r="F489" s="16" t="s">
        <v>129</v>
      </c>
      <c r="G489" s="102" t="s">
        <v>130</v>
      </c>
      <c r="H489" s="41">
        <f>200+30</f>
        <v>230</v>
      </c>
      <c r="I489" s="41">
        <f>200+30</f>
        <v>230</v>
      </c>
      <c r="J489" s="99">
        <f t="shared" si="30"/>
        <v>100</v>
      </c>
    </row>
    <row r="490" spans="1:10" ht="51.75">
      <c r="A490" s="3"/>
      <c r="B490" s="96"/>
      <c r="C490" s="16" t="s">
        <v>158</v>
      </c>
      <c r="D490" s="16" t="s">
        <v>141</v>
      </c>
      <c r="E490" s="21" t="s">
        <v>411</v>
      </c>
      <c r="F490" s="16"/>
      <c r="G490" s="115" t="s">
        <v>461</v>
      </c>
      <c r="H490" s="41">
        <f>H491</f>
        <v>638</v>
      </c>
      <c r="I490" s="41">
        <f>I491</f>
        <v>638</v>
      </c>
      <c r="J490" s="99">
        <f t="shared" si="30"/>
        <v>100</v>
      </c>
    </row>
    <row r="491" spans="1:10" ht="63.75">
      <c r="A491" s="3"/>
      <c r="B491" s="96"/>
      <c r="C491" s="16" t="s">
        <v>158</v>
      </c>
      <c r="D491" s="16" t="s">
        <v>141</v>
      </c>
      <c r="E491" s="80" t="s">
        <v>215</v>
      </c>
      <c r="F491" s="16"/>
      <c r="G491" s="102" t="s">
        <v>3</v>
      </c>
      <c r="H491" s="41">
        <f>H492</f>
        <v>638</v>
      </c>
      <c r="I491" s="41">
        <f>I492</f>
        <v>638</v>
      </c>
      <c r="J491" s="99">
        <f t="shared" si="30"/>
        <v>100</v>
      </c>
    </row>
    <row r="492" spans="1:10" ht="77.25">
      <c r="A492" s="3"/>
      <c r="B492" s="96"/>
      <c r="C492" s="16" t="s">
        <v>158</v>
      </c>
      <c r="D492" s="16" t="s">
        <v>141</v>
      </c>
      <c r="E492" s="80" t="s">
        <v>215</v>
      </c>
      <c r="F492" s="16" t="s">
        <v>24</v>
      </c>
      <c r="G492" s="104" t="s">
        <v>666</v>
      </c>
      <c r="H492" s="39">
        <f>588+80-30</f>
        <v>638</v>
      </c>
      <c r="I492" s="39">
        <f>588+80-30</f>
        <v>638</v>
      </c>
      <c r="J492" s="99">
        <f t="shared" si="30"/>
        <v>100</v>
      </c>
    </row>
    <row r="493" spans="1:10" ht="63.75">
      <c r="A493" s="1"/>
      <c r="B493" s="25"/>
      <c r="C493" s="16" t="s">
        <v>158</v>
      </c>
      <c r="D493" s="16" t="s">
        <v>141</v>
      </c>
      <c r="E493" s="74">
        <v>400000000</v>
      </c>
      <c r="F493" s="16"/>
      <c r="G493" s="64" t="s">
        <v>520</v>
      </c>
      <c r="H493" s="62">
        <f t="shared" ref="H493:I496" si="31">H494</f>
        <v>1060</v>
      </c>
      <c r="I493" s="62">
        <f t="shared" si="31"/>
        <v>1060</v>
      </c>
      <c r="J493" s="62">
        <f t="shared" si="30"/>
        <v>100</v>
      </c>
    </row>
    <row r="494" spans="1:10" ht="127.5">
      <c r="A494" s="1"/>
      <c r="B494" s="25"/>
      <c r="C494" s="16" t="s">
        <v>158</v>
      </c>
      <c r="D494" s="16" t="s">
        <v>141</v>
      </c>
      <c r="E494" s="75">
        <v>430000000</v>
      </c>
      <c r="F494" s="16"/>
      <c r="G494" s="46" t="s">
        <v>459</v>
      </c>
      <c r="H494" s="98">
        <f t="shared" si="31"/>
        <v>1060</v>
      </c>
      <c r="I494" s="98">
        <f t="shared" si="31"/>
        <v>1060</v>
      </c>
      <c r="J494" s="58">
        <f t="shared" si="30"/>
        <v>100</v>
      </c>
    </row>
    <row r="495" spans="1:10" ht="54" customHeight="1">
      <c r="A495" s="1"/>
      <c r="B495" s="25"/>
      <c r="C495" s="16" t="s">
        <v>158</v>
      </c>
      <c r="D495" s="16" t="s">
        <v>141</v>
      </c>
      <c r="E495" s="74">
        <v>430100000</v>
      </c>
      <c r="F495" s="16"/>
      <c r="G495" s="101" t="s">
        <v>346</v>
      </c>
      <c r="H495" s="103">
        <f t="shared" si="31"/>
        <v>1060</v>
      </c>
      <c r="I495" s="103">
        <f t="shared" si="31"/>
        <v>1060</v>
      </c>
      <c r="J495" s="99">
        <f t="shared" si="30"/>
        <v>100</v>
      </c>
    </row>
    <row r="496" spans="1:10" ht="102">
      <c r="A496" s="3"/>
      <c r="B496" s="96"/>
      <c r="C496" s="16" t="s">
        <v>158</v>
      </c>
      <c r="D496" s="16" t="s">
        <v>141</v>
      </c>
      <c r="E496" s="80" t="s">
        <v>235</v>
      </c>
      <c r="F496" s="16"/>
      <c r="G496" s="102" t="s">
        <v>521</v>
      </c>
      <c r="H496" s="41">
        <f t="shared" si="31"/>
        <v>1060</v>
      </c>
      <c r="I496" s="41">
        <f t="shared" si="31"/>
        <v>1060</v>
      </c>
      <c r="J496" s="99">
        <f t="shared" si="30"/>
        <v>100</v>
      </c>
    </row>
    <row r="497" spans="1:10" ht="63.75">
      <c r="A497" s="3"/>
      <c r="B497" s="96"/>
      <c r="C497" s="16" t="s">
        <v>158</v>
      </c>
      <c r="D497" s="16" t="s">
        <v>141</v>
      </c>
      <c r="E497" s="80" t="s">
        <v>235</v>
      </c>
      <c r="F497" s="16" t="s">
        <v>15</v>
      </c>
      <c r="G497" s="102" t="s">
        <v>696</v>
      </c>
      <c r="H497" s="41">
        <f>600+300+160</f>
        <v>1060</v>
      </c>
      <c r="I497" s="41">
        <f>600+300+160</f>
        <v>1060</v>
      </c>
      <c r="J497" s="99">
        <f t="shared" si="30"/>
        <v>100</v>
      </c>
    </row>
    <row r="498" spans="1:10" ht="14.25">
      <c r="A498" s="1"/>
      <c r="B498" s="25"/>
      <c r="C498" s="35" t="s">
        <v>158</v>
      </c>
      <c r="D498" s="35" t="s">
        <v>142</v>
      </c>
      <c r="E498" s="35"/>
      <c r="F498" s="38"/>
      <c r="G498" s="50" t="s">
        <v>16</v>
      </c>
      <c r="H498" s="40">
        <f>H499</f>
        <v>23587.599999999999</v>
      </c>
      <c r="I498" s="40">
        <f>I499</f>
        <v>23190.1</v>
      </c>
      <c r="J498" s="42">
        <f t="shared" si="30"/>
        <v>98.3</v>
      </c>
    </row>
    <row r="499" spans="1:10" ht="54.75" customHeight="1">
      <c r="A499" s="1"/>
      <c r="B499" s="25"/>
      <c r="C499" s="5" t="s">
        <v>158</v>
      </c>
      <c r="D499" s="5" t="s">
        <v>142</v>
      </c>
      <c r="E499" s="73" t="s">
        <v>45</v>
      </c>
      <c r="F499" s="3"/>
      <c r="G499" s="64" t="s">
        <v>514</v>
      </c>
      <c r="H499" s="100">
        <f>H500</f>
        <v>23587.599999999999</v>
      </c>
      <c r="I499" s="100">
        <f>I500</f>
        <v>23190.1</v>
      </c>
      <c r="J499" s="65">
        <f t="shared" si="30"/>
        <v>98.3</v>
      </c>
    </row>
    <row r="500" spans="1:10" ht="25.5">
      <c r="A500" s="1"/>
      <c r="B500" s="25"/>
      <c r="C500" s="47" t="s">
        <v>158</v>
      </c>
      <c r="D500" s="47" t="s">
        <v>142</v>
      </c>
      <c r="E500" s="52" t="s">
        <v>46</v>
      </c>
      <c r="F500" s="35"/>
      <c r="G500" s="46" t="s">
        <v>131</v>
      </c>
      <c r="H500" s="98">
        <f>H501+H506+H511</f>
        <v>23587.599999999999</v>
      </c>
      <c r="I500" s="98">
        <f>I501+I506+I511</f>
        <v>23190.1</v>
      </c>
      <c r="J500" s="58">
        <f t="shared" si="30"/>
        <v>98.3</v>
      </c>
    </row>
    <row r="501" spans="1:10" ht="39">
      <c r="A501" s="153"/>
      <c r="B501" s="25"/>
      <c r="C501" s="16" t="s">
        <v>158</v>
      </c>
      <c r="D501" s="16" t="s">
        <v>142</v>
      </c>
      <c r="E501" s="21" t="s">
        <v>406</v>
      </c>
      <c r="F501" s="3"/>
      <c r="G501" s="115" t="s">
        <v>407</v>
      </c>
      <c r="H501" s="41">
        <f>H502+H504</f>
        <v>4175.8</v>
      </c>
      <c r="I501" s="41">
        <f>I502+I504</f>
        <v>4100</v>
      </c>
      <c r="J501" s="99">
        <f t="shared" si="30"/>
        <v>98.2</v>
      </c>
    </row>
    <row r="502" spans="1:10" ht="39">
      <c r="A502" s="153"/>
      <c r="B502" s="25"/>
      <c r="C502" s="16" t="s">
        <v>158</v>
      </c>
      <c r="D502" s="16" t="s">
        <v>142</v>
      </c>
      <c r="E502" s="21" t="s">
        <v>472</v>
      </c>
      <c r="F502" s="3"/>
      <c r="G502" s="167" t="s">
        <v>299</v>
      </c>
      <c r="H502" s="41">
        <f>H503</f>
        <v>820</v>
      </c>
      <c r="I502" s="41">
        <f>I503</f>
        <v>820</v>
      </c>
      <c r="J502" s="99">
        <f t="shared" si="30"/>
        <v>100</v>
      </c>
    </row>
    <row r="503" spans="1:10">
      <c r="A503" s="153"/>
      <c r="B503" s="25"/>
      <c r="C503" s="16" t="s">
        <v>158</v>
      </c>
      <c r="D503" s="16" t="s">
        <v>142</v>
      </c>
      <c r="E503" s="21" t="s">
        <v>472</v>
      </c>
      <c r="F503" s="85" t="s">
        <v>372</v>
      </c>
      <c r="G503" s="107" t="s">
        <v>371</v>
      </c>
      <c r="H503" s="41">
        <f>627.3+209.1+2.5-18.9</f>
        <v>820</v>
      </c>
      <c r="I503" s="41">
        <f>627.3+209.1+2.5-18.9</f>
        <v>820</v>
      </c>
      <c r="J503" s="99">
        <f t="shared" si="30"/>
        <v>100</v>
      </c>
    </row>
    <row r="504" spans="1:10" ht="38.25">
      <c r="A504" s="153"/>
      <c r="B504" s="25"/>
      <c r="C504" s="16" t="s">
        <v>158</v>
      </c>
      <c r="D504" s="16" t="s">
        <v>142</v>
      </c>
      <c r="E504" s="21" t="s">
        <v>760</v>
      </c>
      <c r="F504" s="85"/>
      <c r="G504" s="54" t="s">
        <v>761</v>
      </c>
      <c r="H504" s="41">
        <f>H505</f>
        <v>3355.8</v>
      </c>
      <c r="I504" s="41">
        <f>I505</f>
        <v>3280</v>
      </c>
      <c r="J504" s="99">
        <f t="shared" si="30"/>
        <v>97.7</v>
      </c>
    </row>
    <row r="505" spans="1:10">
      <c r="A505" s="153"/>
      <c r="B505" s="25"/>
      <c r="C505" s="16" t="s">
        <v>158</v>
      </c>
      <c r="D505" s="16" t="s">
        <v>142</v>
      </c>
      <c r="E505" s="21" t="s">
        <v>760</v>
      </c>
      <c r="F505" s="85" t="s">
        <v>372</v>
      </c>
      <c r="G505" s="107" t="s">
        <v>371</v>
      </c>
      <c r="H505" s="41">
        <v>3355.8</v>
      </c>
      <c r="I505" s="41">
        <v>3280</v>
      </c>
      <c r="J505" s="99">
        <f t="shared" si="30"/>
        <v>97.7</v>
      </c>
    </row>
    <row r="506" spans="1:10" ht="89.25">
      <c r="A506" s="1"/>
      <c r="B506" s="25"/>
      <c r="C506" s="16" t="s">
        <v>158</v>
      </c>
      <c r="D506" s="16" t="s">
        <v>142</v>
      </c>
      <c r="E506" s="21" t="s">
        <v>408</v>
      </c>
      <c r="F506" s="35"/>
      <c r="G506" s="101" t="s">
        <v>463</v>
      </c>
      <c r="H506" s="103">
        <f>H507+H509</f>
        <v>5872.5999999999995</v>
      </c>
      <c r="I506" s="103">
        <f>I507+I509</f>
        <v>5872.5999999999995</v>
      </c>
      <c r="J506" s="99">
        <f t="shared" si="30"/>
        <v>100</v>
      </c>
    </row>
    <row r="507" spans="1:10" ht="51">
      <c r="A507" s="1"/>
      <c r="B507" s="25"/>
      <c r="C507" s="16" t="s">
        <v>158</v>
      </c>
      <c r="D507" s="16" t="s">
        <v>142</v>
      </c>
      <c r="E507" s="80">
        <v>1310210820</v>
      </c>
      <c r="F507" s="16"/>
      <c r="G507" s="102" t="s">
        <v>238</v>
      </c>
      <c r="H507" s="39">
        <f>H508</f>
        <v>4893.7999999999993</v>
      </c>
      <c r="I507" s="39">
        <f>I508</f>
        <v>4893.7999999999993</v>
      </c>
      <c r="J507" s="99">
        <f t="shared" si="30"/>
        <v>100</v>
      </c>
    </row>
    <row r="508" spans="1:10">
      <c r="A508" s="1"/>
      <c r="B508" s="25"/>
      <c r="C508" s="16" t="s">
        <v>158</v>
      </c>
      <c r="D508" s="16" t="s">
        <v>142</v>
      </c>
      <c r="E508" s="80">
        <v>1310210820</v>
      </c>
      <c r="F508" s="85" t="s">
        <v>372</v>
      </c>
      <c r="G508" s="107" t="s">
        <v>371</v>
      </c>
      <c r="H508" s="39">
        <f>1957.6+2936.2</f>
        <v>4893.7999999999993</v>
      </c>
      <c r="I508" s="39">
        <f>1957.6+2936.2</f>
        <v>4893.7999999999993</v>
      </c>
      <c r="J508" s="99">
        <f t="shared" si="30"/>
        <v>100</v>
      </c>
    </row>
    <row r="509" spans="1:10" ht="38.25">
      <c r="A509" s="1"/>
      <c r="B509" s="25"/>
      <c r="C509" s="16" t="s">
        <v>158</v>
      </c>
      <c r="D509" s="16" t="s">
        <v>142</v>
      </c>
      <c r="E509" s="80" t="s">
        <v>601</v>
      </c>
      <c r="F509" s="16"/>
      <c r="G509" s="102" t="s">
        <v>484</v>
      </c>
      <c r="H509" s="39">
        <f>H510</f>
        <v>978.80000000000018</v>
      </c>
      <c r="I509" s="39">
        <f>I510</f>
        <v>978.80000000000018</v>
      </c>
      <c r="J509" s="99">
        <f t="shared" si="30"/>
        <v>100</v>
      </c>
    </row>
    <row r="510" spans="1:10">
      <c r="A510" s="1"/>
      <c r="B510" s="25"/>
      <c r="C510" s="16" t="s">
        <v>158</v>
      </c>
      <c r="D510" s="16" t="s">
        <v>142</v>
      </c>
      <c r="E510" s="80" t="s">
        <v>601</v>
      </c>
      <c r="F510" s="85" t="s">
        <v>372</v>
      </c>
      <c r="G510" s="107" t="s">
        <v>371</v>
      </c>
      <c r="H510" s="39">
        <f>4893.8-3915</f>
        <v>978.80000000000018</v>
      </c>
      <c r="I510" s="39">
        <f>4893.8-3915</f>
        <v>978.80000000000018</v>
      </c>
      <c r="J510" s="99">
        <f t="shared" si="30"/>
        <v>100</v>
      </c>
    </row>
    <row r="511" spans="1:10" ht="25.5" customHeight="1">
      <c r="A511" s="153"/>
      <c r="B511" s="25"/>
      <c r="C511" s="16" t="s">
        <v>158</v>
      </c>
      <c r="D511" s="16" t="s">
        <v>142</v>
      </c>
      <c r="E511" s="21" t="s">
        <v>460</v>
      </c>
      <c r="F511" s="85"/>
      <c r="G511" s="115" t="s">
        <v>536</v>
      </c>
      <c r="H511" s="41">
        <f>H512</f>
        <v>13539.2</v>
      </c>
      <c r="I511" s="41">
        <f>I512</f>
        <v>13217.5</v>
      </c>
      <c r="J511" s="99">
        <f t="shared" si="30"/>
        <v>97.6</v>
      </c>
    </row>
    <row r="512" spans="1:10" ht="51">
      <c r="A512" s="153"/>
      <c r="B512" s="25"/>
      <c r="C512" s="16" t="s">
        <v>158</v>
      </c>
      <c r="D512" s="16" t="s">
        <v>142</v>
      </c>
      <c r="E512" s="74" t="s">
        <v>535</v>
      </c>
      <c r="F512" s="16"/>
      <c r="G512" s="102" t="s">
        <v>500</v>
      </c>
      <c r="H512" s="99">
        <f>H513</f>
        <v>13539.2</v>
      </c>
      <c r="I512" s="99">
        <f>I513</f>
        <v>13217.5</v>
      </c>
      <c r="J512" s="99">
        <f t="shared" si="30"/>
        <v>97.6</v>
      </c>
    </row>
    <row r="513" spans="1:10" ht="38.25">
      <c r="A513" s="153"/>
      <c r="B513" s="25"/>
      <c r="C513" s="16" t="s">
        <v>158</v>
      </c>
      <c r="D513" s="16" t="s">
        <v>142</v>
      </c>
      <c r="E513" s="74" t="s">
        <v>535</v>
      </c>
      <c r="F513" s="85" t="s">
        <v>387</v>
      </c>
      <c r="G513" s="102" t="s">
        <v>373</v>
      </c>
      <c r="H513" s="99">
        <v>13539.2</v>
      </c>
      <c r="I513" s="99">
        <v>13217.5</v>
      </c>
      <c r="J513" s="99">
        <f t="shared" si="30"/>
        <v>97.6</v>
      </c>
    </row>
    <row r="514" spans="1:10" ht="19.5" customHeight="1">
      <c r="A514" s="1"/>
      <c r="B514" s="25"/>
      <c r="C514" s="4" t="s">
        <v>170</v>
      </c>
      <c r="D514" s="3"/>
      <c r="E514" s="3"/>
      <c r="F514" s="3"/>
      <c r="G514" s="49" t="s">
        <v>8</v>
      </c>
      <c r="H514" s="97">
        <f>H515</f>
        <v>3054.5</v>
      </c>
      <c r="I514" s="97">
        <f>I515</f>
        <v>3044</v>
      </c>
      <c r="J514" s="99">
        <f t="shared" si="30"/>
        <v>99.7</v>
      </c>
    </row>
    <row r="515" spans="1:10" ht="28.5">
      <c r="A515" s="1"/>
      <c r="B515" s="25"/>
      <c r="C515" s="35" t="s">
        <v>170</v>
      </c>
      <c r="D515" s="35" t="s">
        <v>142</v>
      </c>
      <c r="E515" s="35"/>
      <c r="F515" s="35"/>
      <c r="G515" s="50" t="s">
        <v>19</v>
      </c>
      <c r="H515" s="40">
        <f>H517</f>
        <v>3054.5</v>
      </c>
      <c r="I515" s="40">
        <f>I517</f>
        <v>3044</v>
      </c>
      <c r="J515" s="99">
        <f t="shared" si="30"/>
        <v>99.7</v>
      </c>
    </row>
    <row r="516" spans="1:10" ht="63.75">
      <c r="A516" s="1"/>
      <c r="B516" s="25"/>
      <c r="C516" s="16" t="s">
        <v>170</v>
      </c>
      <c r="D516" s="16" t="s">
        <v>142</v>
      </c>
      <c r="E516" s="74">
        <v>400000000</v>
      </c>
      <c r="F516" s="30"/>
      <c r="G516" s="64" t="s">
        <v>520</v>
      </c>
      <c r="H516" s="100">
        <f>H517</f>
        <v>3054.5</v>
      </c>
      <c r="I516" s="100">
        <f>I517</f>
        <v>3044</v>
      </c>
      <c r="J516" s="99">
        <f t="shared" si="30"/>
        <v>99.7</v>
      </c>
    </row>
    <row r="517" spans="1:10" ht="51">
      <c r="A517" s="1"/>
      <c r="B517" s="25"/>
      <c r="C517" s="47" t="s">
        <v>170</v>
      </c>
      <c r="D517" s="47" t="s">
        <v>142</v>
      </c>
      <c r="E517" s="75">
        <v>420000000</v>
      </c>
      <c r="F517" s="30"/>
      <c r="G517" s="46" t="s">
        <v>344</v>
      </c>
      <c r="H517" s="98">
        <f>H518</f>
        <v>3054.5</v>
      </c>
      <c r="I517" s="98">
        <f>I518</f>
        <v>3044</v>
      </c>
      <c r="J517" s="99">
        <f t="shared" si="30"/>
        <v>99.7</v>
      </c>
    </row>
    <row r="518" spans="1:10" ht="114.75">
      <c r="A518" s="1"/>
      <c r="B518" s="25"/>
      <c r="C518" s="16" t="s">
        <v>170</v>
      </c>
      <c r="D518" s="16" t="s">
        <v>142</v>
      </c>
      <c r="E518" s="74">
        <v>420100000</v>
      </c>
      <c r="F518" s="30"/>
      <c r="G518" s="101" t="s">
        <v>345</v>
      </c>
      <c r="H518" s="41">
        <f>H519+H521+H523+H525+H527+H529+H531</f>
        <v>3054.5</v>
      </c>
      <c r="I518" s="41">
        <f>I519+I521+I523+I525+I527+I529+I531</f>
        <v>3044</v>
      </c>
      <c r="J518" s="99">
        <f t="shared" si="30"/>
        <v>99.7</v>
      </c>
    </row>
    <row r="519" spans="1:10" ht="51">
      <c r="A519" s="1"/>
      <c r="B519" s="25"/>
      <c r="C519" s="16" t="s">
        <v>170</v>
      </c>
      <c r="D519" s="16" t="s">
        <v>142</v>
      </c>
      <c r="E519" s="74" t="s">
        <v>473</v>
      </c>
      <c r="F519" s="16"/>
      <c r="G519" s="102" t="s">
        <v>634</v>
      </c>
      <c r="H519" s="41">
        <f>H520</f>
        <v>300</v>
      </c>
      <c r="I519" s="41">
        <f>I520</f>
        <v>300</v>
      </c>
      <c r="J519" s="99">
        <f t="shared" si="30"/>
        <v>100</v>
      </c>
    </row>
    <row r="520" spans="1:10" ht="76.5">
      <c r="A520" s="1"/>
      <c r="B520" s="25"/>
      <c r="C520" s="16" t="s">
        <v>170</v>
      </c>
      <c r="D520" s="16" t="s">
        <v>142</v>
      </c>
      <c r="E520" s="74" t="s">
        <v>473</v>
      </c>
      <c r="F520" s="16" t="s">
        <v>24</v>
      </c>
      <c r="G520" s="104" t="s">
        <v>666</v>
      </c>
      <c r="H520" s="41">
        <v>300</v>
      </c>
      <c r="I520" s="41">
        <v>300</v>
      </c>
      <c r="J520" s="99">
        <f t="shared" si="30"/>
        <v>100</v>
      </c>
    </row>
    <row r="521" spans="1:10" ht="80.25" customHeight="1">
      <c r="A521" s="1"/>
      <c r="B521" s="25"/>
      <c r="C521" s="16" t="s">
        <v>170</v>
      </c>
      <c r="D521" s="16" t="s">
        <v>142</v>
      </c>
      <c r="E521" s="74" t="s">
        <v>124</v>
      </c>
      <c r="F521" s="30"/>
      <c r="G521" s="102" t="s">
        <v>241</v>
      </c>
      <c r="H521" s="41">
        <f>H522</f>
        <v>300</v>
      </c>
      <c r="I521" s="41">
        <f>I522</f>
        <v>299.60000000000002</v>
      </c>
      <c r="J521" s="99">
        <f t="shared" si="30"/>
        <v>99.9</v>
      </c>
    </row>
    <row r="522" spans="1:10" ht="38.25">
      <c r="A522" s="1"/>
      <c r="B522" s="25"/>
      <c r="C522" s="16" t="s">
        <v>170</v>
      </c>
      <c r="D522" s="16" t="s">
        <v>142</v>
      </c>
      <c r="E522" s="74" t="s">
        <v>124</v>
      </c>
      <c r="F522" s="85" t="s">
        <v>314</v>
      </c>
      <c r="G522" s="102" t="s">
        <v>315</v>
      </c>
      <c r="H522" s="41">
        <v>300</v>
      </c>
      <c r="I522" s="41">
        <v>299.60000000000002</v>
      </c>
      <c r="J522" s="99">
        <f t="shared" si="30"/>
        <v>99.9</v>
      </c>
    </row>
    <row r="523" spans="1:10" ht="76.5">
      <c r="A523" s="1"/>
      <c r="B523" s="25"/>
      <c r="C523" s="16" t="s">
        <v>170</v>
      </c>
      <c r="D523" s="16" t="s">
        <v>142</v>
      </c>
      <c r="E523" s="74" t="s">
        <v>233</v>
      </c>
      <c r="F523" s="30"/>
      <c r="G523" s="102" t="s">
        <v>303</v>
      </c>
      <c r="H523" s="41">
        <f>H524</f>
        <v>240</v>
      </c>
      <c r="I523" s="41">
        <f>I524</f>
        <v>229.9</v>
      </c>
      <c r="J523" s="99">
        <f t="shared" ref="J523:J584" si="32">ROUND((I523/H523*100),1)</f>
        <v>95.8</v>
      </c>
    </row>
    <row r="524" spans="1:10" ht="38.25">
      <c r="A524" s="1"/>
      <c r="B524" s="25"/>
      <c r="C524" s="16" t="s">
        <v>170</v>
      </c>
      <c r="D524" s="16" t="s">
        <v>142</v>
      </c>
      <c r="E524" s="74" t="s">
        <v>233</v>
      </c>
      <c r="F524" s="85" t="s">
        <v>314</v>
      </c>
      <c r="G524" s="102" t="s">
        <v>315</v>
      </c>
      <c r="H524" s="41">
        <v>240</v>
      </c>
      <c r="I524" s="41">
        <v>229.9</v>
      </c>
      <c r="J524" s="99">
        <f t="shared" si="32"/>
        <v>95.8</v>
      </c>
    </row>
    <row r="525" spans="1:10" ht="76.5">
      <c r="A525" s="1"/>
      <c r="B525" s="25"/>
      <c r="C525" s="16" t="s">
        <v>170</v>
      </c>
      <c r="D525" s="16" t="s">
        <v>142</v>
      </c>
      <c r="E525" s="74" t="s">
        <v>234</v>
      </c>
      <c r="F525" s="16"/>
      <c r="G525" s="102" t="s">
        <v>61</v>
      </c>
      <c r="H525" s="41">
        <f>H526</f>
        <v>1251.5999999999999</v>
      </c>
      <c r="I525" s="41">
        <f>I526</f>
        <v>1251.5999999999999</v>
      </c>
      <c r="J525" s="99">
        <f t="shared" si="32"/>
        <v>100</v>
      </c>
    </row>
    <row r="526" spans="1:10" ht="38.25">
      <c r="A526" s="1"/>
      <c r="B526" s="25"/>
      <c r="C526" s="16" t="s">
        <v>170</v>
      </c>
      <c r="D526" s="16" t="s">
        <v>142</v>
      </c>
      <c r="E526" s="74" t="s">
        <v>234</v>
      </c>
      <c r="F526" s="85" t="s">
        <v>314</v>
      </c>
      <c r="G526" s="102" t="s">
        <v>315</v>
      </c>
      <c r="H526" s="41">
        <f>951.6+300</f>
        <v>1251.5999999999999</v>
      </c>
      <c r="I526" s="41">
        <f>951.6+300</f>
        <v>1251.5999999999999</v>
      </c>
      <c r="J526" s="99">
        <f t="shared" si="32"/>
        <v>100</v>
      </c>
    </row>
    <row r="527" spans="1:10" ht="38.25">
      <c r="A527" s="153"/>
      <c r="B527" s="25"/>
      <c r="C527" s="16" t="s">
        <v>170</v>
      </c>
      <c r="D527" s="16" t="s">
        <v>142</v>
      </c>
      <c r="E527" s="74">
        <v>420110320</v>
      </c>
      <c r="F527" s="16"/>
      <c r="G527" s="102" t="s">
        <v>699</v>
      </c>
      <c r="H527" s="41">
        <f>H528</f>
        <v>877.9</v>
      </c>
      <c r="I527" s="41">
        <f>I528</f>
        <v>877.9</v>
      </c>
      <c r="J527" s="99">
        <f t="shared" si="32"/>
        <v>100</v>
      </c>
    </row>
    <row r="528" spans="1:10" ht="76.5">
      <c r="A528" s="153"/>
      <c r="B528" s="25"/>
      <c r="C528" s="16" t="s">
        <v>170</v>
      </c>
      <c r="D528" s="16" t="s">
        <v>142</v>
      </c>
      <c r="E528" s="74">
        <v>420110320</v>
      </c>
      <c r="F528" s="16" t="s">
        <v>24</v>
      </c>
      <c r="G528" s="104" t="s">
        <v>666</v>
      </c>
      <c r="H528" s="41">
        <f>873.1+4.8</f>
        <v>877.9</v>
      </c>
      <c r="I528" s="41">
        <f>873.1+4.8</f>
        <v>877.9</v>
      </c>
      <c r="J528" s="99">
        <f t="shared" si="32"/>
        <v>100</v>
      </c>
    </row>
    <row r="529" spans="1:10" ht="38.25">
      <c r="A529" s="153"/>
      <c r="B529" s="25"/>
      <c r="C529" s="16" t="s">
        <v>170</v>
      </c>
      <c r="D529" s="16" t="s">
        <v>142</v>
      </c>
      <c r="E529" s="74" t="s">
        <v>742</v>
      </c>
      <c r="F529" s="16"/>
      <c r="G529" s="102" t="s">
        <v>743</v>
      </c>
      <c r="H529" s="41">
        <f>H530</f>
        <v>10</v>
      </c>
      <c r="I529" s="41">
        <f>I530</f>
        <v>10</v>
      </c>
      <c r="J529" s="99">
        <f t="shared" si="32"/>
        <v>100</v>
      </c>
    </row>
    <row r="530" spans="1:10" ht="76.5">
      <c r="A530" s="153"/>
      <c r="B530" s="25"/>
      <c r="C530" s="16" t="s">
        <v>170</v>
      </c>
      <c r="D530" s="16" t="s">
        <v>142</v>
      </c>
      <c r="E530" s="74" t="s">
        <v>742</v>
      </c>
      <c r="F530" s="16" t="s">
        <v>24</v>
      </c>
      <c r="G530" s="104" t="s">
        <v>666</v>
      </c>
      <c r="H530" s="41">
        <v>10</v>
      </c>
      <c r="I530" s="41">
        <v>10</v>
      </c>
      <c r="J530" s="99">
        <f t="shared" si="32"/>
        <v>100</v>
      </c>
    </row>
    <row r="531" spans="1:10" ht="51">
      <c r="A531" s="153"/>
      <c r="B531" s="25"/>
      <c r="C531" s="16" t="s">
        <v>170</v>
      </c>
      <c r="D531" s="16" t="s">
        <v>142</v>
      </c>
      <c r="E531" s="74">
        <v>420110490</v>
      </c>
      <c r="F531" s="16"/>
      <c r="G531" s="160" t="s">
        <v>788</v>
      </c>
      <c r="H531" s="41">
        <f>H532</f>
        <v>75</v>
      </c>
      <c r="I531" s="41">
        <f>I532</f>
        <v>75</v>
      </c>
      <c r="J531" s="99">
        <f t="shared" si="32"/>
        <v>100</v>
      </c>
    </row>
    <row r="532" spans="1:10" ht="76.5">
      <c r="A532" s="153"/>
      <c r="B532" s="25"/>
      <c r="C532" s="16" t="s">
        <v>170</v>
      </c>
      <c r="D532" s="16" t="s">
        <v>142</v>
      </c>
      <c r="E532" s="74">
        <v>420110490</v>
      </c>
      <c r="F532" s="16" t="s">
        <v>24</v>
      </c>
      <c r="G532" s="104" t="s">
        <v>666</v>
      </c>
      <c r="H532" s="41">
        <v>75</v>
      </c>
      <c r="I532" s="41">
        <v>75</v>
      </c>
      <c r="J532" s="99">
        <f t="shared" si="32"/>
        <v>100</v>
      </c>
    </row>
    <row r="533" spans="1:10" s="8" customFormat="1" ht="69" customHeight="1">
      <c r="A533" s="3">
        <v>4</v>
      </c>
      <c r="B533" s="96">
        <v>929</v>
      </c>
      <c r="C533" s="13"/>
      <c r="D533" s="13"/>
      <c r="E533" s="13"/>
      <c r="F533" s="13"/>
      <c r="G533" s="14" t="s">
        <v>308</v>
      </c>
      <c r="H533" s="59">
        <f>H534+H674</f>
        <v>504829.4</v>
      </c>
      <c r="I533" s="59">
        <f>I534+I674</f>
        <v>490463.10000000009</v>
      </c>
      <c r="J533" s="206">
        <f t="shared" si="32"/>
        <v>97.2</v>
      </c>
    </row>
    <row r="534" spans="1:10" ht="15.75">
      <c r="A534" s="3"/>
      <c r="B534" s="96"/>
      <c r="C534" s="4" t="s">
        <v>152</v>
      </c>
      <c r="D534" s="3"/>
      <c r="E534" s="3"/>
      <c r="F534" s="3"/>
      <c r="G534" s="49" t="s">
        <v>153</v>
      </c>
      <c r="H534" s="59">
        <f>H535+H561+H601+H624+H631+H640</f>
        <v>492597.2</v>
      </c>
      <c r="I534" s="59">
        <f>I535+I561+I601+I624+I631+I640</f>
        <v>481861.10000000009</v>
      </c>
      <c r="J534" s="206">
        <f t="shared" si="32"/>
        <v>97.8</v>
      </c>
    </row>
    <row r="535" spans="1:10" s="37" customFormat="1" ht="14.25">
      <c r="A535" s="27"/>
      <c r="B535" s="70"/>
      <c r="C535" s="35" t="s">
        <v>152</v>
      </c>
      <c r="D535" s="35" t="s">
        <v>136</v>
      </c>
      <c r="E535" s="35"/>
      <c r="F535" s="35"/>
      <c r="G535" s="45" t="s">
        <v>155</v>
      </c>
      <c r="H535" s="58">
        <f>H536+H555</f>
        <v>137749.29999999999</v>
      </c>
      <c r="I535" s="58">
        <f>I536+I555</f>
        <v>134002.5</v>
      </c>
      <c r="J535" s="42">
        <f t="shared" si="32"/>
        <v>97.3</v>
      </c>
    </row>
    <row r="536" spans="1:10" s="37" customFormat="1" ht="51">
      <c r="A536" s="27"/>
      <c r="B536" s="70"/>
      <c r="C536" s="16" t="s">
        <v>152</v>
      </c>
      <c r="D536" s="16" t="s">
        <v>136</v>
      </c>
      <c r="E536" s="21" t="s">
        <v>118</v>
      </c>
      <c r="F536" s="35"/>
      <c r="G536" s="64" t="s">
        <v>543</v>
      </c>
      <c r="H536" s="62">
        <f>H537</f>
        <v>137315</v>
      </c>
      <c r="I536" s="62">
        <f>I537</f>
        <v>133568.20000000001</v>
      </c>
      <c r="J536" s="62">
        <f t="shared" si="32"/>
        <v>97.3</v>
      </c>
    </row>
    <row r="537" spans="1:10" s="37" customFormat="1" ht="25.5">
      <c r="A537" s="27"/>
      <c r="B537" s="70"/>
      <c r="C537" s="16" t="s">
        <v>152</v>
      </c>
      <c r="D537" s="16" t="s">
        <v>136</v>
      </c>
      <c r="E537" s="52" t="s">
        <v>119</v>
      </c>
      <c r="F537" s="35"/>
      <c r="G537" s="46" t="s">
        <v>59</v>
      </c>
      <c r="H537" s="58">
        <f>H538</f>
        <v>137315</v>
      </c>
      <c r="I537" s="58">
        <f>I538</f>
        <v>133568.20000000001</v>
      </c>
      <c r="J537" s="58">
        <f t="shared" si="32"/>
        <v>97.3</v>
      </c>
    </row>
    <row r="538" spans="1:10" s="37" customFormat="1" ht="27.75" customHeight="1">
      <c r="A538" s="27"/>
      <c r="B538" s="70"/>
      <c r="C538" s="56" t="s">
        <v>152</v>
      </c>
      <c r="D538" s="56" t="s">
        <v>136</v>
      </c>
      <c r="E538" s="21" t="s">
        <v>419</v>
      </c>
      <c r="F538" s="35"/>
      <c r="G538" s="101" t="s">
        <v>421</v>
      </c>
      <c r="H538" s="99">
        <f>H539+H541+H543+H545+H547+H549+H553+H551</f>
        <v>137315</v>
      </c>
      <c r="I538" s="99">
        <f>I539+I541+I543+I545+I547+I549+I553+I551</f>
        <v>133568.20000000001</v>
      </c>
      <c r="J538" s="99">
        <f t="shared" si="32"/>
        <v>97.3</v>
      </c>
    </row>
    <row r="539" spans="1:10" s="37" customFormat="1" ht="76.5">
      <c r="A539" s="27"/>
      <c r="B539" s="70"/>
      <c r="C539" s="56" t="s">
        <v>152</v>
      </c>
      <c r="D539" s="56" t="s">
        <v>136</v>
      </c>
      <c r="E539" s="57" t="s">
        <v>554</v>
      </c>
      <c r="F539" s="21"/>
      <c r="G539" s="102" t="s">
        <v>423</v>
      </c>
      <c r="H539" s="99">
        <f>H540</f>
        <v>56537.599999999999</v>
      </c>
      <c r="I539" s="99">
        <f>I540</f>
        <v>56537.599999999999</v>
      </c>
      <c r="J539" s="99">
        <f t="shared" si="32"/>
        <v>100</v>
      </c>
    </row>
    <row r="540" spans="1:10" s="37" customFormat="1" ht="14.25">
      <c r="A540" s="27"/>
      <c r="B540" s="70"/>
      <c r="C540" s="56" t="s">
        <v>152</v>
      </c>
      <c r="D540" s="56" t="s">
        <v>136</v>
      </c>
      <c r="E540" s="57" t="s">
        <v>554</v>
      </c>
      <c r="F540" s="21" t="s">
        <v>334</v>
      </c>
      <c r="G540" s="102" t="s">
        <v>333</v>
      </c>
      <c r="H540" s="99">
        <f>57777.4-209.3-280-108.3-37.5-150-19.6-555.1+120</f>
        <v>56537.599999999999</v>
      </c>
      <c r="I540" s="99">
        <f>57777.4-209.3-280-108.3-37.5-150-19.6-555.1+120</f>
        <v>56537.599999999999</v>
      </c>
      <c r="J540" s="99">
        <f t="shared" si="32"/>
        <v>100</v>
      </c>
    </row>
    <row r="541" spans="1:10" s="37" customFormat="1" ht="76.5">
      <c r="A541" s="27"/>
      <c r="B541" s="70"/>
      <c r="C541" s="56" t="s">
        <v>152</v>
      </c>
      <c r="D541" s="56" t="s">
        <v>136</v>
      </c>
      <c r="E541" s="57" t="s">
        <v>555</v>
      </c>
      <c r="F541" s="57"/>
      <c r="G541" s="102" t="s">
        <v>58</v>
      </c>
      <c r="H541" s="99">
        <f>H542</f>
        <v>75349.299999999988</v>
      </c>
      <c r="I541" s="99">
        <f>I542</f>
        <v>75558.899999999994</v>
      </c>
      <c r="J541" s="99">
        <f t="shared" si="32"/>
        <v>100.3</v>
      </c>
    </row>
    <row r="542" spans="1:10" s="37" customFormat="1" ht="14.25">
      <c r="A542" s="27"/>
      <c r="B542" s="70"/>
      <c r="C542" s="56" t="s">
        <v>152</v>
      </c>
      <c r="D542" s="56" t="s">
        <v>136</v>
      </c>
      <c r="E542" s="57" t="s">
        <v>555</v>
      </c>
      <c r="F542" s="85" t="s">
        <v>334</v>
      </c>
      <c r="G542" s="102" t="s">
        <v>333</v>
      </c>
      <c r="H542" s="200">
        <f>75558.9-209.6</f>
        <v>75349.299999999988</v>
      </c>
      <c r="I542" s="200">
        <v>75558.899999999994</v>
      </c>
      <c r="J542" s="200">
        <f t="shared" si="32"/>
        <v>100.3</v>
      </c>
    </row>
    <row r="543" spans="1:10" s="37" customFormat="1" ht="54.75" customHeight="1">
      <c r="A543" s="27"/>
      <c r="B543" s="70"/>
      <c r="C543" s="56" t="s">
        <v>152</v>
      </c>
      <c r="D543" s="56" t="s">
        <v>136</v>
      </c>
      <c r="E543" s="57" t="s">
        <v>559</v>
      </c>
      <c r="F543" s="35"/>
      <c r="G543" s="102" t="s">
        <v>503</v>
      </c>
      <c r="H543" s="99">
        <f>H544</f>
        <v>798.5</v>
      </c>
      <c r="I543" s="99">
        <f>I544</f>
        <v>798.5</v>
      </c>
      <c r="J543" s="99">
        <f t="shared" si="32"/>
        <v>100</v>
      </c>
    </row>
    <row r="544" spans="1:10" s="37" customFormat="1" ht="14.25">
      <c r="A544" s="27"/>
      <c r="B544" s="70"/>
      <c r="C544" s="56" t="s">
        <v>152</v>
      </c>
      <c r="D544" s="56" t="s">
        <v>136</v>
      </c>
      <c r="E544" s="57" t="s">
        <v>559</v>
      </c>
      <c r="F544" s="21" t="s">
        <v>334</v>
      </c>
      <c r="G544" s="102" t="s">
        <v>333</v>
      </c>
      <c r="H544" s="99">
        <f>30+768.5</f>
        <v>798.5</v>
      </c>
      <c r="I544" s="99">
        <f>30+768.5</f>
        <v>798.5</v>
      </c>
      <c r="J544" s="99">
        <f t="shared" si="32"/>
        <v>100</v>
      </c>
    </row>
    <row r="545" spans="1:10" s="37" customFormat="1" ht="63.75">
      <c r="A545" s="27"/>
      <c r="B545" s="70"/>
      <c r="C545" s="56" t="s">
        <v>152</v>
      </c>
      <c r="D545" s="56" t="s">
        <v>136</v>
      </c>
      <c r="E545" s="57" t="s">
        <v>725</v>
      </c>
      <c r="F545" s="21"/>
      <c r="G545" s="160" t="s">
        <v>726</v>
      </c>
      <c r="H545" s="99">
        <f>H546</f>
        <v>473.2</v>
      </c>
      <c r="I545" s="99">
        <f>I546</f>
        <v>473.2</v>
      </c>
      <c r="J545" s="99">
        <f t="shared" si="32"/>
        <v>100</v>
      </c>
    </row>
    <row r="546" spans="1:10" s="37" customFormat="1" ht="14.25">
      <c r="A546" s="27"/>
      <c r="B546" s="70"/>
      <c r="C546" s="56" t="s">
        <v>152</v>
      </c>
      <c r="D546" s="56" t="s">
        <v>136</v>
      </c>
      <c r="E546" s="57" t="s">
        <v>725</v>
      </c>
      <c r="F546" s="21" t="s">
        <v>334</v>
      </c>
      <c r="G546" s="102" t="s">
        <v>333</v>
      </c>
      <c r="H546" s="99">
        <f>280+84.9+108.3</f>
        <v>473.2</v>
      </c>
      <c r="I546" s="99">
        <f>280+84.9+108.3</f>
        <v>473.2</v>
      </c>
      <c r="J546" s="99">
        <f t="shared" si="32"/>
        <v>100</v>
      </c>
    </row>
    <row r="547" spans="1:10" s="37" customFormat="1" ht="51">
      <c r="A547" s="27"/>
      <c r="B547" s="70"/>
      <c r="C547" s="56" t="s">
        <v>152</v>
      </c>
      <c r="D547" s="56" t="s">
        <v>136</v>
      </c>
      <c r="E547" s="21" t="s">
        <v>744</v>
      </c>
      <c r="F547" s="35"/>
      <c r="G547" s="119" t="s">
        <v>745</v>
      </c>
      <c r="H547" s="99">
        <f>H548</f>
        <v>791.3</v>
      </c>
      <c r="I547" s="99">
        <f>I548</f>
        <v>0</v>
      </c>
      <c r="J547" s="99">
        <f t="shared" si="32"/>
        <v>0</v>
      </c>
    </row>
    <row r="548" spans="1:10" s="37" customFormat="1" ht="14.25">
      <c r="A548" s="27"/>
      <c r="B548" s="70"/>
      <c r="C548" s="56" t="s">
        <v>152</v>
      </c>
      <c r="D548" s="56" t="s">
        <v>136</v>
      </c>
      <c r="E548" s="21" t="s">
        <v>744</v>
      </c>
      <c r="F548" s="21" t="s">
        <v>334</v>
      </c>
      <c r="G548" s="102" t="s">
        <v>333</v>
      </c>
      <c r="H548" s="99">
        <v>791.3</v>
      </c>
      <c r="I548" s="99">
        <v>0</v>
      </c>
      <c r="J548" s="99">
        <f t="shared" si="32"/>
        <v>0</v>
      </c>
    </row>
    <row r="549" spans="1:10" s="37" customFormat="1" ht="51">
      <c r="A549" s="27"/>
      <c r="B549" s="70"/>
      <c r="C549" s="56" t="s">
        <v>152</v>
      </c>
      <c r="D549" s="56" t="s">
        <v>136</v>
      </c>
      <c r="E549" s="21" t="s">
        <v>786</v>
      </c>
      <c r="F549" s="21"/>
      <c r="G549" s="160" t="s">
        <v>787</v>
      </c>
      <c r="H549" s="99">
        <f>H550</f>
        <v>3165.1</v>
      </c>
      <c r="I549" s="99">
        <f>I550</f>
        <v>0</v>
      </c>
      <c r="J549" s="99">
        <f t="shared" si="32"/>
        <v>0</v>
      </c>
    </row>
    <row r="550" spans="1:10" s="37" customFormat="1" ht="14.25">
      <c r="A550" s="27"/>
      <c r="B550" s="70"/>
      <c r="C550" s="56" t="s">
        <v>152</v>
      </c>
      <c r="D550" s="56" t="s">
        <v>136</v>
      </c>
      <c r="E550" s="21" t="s">
        <v>786</v>
      </c>
      <c r="F550" s="21" t="s">
        <v>334</v>
      </c>
      <c r="G550" s="102" t="s">
        <v>333</v>
      </c>
      <c r="H550" s="99">
        <v>3165.1</v>
      </c>
      <c r="I550" s="41">
        <v>0</v>
      </c>
      <c r="J550" s="99">
        <f t="shared" si="32"/>
        <v>0</v>
      </c>
    </row>
    <row r="551" spans="1:10" s="37" customFormat="1" ht="42" customHeight="1">
      <c r="A551" s="27"/>
      <c r="B551" s="70"/>
      <c r="C551" s="94" t="s">
        <v>152</v>
      </c>
      <c r="D551" s="94" t="s">
        <v>136</v>
      </c>
      <c r="E551" s="57" t="s">
        <v>749</v>
      </c>
      <c r="F551" s="21"/>
      <c r="G551" s="102" t="s">
        <v>750</v>
      </c>
      <c r="H551" s="99">
        <f>H552</f>
        <v>50</v>
      </c>
      <c r="I551" s="99">
        <f>I552</f>
        <v>50</v>
      </c>
      <c r="J551" s="99">
        <f t="shared" si="32"/>
        <v>100</v>
      </c>
    </row>
    <row r="552" spans="1:10" s="37" customFormat="1" ht="14.25">
      <c r="A552" s="27"/>
      <c r="B552" s="70"/>
      <c r="C552" s="94" t="s">
        <v>152</v>
      </c>
      <c r="D552" s="94" t="s">
        <v>136</v>
      </c>
      <c r="E552" s="57" t="s">
        <v>749</v>
      </c>
      <c r="F552" s="21" t="s">
        <v>334</v>
      </c>
      <c r="G552" s="102" t="s">
        <v>333</v>
      </c>
      <c r="H552" s="99">
        <v>50</v>
      </c>
      <c r="I552" s="99">
        <v>50</v>
      </c>
      <c r="J552" s="99">
        <f t="shared" si="32"/>
        <v>100</v>
      </c>
    </row>
    <row r="553" spans="1:10" s="37" customFormat="1" ht="51">
      <c r="A553" s="27"/>
      <c r="B553" s="70"/>
      <c r="C553" s="56" t="s">
        <v>152</v>
      </c>
      <c r="D553" s="56" t="s">
        <v>136</v>
      </c>
      <c r="E553" s="57" t="s">
        <v>756</v>
      </c>
      <c r="F553" s="21"/>
      <c r="G553" s="119" t="s">
        <v>757</v>
      </c>
      <c r="H553" s="99">
        <f>H554</f>
        <v>150</v>
      </c>
      <c r="I553" s="99">
        <f>I554</f>
        <v>150</v>
      </c>
      <c r="J553" s="99">
        <f t="shared" si="32"/>
        <v>100</v>
      </c>
    </row>
    <row r="554" spans="1:10" s="37" customFormat="1" ht="14.25">
      <c r="A554" s="27"/>
      <c r="B554" s="70"/>
      <c r="C554" s="56" t="s">
        <v>152</v>
      </c>
      <c r="D554" s="56" t="s">
        <v>136</v>
      </c>
      <c r="E554" s="57" t="s">
        <v>756</v>
      </c>
      <c r="F554" s="21" t="s">
        <v>334</v>
      </c>
      <c r="G554" s="102" t="s">
        <v>333</v>
      </c>
      <c r="H554" s="99">
        <v>150</v>
      </c>
      <c r="I554" s="99">
        <v>150</v>
      </c>
      <c r="J554" s="99">
        <f t="shared" si="32"/>
        <v>100</v>
      </c>
    </row>
    <row r="555" spans="1:10" s="37" customFormat="1" ht="25.5">
      <c r="A555" s="27"/>
      <c r="B555" s="70"/>
      <c r="C555" s="56" t="s">
        <v>152</v>
      </c>
      <c r="D555" s="56" t="s">
        <v>136</v>
      </c>
      <c r="E555" s="87">
        <v>9900000000</v>
      </c>
      <c r="F555" s="73"/>
      <c r="G555" s="149" t="s">
        <v>195</v>
      </c>
      <c r="H555" s="100">
        <f>H556</f>
        <v>434.3</v>
      </c>
      <c r="I555" s="100">
        <f>I556</f>
        <v>434.3</v>
      </c>
      <c r="J555" s="62">
        <f t="shared" si="32"/>
        <v>100</v>
      </c>
    </row>
    <row r="556" spans="1:10" s="37" customFormat="1" ht="30.75" customHeight="1">
      <c r="A556" s="27"/>
      <c r="B556" s="70"/>
      <c r="C556" s="56" t="s">
        <v>152</v>
      </c>
      <c r="D556" s="56" t="s">
        <v>136</v>
      </c>
      <c r="E556" s="85" t="s">
        <v>31</v>
      </c>
      <c r="F556" s="85"/>
      <c r="G556" s="104" t="s">
        <v>53</v>
      </c>
      <c r="H556" s="98">
        <f>H557+H559</f>
        <v>434.3</v>
      </c>
      <c r="I556" s="98">
        <f>I557+I559</f>
        <v>434.3</v>
      </c>
      <c r="J556" s="58">
        <f t="shared" si="32"/>
        <v>100</v>
      </c>
    </row>
    <row r="557" spans="1:10" s="37" customFormat="1" ht="25.5">
      <c r="A557" s="27"/>
      <c r="B557" s="70"/>
      <c r="C557" s="56" t="s">
        <v>152</v>
      </c>
      <c r="D557" s="56" t="s">
        <v>136</v>
      </c>
      <c r="E557" s="85" t="s">
        <v>797</v>
      </c>
      <c r="F557" s="16"/>
      <c r="G557" s="54" t="s">
        <v>798</v>
      </c>
      <c r="H557" s="103">
        <f>H558</f>
        <v>217.10000000000002</v>
      </c>
      <c r="I557" s="103">
        <f>I558</f>
        <v>217.10000000000002</v>
      </c>
      <c r="J557" s="99">
        <f t="shared" si="32"/>
        <v>100</v>
      </c>
    </row>
    <row r="558" spans="1:10" s="37" customFormat="1" ht="14.25">
      <c r="A558" s="27"/>
      <c r="B558" s="70"/>
      <c r="C558" s="56" t="s">
        <v>152</v>
      </c>
      <c r="D558" s="56" t="s">
        <v>136</v>
      </c>
      <c r="E558" s="85" t="s">
        <v>797</v>
      </c>
      <c r="F558" s="85" t="s">
        <v>334</v>
      </c>
      <c r="G558" s="102" t="s">
        <v>333</v>
      </c>
      <c r="H558" s="103">
        <f>68.8+148.3</f>
        <v>217.10000000000002</v>
      </c>
      <c r="I558" s="103">
        <f>68.8+148.3</f>
        <v>217.10000000000002</v>
      </c>
      <c r="J558" s="99">
        <f t="shared" si="32"/>
        <v>100</v>
      </c>
    </row>
    <row r="559" spans="1:10" s="37" customFormat="1" ht="25.5">
      <c r="A559" s="27"/>
      <c r="B559" s="70"/>
      <c r="C559" s="56" t="s">
        <v>152</v>
      </c>
      <c r="D559" s="56" t="s">
        <v>136</v>
      </c>
      <c r="E559" s="85" t="s">
        <v>729</v>
      </c>
      <c r="F559" s="16"/>
      <c r="G559" s="54" t="s">
        <v>468</v>
      </c>
      <c r="H559" s="41">
        <f>SUM(H560:H560)</f>
        <v>217.2</v>
      </c>
      <c r="I559" s="41">
        <f>SUM(I560:I560)</f>
        <v>217.2</v>
      </c>
      <c r="J559" s="99">
        <f t="shared" si="32"/>
        <v>100</v>
      </c>
    </row>
    <row r="560" spans="1:10" s="37" customFormat="1" ht="14.25">
      <c r="A560" s="27"/>
      <c r="B560" s="70"/>
      <c r="C560" s="56" t="s">
        <v>152</v>
      </c>
      <c r="D560" s="56" t="s">
        <v>136</v>
      </c>
      <c r="E560" s="85" t="s">
        <v>729</v>
      </c>
      <c r="F560" s="85" t="s">
        <v>334</v>
      </c>
      <c r="G560" s="102" t="s">
        <v>333</v>
      </c>
      <c r="H560" s="41">
        <f>10.9+37.5+19.6+149.2</f>
        <v>217.2</v>
      </c>
      <c r="I560" s="41">
        <f>10.9+37.5+19.6+149.2</f>
        <v>217.2</v>
      </c>
      <c r="J560" s="99">
        <f t="shared" si="32"/>
        <v>100</v>
      </c>
    </row>
    <row r="561" spans="1:10" s="37" customFormat="1" ht="14.25">
      <c r="A561" s="27"/>
      <c r="B561" s="70"/>
      <c r="C561" s="35" t="s">
        <v>152</v>
      </c>
      <c r="D561" s="35" t="s">
        <v>137</v>
      </c>
      <c r="E561" s="35"/>
      <c r="F561" s="35"/>
      <c r="G561" s="45" t="s">
        <v>156</v>
      </c>
      <c r="H561" s="42">
        <f>H562+H593</f>
        <v>311525.90000000002</v>
      </c>
      <c r="I561" s="42">
        <f>I562+I593</f>
        <v>307308.10000000003</v>
      </c>
      <c r="J561" s="42">
        <f t="shared" si="32"/>
        <v>98.6</v>
      </c>
    </row>
    <row r="562" spans="1:10" s="37" customFormat="1" ht="51.75">
      <c r="A562" s="27"/>
      <c r="B562" s="70"/>
      <c r="C562" s="16" t="s">
        <v>152</v>
      </c>
      <c r="D562" s="16" t="s">
        <v>137</v>
      </c>
      <c r="E562" s="21" t="s">
        <v>118</v>
      </c>
      <c r="F562" s="35"/>
      <c r="G562" s="64" t="s">
        <v>543</v>
      </c>
      <c r="H562" s="65">
        <f t="shared" ref="H562:I562" si="33">H563</f>
        <v>310503.40000000002</v>
      </c>
      <c r="I562" s="65">
        <f t="shared" si="33"/>
        <v>306294.90000000002</v>
      </c>
      <c r="J562" s="65">
        <f t="shared" si="32"/>
        <v>98.6</v>
      </c>
    </row>
    <row r="563" spans="1:10" s="37" customFormat="1" ht="25.5">
      <c r="A563" s="27"/>
      <c r="B563" s="70"/>
      <c r="C563" s="47" t="s">
        <v>152</v>
      </c>
      <c r="D563" s="47" t="s">
        <v>137</v>
      </c>
      <c r="E563" s="52" t="s">
        <v>119</v>
      </c>
      <c r="F563" s="35"/>
      <c r="G563" s="46" t="s">
        <v>59</v>
      </c>
      <c r="H563" s="58">
        <f>H564+H567+H586</f>
        <v>310503.40000000002</v>
      </c>
      <c r="I563" s="58">
        <f>I564+I567+I586</f>
        <v>306294.90000000002</v>
      </c>
      <c r="J563" s="58">
        <f t="shared" si="32"/>
        <v>98.6</v>
      </c>
    </row>
    <row r="564" spans="1:10" s="37" customFormat="1" ht="25.5">
      <c r="A564" s="27"/>
      <c r="B564" s="70"/>
      <c r="C564" s="56" t="s">
        <v>152</v>
      </c>
      <c r="D564" s="94" t="s">
        <v>137</v>
      </c>
      <c r="E564" s="21" t="s">
        <v>549</v>
      </c>
      <c r="F564" s="35"/>
      <c r="G564" s="101" t="s">
        <v>418</v>
      </c>
      <c r="H564" s="99">
        <f>H565</f>
        <v>5364.2</v>
      </c>
      <c r="I564" s="99">
        <f>I565</f>
        <v>4865.3999999999996</v>
      </c>
      <c r="J564" s="99">
        <f t="shared" si="32"/>
        <v>90.7</v>
      </c>
    </row>
    <row r="565" spans="1:10" s="37" customFormat="1" ht="53.25" customHeight="1">
      <c r="A565" s="27"/>
      <c r="B565" s="70"/>
      <c r="C565" s="56" t="s">
        <v>152</v>
      </c>
      <c r="D565" s="94" t="s">
        <v>137</v>
      </c>
      <c r="E565" s="57" t="s">
        <v>793</v>
      </c>
      <c r="F565" s="21"/>
      <c r="G565" s="102" t="s">
        <v>794</v>
      </c>
      <c r="H565" s="99">
        <f>H566</f>
        <v>5364.2</v>
      </c>
      <c r="I565" s="99">
        <f>I566</f>
        <v>4865.3999999999996</v>
      </c>
      <c r="J565" s="99">
        <f t="shared" si="32"/>
        <v>90.7</v>
      </c>
    </row>
    <row r="566" spans="1:10" s="37" customFormat="1" ht="14.25">
      <c r="A566" s="27"/>
      <c r="B566" s="70"/>
      <c r="C566" s="56" t="s">
        <v>152</v>
      </c>
      <c r="D566" s="94" t="s">
        <v>137</v>
      </c>
      <c r="E566" s="57" t="s">
        <v>793</v>
      </c>
      <c r="F566" s="21" t="s">
        <v>334</v>
      </c>
      <c r="G566" s="102" t="s">
        <v>333</v>
      </c>
      <c r="H566" s="99">
        <f>5338.2+26</f>
        <v>5364.2</v>
      </c>
      <c r="I566" s="41">
        <v>4865.3999999999996</v>
      </c>
      <c r="J566" s="99">
        <f t="shared" si="32"/>
        <v>90.7</v>
      </c>
    </row>
    <row r="567" spans="1:10" s="37" customFormat="1" ht="27.75" customHeight="1">
      <c r="A567" s="27"/>
      <c r="B567" s="70"/>
      <c r="C567" s="16" t="s">
        <v>152</v>
      </c>
      <c r="D567" s="16" t="s">
        <v>137</v>
      </c>
      <c r="E567" s="21" t="s">
        <v>419</v>
      </c>
      <c r="F567" s="35"/>
      <c r="G567" s="101" t="s">
        <v>421</v>
      </c>
      <c r="H567" s="99">
        <f>H568+H570+H572+H574+H576+H578+H580+H582+H584</f>
        <v>294157.2</v>
      </c>
      <c r="I567" s="99">
        <f>I568+I570+I572+I574+I576+I578+I580+I582+I584</f>
        <v>291456.3</v>
      </c>
      <c r="J567" s="99">
        <f t="shared" si="32"/>
        <v>99.1</v>
      </c>
    </row>
    <row r="568" spans="1:10" s="37" customFormat="1" ht="63.75">
      <c r="A568" s="27"/>
      <c r="B568" s="70"/>
      <c r="C568" s="56" t="s">
        <v>152</v>
      </c>
      <c r="D568" s="94" t="s">
        <v>137</v>
      </c>
      <c r="E568" s="21" t="s">
        <v>551</v>
      </c>
      <c r="F568" s="35"/>
      <c r="G568" s="119" t="s">
        <v>422</v>
      </c>
      <c r="H568" s="99">
        <f>H569</f>
        <v>961.09999999999991</v>
      </c>
      <c r="I568" s="99">
        <f>I569</f>
        <v>527.1</v>
      </c>
      <c r="J568" s="99">
        <f t="shared" si="32"/>
        <v>54.8</v>
      </c>
    </row>
    <row r="569" spans="1:10" s="37" customFormat="1" ht="14.25">
      <c r="A569" s="27"/>
      <c r="B569" s="70"/>
      <c r="C569" s="56" t="s">
        <v>152</v>
      </c>
      <c r="D569" s="94" t="s">
        <v>137</v>
      </c>
      <c r="E569" s="21" t="s">
        <v>551</v>
      </c>
      <c r="F569" s="21" t="s">
        <v>334</v>
      </c>
      <c r="G569" s="102" t="s">
        <v>333</v>
      </c>
      <c r="H569" s="99">
        <f>224+0.1+311.2+1790.3-1364.5</f>
        <v>961.09999999999991</v>
      </c>
      <c r="I569" s="99">
        <v>527.1</v>
      </c>
      <c r="J569" s="99">
        <f t="shared" si="32"/>
        <v>54.8</v>
      </c>
    </row>
    <row r="570" spans="1:10" s="37" customFormat="1" ht="51">
      <c r="A570" s="27"/>
      <c r="B570" s="70"/>
      <c r="C570" s="16" t="s">
        <v>152</v>
      </c>
      <c r="D570" s="16" t="s">
        <v>137</v>
      </c>
      <c r="E570" s="21" t="s">
        <v>704</v>
      </c>
      <c r="F570" s="57"/>
      <c r="G570" s="119" t="s">
        <v>705</v>
      </c>
      <c r="H570" s="99">
        <f>H571</f>
        <v>2598.8000000000002</v>
      </c>
      <c r="I570" s="99">
        <f>I571</f>
        <v>2108.4</v>
      </c>
      <c r="J570" s="99">
        <f t="shared" si="32"/>
        <v>81.099999999999994</v>
      </c>
    </row>
    <row r="571" spans="1:10" s="37" customFormat="1" ht="14.25">
      <c r="A571" s="27"/>
      <c r="B571" s="70"/>
      <c r="C571" s="16" t="s">
        <v>152</v>
      </c>
      <c r="D571" s="16" t="s">
        <v>137</v>
      </c>
      <c r="E571" s="21" t="s">
        <v>704</v>
      </c>
      <c r="F571" s="21" t="s">
        <v>334</v>
      </c>
      <c r="G571" s="102" t="s">
        <v>333</v>
      </c>
      <c r="H571" s="99">
        <f>896+1702.8</f>
        <v>2598.8000000000002</v>
      </c>
      <c r="I571" s="41">
        <v>2108.4</v>
      </c>
      <c r="J571" s="99">
        <f t="shared" si="32"/>
        <v>81.099999999999994</v>
      </c>
    </row>
    <row r="572" spans="1:10" s="37" customFormat="1" ht="76.5">
      <c r="A572" s="27"/>
      <c r="B572" s="70"/>
      <c r="C572" s="16" t="s">
        <v>152</v>
      </c>
      <c r="D572" s="16" t="s">
        <v>137</v>
      </c>
      <c r="E572" s="57" t="s">
        <v>552</v>
      </c>
      <c r="F572" s="21"/>
      <c r="G572" s="102" t="s">
        <v>185</v>
      </c>
      <c r="H572" s="99">
        <f>H573</f>
        <v>13082.199999999999</v>
      </c>
      <c r="I572" s="99">
        <f>I573</f>
        <v>11817.4</v>
      </c>
      <c r="J572" s="99">
        <f t="shared" si="32"/>
        <v>90.3</v>
      </c>
    </row>
    <row r="573" spans="1:10" s="37" customFormat="1" ht="14.25">
      <c r="A573" s="27"/>
      <c r="B573" s="70"/>
      <c r="C573" s="16" t="s">
        <v>152</v>
      </c>
      <c r="D573" s="16" t="s">
        <v>137</v>
      </c>
      <c r="E573" s="57" t="s">
        <v>552</v>
      </c>
      <c r="F573" s="21" t="s">
        <v>334</v>
      </c>
      <c r="G573" s="102" t="s">
        <v>333</v>
      </c>
      <c r="H573" s="99">
        <f>13303.3-221.1</f>
        <v>13082.199999999999</v>
      </c>
      <c r="I573" s="99">
        <v>11817.4</v>
      </c>
      <c r="J573" s="99">
        <f t="shared" si="32"/>
        <v>90.3</v>
      </c>
    </row>
    <row r="574" spans="1:10" s="37" customFormat="1" ht="63.75">
      <c r="A574" s="27"/>
      <c r="B574" s="70"/>
      <c r="C574" s="16" t="s">
        <v>152</v>
      </c>
      <c r="D574" s="16" t="s">
        <v>137</v>
      </c>
      <c r="E574" s="57" t="s">
        <v>553</v>
      </c>
      <c r="F574" s="21"/>
      <c r="G574" s="102" t="s">
        <v>430</v>
      </c>
      <c r="H574" s="99">
        <f>H575</f>
        <v>69347.7</v>
      </c>
      <c r="I574" s="99">
        <f>I575</f>
        <v>69347.7</v>
      </c>
      <c r="J574" s="99">
        <f t="shared" si="32"/>
        <v>100</v>
      </c>
    </row>
    <row r="575" spans="1:10" s="37" customFormat="1" ht="14.25">
      <c r="A575" s="27"/>
      <c r="B575" s="70"/>
      <c r="C575" s="16" t="s">
        <v>152</v>
      </c>
      <c r="D575" s="16" t="s">
        <v>137</v>
      </c>
      <c r="E575" s="57" t="s">
        <v>553</v>
      </c>
      <c r="F575" s="21" t="s">
        <v>334</v>
      </c>
      <c r="G575" s="102" t="s">
        <v>333</v>
      </c>
      <c r="H575" s="99">
        <f>69366.5-18.8</f>
        <v>69347.7</v>
      </c>
      <c r="I575" s="99">
        <f>69366.5-18.8</f>
        <v>69347.7</v>
      </c>
      <c r="J575" s="99">
        <f t="shared" si="32"/>
        <v>100</v>
      </c>
    </row>
    <row r="576" spans="1:10" s="37" customFormat="1" ht="63.75">
      <c r="A576" s="27"/>
      <c r="B576" s="70"/>
      <c r="C576" s="16" t="s">
        <v>152</v>
      </c>
      <c r="D576" s="16" t="s">
        <v>137</v>
      </c>
      <c r="E576" s="57" t="s">
        <v>557</v>
      </c>
      <c r="F576" s="21"/>
      <c r="G576" s="102" t="s">
        <v>431</v>
      </c>
      <c r="H576" s="99">
        <f>H577</f>
        <v>202477.19999999998</v>
      </c>
      <c r="I576" s="99">
        <f>I577</f>
        <v>203030.3</v>
      </c>
      <c r="J576" s="99">
        <f t="shared" si="32"/>
        <v>100.3</v>
      </c>
    </row>
    <row r="577" spans="1:10" s="37" customFormat="1" ht="14.25">
      <c r="A577" s="27"/>
      <c r="B577" s="70"/>
      <c r="C577" s="16" t="s">
        <v>152</v>
      </c>
      <c r="D577" s="16" t="s">
        <v>137</v>
      </c>
      <c r="E577" s="57" t="s">
        <v>557</v>
      </c>
      <c r="F577" s="21" t="s">
        <v>334</v>
      </c>
      <c r="G577" s="102" t="s">
        <v>333</v>
      </c>
      <c r="H577" s="99">
        <f>203030.3-553.1</f>
        <v>202477.19999999998</v>
      </c>
      <c r="I577" s="99">
        <v>203030.3</v>
      </c>
      <c r="J577" s="99">
        <f t="shared" si="32"/>
        <v>100.3</v>
      </c>
    </row>
    <row r="578" spans="1:10" s="37" customFormat="1" ht="38.25">
      <c r="A578" s="27"/>
      <c r="B578" s="70"/>
      <c r="C578" s="16" t="s">
        <v>152</v>
      </c>
      <c r="D578" s="16" t="s">
        <v>137</v>
      </c>
      <c r="E578" s="57" t="s">
        <v>561</v>
      </c>
      <c r="F578" s="21"/>
      <c r="G578" s="102" t="s">
        <v>476</v>
      </c>
      <c r="H578" s="99">
        <f>H579</f>
        <v>4408.8</v>
      </c>
      <c r="I578" s="99">
        <f>I579</f>
        <v>3350.7</v>
      </c>
      <c r="J578" s="99">
        <f t="shared" si="32"/>
        <v>76</v>
      </c>
    </row>
    <row r="579" spans="1:10" s="37" customFormat="1" ht="14.25">
      <c r="A579" s="27"/>
      <c r="B579" s="70"/>
      <c r="C579" s="16" t="s">
        <v>152</v>
      </c>
      <c r="D579" s="16" t="s">
        <v>137</v>
      </c>
      <c r="E579" s="57" t="s">
        <v>561</v>
      </c>
      <c r="F579" s="21" t="s">
        <v>334</v>
      </c>
      <c r="G579" s="102" t="s">
        <v>333</v>
      </c>
      <c r="H579" s="99">
        <f>4408.8-1058.1+1058.1</f>
        <v>4408.8</v>
      </c>
      <c r="I579" s="41">
        <v>3350.7</v>
      </c>
      <c r="J579" s="99">
        <f t="shared" si="32"/>
        <v>76</v>
      </c>
    </row>
    <row r="580" spans="1:10" s="37" customFormat="1" ht="41.25" customHeight="1">
      <c r="A580" s="27"/>
      <c r="B580" s="70"/>
      <c r="C580" s="16" t="s">
        <v>152</v>
      </c>
      <c r="D580" s="16" t="s">
        <v>137</v>
      </c>
      <c r="E580" s="57" t="s">
        <v>749</v>
      </c>
      <c r="F580" s="21"/>
      <c r="G580" s="54" t="s">
        <v>750</v>
      </c>
      <c r="H580" s="99">
        <f>H581</f>
        <v>50</v>
      </c>
      <c r="I580" s="99">
        <f>I581</f>
        <v>50</v>
      </c>
      <c r="J580" s="99">
        <f t="shared" si="32"/>
        <v>100</v>
      </c>
    </row>
    <row r="581" spans="1:10" s="37" customFormat="1" ht="14.25">
      <c r="A581" s="27"/>
      <c r="B581" s="70"/>
      <c r="C581" s="16" t="s">
        <v>152</v>
      </c>
      <c r="D581" s="16" t="s">
        <v>137</v>
      </c>
      <c r="E581" s="57" t="s">
        <v>749</v>
      </c>
      <c r="F581" s="21" t="s">
        <v>334</v>
      </c>
      <c r="G581" s="102" t="s">
        <v>333</v>
      </c>
      <c r="H581" s="99">
        <v>50</v>
      </c>
      <c r="I581" s="99">
        <v>50</v>
      </c>
      <c r="J581" s="99">
        <f t="shared" si="32"/>
        <v>100</v>
      </c>
    </row>
    <row r="582" spans="1:10" s="37" customFormat="1" ht="63.75">
      <c r="A582" s="27"/>
      <c r="B582" s="70"/>
      <c r="C582" s="16" t="s">
        <v>152</v>
      </c>
      <c r="D582" s="16" t="s">
        <v>137</v>
      </c>
      <c r="E582" s="57" t="s">
        <v>727</v>
      </c>
      <c r="F582" s="57"/>
      <c r="G582" s="160" t="s">
        <v>728</v>
      </c>
      <c r="H582" s="99">
        <f>H583</f>
        <v>655</v>
      </c>
      <c r="I582" s="99">
        <f>I583</f>
        <v>655</v>
      </c>
      <c r="J582" s="99">
        <f t="shared" si="32"/>
        <v>100</v>
      </c>
    </row>
    <row r="583" spans="1:10" s="37" customFormat="1" ht="14.25">
      <c r="A583" s="27"/>
      <c r="B583" s="70"/>
      <c r="C583" s="16" t="s">
        <v>152</v>
      </c>
      <c r="D583" s="16" t="s">
        <v>137</v>
      </c>
      <c r="E583" s="57" t="s">
        <v>727</v>
      </c>
      <c r="F583" s="21" t="s">
        <v>334</v>
      </c>
      <c r="G583" s="102" t="s">
        <v>333</v>
      </c>
      <c r="H583" s="99">
        <f>205+450</f>
        <v>655</v>
      </c>
      <c r="I583" s="99">
        <f>205+450</f>
        <v>655</v>
      </c>
      <c r="J583" s="99">
        <f t="shared" si="32"/>
        <v>100</v>
      </c>
    </row>
    <row r="584" spans="1:10" s="37" customFormat="1" ht="76.5">
      <c r="A584" s="27"/>
      <c r="B584" s="70"/>
      <c r="C584" s="16" t="s">
        <v>152</v>
      </c>
      <c r="D584" s="16" t="s">
        <v>137</v>
      </c>
      <c r="E584" s="57" t="s">
        <v>642</v>
      </c>
      <c r="F584" s="57"/>
      <c r="G584" s="102" t="s">
        <v>697</v>
      </c>
      <c r="H584" s="99">
        <f>H585</f>
        <v>576.4</v>
      </c>
      <c r="I584" s="99">
        <f>I585</f>
        <v>569.70000000000005</v>
      </c>
      <c r="J584" s="99">
        <f t="shared" si="32"/>
        <v>98.8</v>
      </c>
    </row>
    <row r="585" spans="1:10" s="37" customFormat="1" ht="14.25">
      <c r="A585" s="27"/>
      <c r="B585" s="70"/>
      <c r="C585" s="16" t="s">
        <v>152</v>
      </c>
      <c r="D585" s="16" t="s">
        <v>137</v>
      </c>
      <c r="E585" s="57" t="s">
        <v>642</v>
      </c>
      <c r="F585" s="21" t="s">
        <v>334</v>
      </c>
      <c r="G585" s="102" t="s">
        <v>333</v>
      </c>
      <c r="H585" s="99">
        <f>50+120+240+166.4</f>
        <v>576.4</v>
      </c>
      <c r="I585" s="41">
        <v>569.70000000000005</v>
      </c>
      <c r="J585" s="99">
        <f t="shared" ref="J585:J609" si="34">ROUND((I585/H585*100),1)</f>
        <v>98.8</v>
      </c>
    </row>
    <row r="586" spans="1:10" s="37" customFormat="1" ht="63.75">
      <c r="A586" s="27"/>
      <c r="B586" s="70"/>
      <c r="C586" s="85" t="s">
        <v>152</v>
      </c>
      <c r="D586" s="16" t="s">
        <v>137</v>
      </c>
      <c r="E586" s="21" t="s">
        <v>435</v>
      </c>
      <c r="F586" s="57"/>
      <c r="G586" s="101" t="s">
        <v>434</v>
      </c>
      <c r="H586" s="41">
        <f>H587+H589+H591</f>
        <v>10982</v>
      </c>
      <c r="I586" s="41">
        <f>I587+I589+I591</f>
        <v>9973.2000000000007</v>
      </c>
      <c r="J586" s="99">
        <f t="shared" si="34"/>
        <v>90.8</v>
      </c>
    </row>
    <row r="587" spans="1:10" s="37" customFormat="1" ht="63.75">
      <c r="A587" s="27"/>
      <c r="B587" s="70"/>
      <c r="C587" s="16" t="s">
        <v>152</v>
      </c>
      <c r="D587" s="16" t="s">
        <v>137</v>
      </c>
      <c r="E587" s="57" t="s">
        <v>565</v>
      </c>
      <c r="F587" s="57"/>
      <c r="G587" s="102" t="s">
        <v>67</v>
      </c>
      <c r="H587" s="41">
        <f>H588</f>
        <v>1175.7999999999995</v>
      </c>
      <c r="I587" s="41">
        <f>I588</f>
        <v>1175.7999999999995</v>
      </c>
      <c r="J587" s="99">
        <f t="shared" si="34"/>
        <v>100</v>
      </c>
    </row>
    <row r="588" spans="1:10" s="37" customFormat="1" ht="14.25">
      <c r="A588" s="27"/>
      <c r="B588" s="70"/>
      <c r="C588" s="16" t="s">
        <v>152</v>
      </c>
      <c r="D588" s="16" t="s">
        <v>137</v>
      </c>
      <c r="E588" s="57" t="s">
        <v>565</v>
      </c>
      <c r="F588" s="57" t="s">
        <v>334</v>
      </c>
      <c r="G588" s="102" t="s">
        <v>333</v>
      </c>
      <c r="H588" s="41">
        <f>4606.2-1381.4-654.2-1394.8</f>
        <v>1175.7999999999995</v>
      </c>
      <c r="I588" s="41">
        <f>4606.2-1381.4-654.2-1394.8</f>
        <v>1175.7999999999995</v>
      </c>
      <c r="J588" s="99">
        <f t="shared" si="34"/>
        <v>100</v>
      </c>
    </row>
    <row r="589" spans="1:10" s="37" customFormat="1" ht="51">
      <c r="A589" s="27"/>
      <c r="B589" s="70"/>
      <c r="C589" s="16" t="s">
        <v>152</v>
      </c>
      <c r="D589" s="16" t="s">
        <v>137</v>
      </c>
      <c r="E589" s="57" t="s">
        <v>568</v>
      </c>
      <c r="F589" s="57"/>
      <c r="G589" s="102" t="s">
        <v>475</v>
      </c>
      <c r="H589" s="41">
        <f>H590</f>
        <v>2570.6999999999998</v>
      </c>
      <c r="I589" s="41">
        <f>I590</f>
        <v>2570.6</v>
      </c>
      <c r="J589" s="99">
        <f t="shared" si="34"/>
        <v>100</v>
      </c>
    </row>
    <row r="590" spans="1:10" s="37" customFormat="1" ht="14.25">
      <c r="A590" s="27"/>
      <c r="B590" s="70"/>
      <c r="C590" s="16" t="s">
        <v>152</v>
      </c>
      <c r="D590" s="16" t="s">
        <v>137</v>
      </c>
      <c r="E590" s="57" t="s">
        <v>568</v>
      </c>
      <c r="F590" s="57" t="s">
        <v>334</v>
      </c>
      <c r="G590" s="102" t="s">
        <v>333</v>
      </c>
      <c r="H590" s="103">
        <f>3099.2-528.5</f>
        <v>2570.6999999999998</v>
      </c>
      <c r="I590" s="103">
        <v>2570.6</v>
      </c>
      <c r="J590" s="99">
        <f t="shared" si="34"/>
        <v>100</v>
      </c>
    </row>
    <row r="591" spans="1:10" s="37" customFormat="1" ht="63.75">
      <c r="A591" s="27"/>
      <c r="B591" s="70"/>
      <c r="C591" s="16" t="s">
        <v>152</v>
      </c>
      <c r="D591" s="16" t="s">
        <v>137</v>
      </c>
      <c r="E591" s="57" t="s">
        <v>791</v>
      </c>
      <c r="F591" s="57"/>
      <c r="G591" s="102" t="s">
        <v>792</v>
      </c>
      <c r="H591" s="103">
        <f>H592</f>
        <v>7235.5</v>
      </c>
      <c r="I591" s="103">
        <f>I592</f>
        <v>6226.8</v>
      </c>
      <c r="J591" s="99">
        <f t="shared" si="34"/>
        <v>86.1</v>
      </c>
    </row>
    <row r="592" spans="1:10" s="37" customFormat="1" ht="14.25">
      <c r="A592" s="27"/>
      <c r="B592" s="70"/>
      <c r="C592" s="16" t="s">
        <v>152</v>
      </c>
      <c r="D592" s="16" t="s">
        <v>137</v>
      </c>
      <c r="E592" s="57" t="s">
        <v>791</v>
      </c>
      <c r="F592" s="57" t="s">
        <v>334</v>
      </c>
      <c r="G592" s="102" t="s">
        <v>333</v>
      </c>
      <c r="H592" s="103">
        <v>7235.5</v>
      </c>
      <c r="I592" s="41">
        <v>6226.8</v>
      </c>
      <c r="J592" s="99">
        <f t="shared" si="34"/>
        <v>86.1</v>
      </c>
    </row>
    <row r="593" spans="1:10" s="37" customFormat="1" ht="25.5">
      <c r="A593" s="27"/>
      <c r="B593" s="70"/>
      <c r="C593" s="5" t="s">
        <v>152</v>
      </c>
      <c r="D593" s="5" t="s">
        <v>137</v>
      </c>
      <c r="E593" s="87">
        <v>9900000000</v>
      </c>
      <c r="F593" s="73"/>
      <c r="G593" s="149" t="s">
        <v>195</v>
      </c>
      <c r="H593" s="100">
        <f>H594</f>
        <v>1022.5</v>
      </c>
      <c r="I593" s="100">
        <f>I594</f>
        <v>1013.2</v>
      </c>
      <c r="J593" s="99">
        <f t="shared" si="34"/>
        <v>99.1</v>
      </c>
    </row>
    <row r="594" spans="1:10" s="37" customFormat="1" ht="29.25" customHeight="1">
      <c r="A594" s="27"/>
      <c r="B594" s="70"/>
      <c r="C594" s="16" t="s">
        <v>152</v>
      </c>
      <c r="D594" s="16" t="s">
        <v>137</v>
      </c>
      <c r="E594" s="85" t="s">
        <v>31</v>
      </c>
      <c r="F594" s="85"/>
      <c r="G594" s="104" t="s">
        <v>53</v>
      </c>
      <c r="H594" s="98">
        <f>H595+H597+H599</f>
        <v>1022.5</v>
      </c>
      <c r="I594" s="98">
        <f>I595+I597+I599</f>
        <v>1013.2</v>
      </c>
      <c r="J594" s="58">
        <f t="shared" si="34"/>
        <v>99.1</v>
      </c>
    </row>
    <row r="595" spans="1:10" s="37" customFormat="1" ht="25.5">
      <c r="A595" s="27"/>
      <c r="B595" s="70"/>
      <c r="C595" s="56" t="s">
        <v>152</v>
      </c>
      <c r="D595" s="94" t="s">
        <v>137</v>
      </c>
      <c r="E595" s="85" t="s">
        <v>797</v>
      </c>
      <c r="F595" s="16"/>
      <c r="G595" s="54" t="s">
        <v>798</v>
      </c>
      <c r="H595" s="103">
        <f>H596</f>
        <v>506.4</v>
      </c>
      <c r="I595" s="103">
        <f>I596</f>
        <v>504.9</v>
      </c>
      <c r="J595" s="99">
        <f t="shared" si="34"/>
        <v>99.7</v>
      </c>
    </row>
    <row r="596" spans="1:10" s="37" customFormat="1" ht="14.25">
      <c r="A596" s="27"/>
      <c r="B596" s="70"/>
      <c r="C596" s="56" t="s">
        <v>152</v>
      </c>
      <c r="D596" s="94" t="s">
        <v>137</v>
      </c>
      <c r="E596" s="85" t="s">
        <v>797</v>
      </c>
      <c r="F596" s="85" t="s">
        <v>334</v>
      </c>
      <c r="G596" s="102" t="s">
        <v>333</v>
      </c>
      <c r="H596" s="103">
        <f>385.4+121</f>
        <v>506.4</v>
      </c>
      <c r="I596" s="103">
        <v>504.9</v>
      </c>
      <c r="J596" s="99">
        <f t="shared" si="34"/>
        <v>99.7</v>
      </c>
    </row>
    <row r="597" spans="1:10" s="37" customFormat="1" ht="25.5">
      <c r="A597" s="27"/>
      <c r="B597" s="70"/>
      <c r="C597" s="16" t="s">
        <v>152</v>
      </c>
      <c r="D597" s="16" t="s">
        <v>137</v>
      </c>
      <c r="E597" s="85" t="s">
        <v>729</v>
      </c>
      <c r="F597" s="16"/>
      <c r="G597" s="54" t="s">
        <v>468</v>
      </c>
      <c r="H597" s="41">
        <f>SUM(H598:H598)</f>
        <v>276.10000000000002</v>
      </c>
      <c r="I597" s="41">
        <f>SUM(I598:I598)</f>
        <v>268.3</v>
      </c>
      <c r="J597" s="99">
        <f t="shared" si="34"/>
        <v>97.2</v>
      </c>
    </row>
    <row r="598" spans="1:10" s="37" customFormat="1" ht="14.25">
      <c r="A598" s="27"/>
      <c r="B598" s="70"/>
      <c r="C598" s="16" t="s">
        <v>152</v>
      </c>
      <c r="D598" s="16" t="s">
        <v>137</v>
      </c>
      <c r="E598" s="85" t="s">
        <v>729</v>
      </c>
      <c r="F598" s="85" t="s">
        <v>334</v>
      </c>
      <c r="G598" s="102" t="s">
        <v>333</v>
      </c>
      <c r="H598" s="41">
        <f>10+266.1</f>
        <v>276.10000000000002</v>
      </c>
      <c r="I598" s="41">
        <v>268.3</v>
      </c>
      <c r="J598" s="99">
        <f t="shared" si="34"/>
        <v>97.2</v>
      </c>
    </row>
    <row r="599" spans="1:10" s="37" customFormat="1" ht="41.25" customHeight="1">
      <c r="A599" s="27"/>
      <c r="B599" s="70"/>
      <c r="C599" s="16" t="s">
        <v>152</v>
      </c>
      <c r="D599" s="16" t="s">
        <v>137</v>
      </c>
      <c r="E599" s="85" t="s">
        <v>632</v>
      </c>
      <c r="F599" s="16"/>
      <c r="G599" s="54" t="s">
        <v>590</v>
      </c>
      <c r="H599" s="41">
        <f>SUM(H600:H600)</f>
        <v>240</v>
      </c>
      <c r="I599" s="41">
        <f>SUM(I600:I600)</f>
        <v>240</v>
      </c>
      <c r="J599" s="99">
        <f t="shared" si="34"/>
        <v>100</v>
      </c>
    </row>
    <row r="600" spans="1:10" s="37" customFormat="1" ht="14.25">
      <c r="A600" s="27"/>
      <c r="B600" s="70"/>
      <c r="C600" s="16" t="s">
        <v>152</v>
      </c>
      <c r="D600" s="16" t="s">
        <v>137</v>
      </c>
      <c r="E600" s="85" t="s">
        <v>632</v>
      </c>
      <c r="F600" s="21" t="s">
        <v>334</v>
      </c>
      <c r="G600" s="102" t="s">
        <v>333</v>
      </c>
      <c r="H600" s="41">
        <f>290-50</f>
        <v>240</v>
      </c>
      <c r="I600" s="41">
        <f>290-50</f>
        <v>240</v>
      </c>
      <c r="J600" s="99">
        <f t="shared" si="34"/>
        <v>100</v>
      </c>
    </row>
    <row r="601" spans="1:10" s="37" customFormat="1" ht="14.25">
      <c r="A601" s="27"/>
      <c r="B601" s="70"/>
      <c r="C601" s="35" t="s">
        <v>152</v>
      </c>
      <c r="D601" s="35" t="s">
        <v>141</v>
      </c>
      <c r="E601" s="35"/>
      <c r="F601" s="35"/>
      <c r="G601" s="46" t="s">
        <v>218</v>
      </c>
      <c r="H601" s="42">
        <f>H602+H618</f>
        <v>32067.8</v>
      </c>
      <c r="I601" s="42">
        <f>I602+I618</f>
        <v>31978.399999999998</v>
      </c>
      <c r="J601" s="42">
        <f t="shared" si="34"/>
        <v>99.7</v>
      </c>
    </row>
    <row r="602" spans="1:10" s="37" customFormat="1" ht="51">
      <c r="A602" s="27"/>
      <c r="B602" s="70"/>
      <c r="C602" s="5" t="s">
        <v>152</v>
      </c>
      <c r="D602" s="5" t="s">
        <v>141</v>
      </c>
      <c r="E602" s="73" t="s">
        <v>118</v>
      </c>
      <c r="F602" s="21"/>
      <c r="G602" s="64" t="s">
        <v>543</v>
      </c>
      <c r="H602" s="62">
        <f>H603</f>
        <v>31938.5</v>
      </c>
      <c r="I602" s="62">
        <f>I603</f>
        <v>31849.1</v>
      </c>
      <c r="J602" s="62">
        <f t="shared" si="34"/>
        <v>99.7</v>
      </c>
    </row>
    <row r="603" spans="1:10" s="37" customFormat="1" ht="25.5">
      <c r="A603" s="27"/>
      <c r="B603" s="70"/>
      <c r="C603" s="47" t="s">
        <v>152</v>
      </c>
      <c r="D603" s="47" t="s">
        <v>141</v>
      </c>
      <c r="E603" s="52" t="s">
        <v>119</v>
      </c>
      <c r="F603" s="35"/>
      <c r="G603" s="46" t="s">
        <v>59</v>
      </c>
      <c r="H603" s="58">
        <f>H604+H609</f>
        <v>31938.5</v>
      </c>
      <c r="I603" s="58">
        <f>I604+I609</f>
        <v>31849.1</v>
      </c>
      <c r="J603" s="58">
        <f t="shared" si="34"/>
        <v>99.7</v>
      </c>
    </row>
    <row r="604" spans="1:10" s="37" customFormat="1" ht="63.75">
      <c r="A604" s="27"/>
      <c r="B604" s="70"/>
      <c r="C604" s="85" t="s">
        <v>152</v>
      </c>
      <c r="D604" s="85" t="s">
        <v>141</v>
      </c>
      <c r="E604" s="21" t="s">
        <v>435</v>
      </c>
      <c r="F604" s="57"/>
      <c r="G604" s="101" t="s">
        <v>434</v>
      </c>
      <c r="H604" s="99">
        <f>H605+H607</f>
        <v>686.7</v>
      </c>
      <c r="I604" s="99">
        <f>I605+I607</f>
        <v>597.29999999999995</v>
      </c>
      <c r="J604" s="99">
        <f t="shared" si="34"/>
        <v>87</v>
      </c>
    </row>
    <row r="605" spans="1:10" s="37" customFormat="1" ht="38.25">
      <c r="A605" s="27"/>
      <c r="B605" s="70"/>
      <c r="C605" s="85" t="s">
        <v>152</v>
      </c>
      <c r="D605" s="85" t="s">
        <v>141</v>
      </c>
      <c r="E605" s="57" t="s">
        <v>567</v>
      </c>
      <c r="F605" s="57"/>
      <c r="G605" s="102" t="s">
        <v>260</v>
      </c>
      <c r="H605" s="41">
        <f>H606</f>
        <v>250</v>
      </c>
      <c r="I605" s="41">
        <f>I606</f>
        <v>250</v>
      </c>
      <c r="J605" s="99">
        <f t="shared" si="34"/>
        <v>100</v>
      </c>
    </row>
    <row r="606" spans="1:10" s="37" customFormat="1" ht="14.25">
      <c r="A606" s="27"/>
      <c r="B606" s="70"/>
      <c r="C606" s="85" t="s">
        <v>152</v>
      </c>
      <c r="D606" s="85" t="s">
        <v>141</v>
      </c>
      <c r="E606" s="57" t="s">
        <v>567</v>
      </c>
      <c r="F606" s="21" t="s">
        <v>334</v>
      </c>
      <c r="G606" s="102" t="s">
        <v>333</v>
      </c>
      <c r="H606" s="41">
        <v>250</v>
      </c>
      <c r="I606" s="41">
        <v>250</v>
      </c>
      <c r="J606" s="99">
        <f t="shared" si="34"/>
        <v>100</v>
      </c>
    </row>
    <row r="607" spans="1:10" s="37" customFormat="1" ht="51">
      <c r="A607" s="27"/>
      <c r="B607" s="70"/>
      <c r="C607" s="85" t="s">
        <v>152</v>
      </c>
      <c r="D607" s="85" t="s">
        <v>141</v>
      </c>
      <c r="E607" s="57" t="s">
        <v>659</v>
      </c>
      <c r="F607" s="21"/>
      <c r="G607" s="54" t="s">
        <v>698</v>
      </c>
      <c r="H607" s="99">
        <f>H608</f>
        <v>436.7</v>
      </c>
      <c r="I607" s="99">
        <f>I608</f>
        <v>347.3</v>
      </c>
      <c r="J607" s="99">
        <f t="shared" si="34"/>
        <v>79.5</v>
      </c>
    </row>
    <row r="608" spans="1:10" s="37" customFormat="1" ht="14.25">
      <c r="A608" s="27"/>
      <c r="B608" s="70"/>
      <c r="C608" s="85" t="s">
        <v>152</v>
      </c>
      <c r="D608" s="85" t="s">
        <v>141</v>
      </c>
      <c r="E608" s="57" t="s">
        <v>659</v>
      </c>
      <c r="F608" s="21" t="s">
        <v>334</v>
      </c>
      <c r="G608" s="102" t="s">
        <v>333</v>
      </c>
      <c r="H608" s="99">
        <f>530-69.4+52.4-76.3</f>
        <v>436.7</v>
      </c>
      <c r="I608" s="99">
        <v>347.3</v>
      </c>
      <c r="J608" s="99">
        <f t="shared" si="34"/>
        <v>79.5</v>
      </c>
    </row>
    <row r="609" spans="1:10" s="37" customFormat="1" ht="51">
      <c r="A609" s="27"/>
      <c r="B609" s="70"/>
      <c r="C609" s="85" t="s">
        <v>152</v>
      </c>
      <c r="D609" s="85" t="s">
        <v>141</v>
      </c>
      <c r="E609" s="21" t="s">
        <v>436</v>
      </c>
      <c r="F609" s="21"/>
      <c r="G609" s="101" t="s">
        <v>462</v>
      </c>
      <c r="H609" s="41">
        <f>H610+H612+H614+H616</f>
        <v>31251.8</v>
      </c>
      <c r="I609" s="41">
        <f>I610+I612+I614+I616</f>
        <v>31251.8</v>
      </c>
      <c r="J609" s="99">
        <f t="shared" si="34"/>
        <v>100</v>
      </c>
    </row>
    <row r="610" spans="1:10" s="37" customFormat="1" ht="76.5">
      <c r="A610" s="27"/>
      <c r="B610" s="70"/>
      <c r="C610" s="85" t="s">
        <v>152</v>
      </c>
      <c r="D610" s="85" t="s">
        <v>141</v>
      </c>
      <c r="E610" s="57" t="s">
        <v>569</v>
      </c>
      <c r="F610" s="35"/>
      <c r="G610" s="102" t="s">
        <v>437</v>
      </c>
      <c r="H610" s="41">
        <f>H611</f>
        <v>25856.600000000002</v>
      </c>
      <c r="I610" s="41">
        <f>I611</f>
        <v>25856.600000000002</v>
      </c>
      <c r="J610" s="99">
        <f t="shared" ref="J610:J647" si="35">ROUND((I610/H610*100),1)</f>
        <v>100</v>
      </c>
    </row>
    <row r="611" spans="1:10" s="37" customFormat="1" ht="14.25">
      <c r="A611" s="27"/>
      <c r="B611" s="70"/>
      <c r="C611" s="85" t="s">
        <v>152</v>
      </c>
      <c r="D611" s="85" t="s">
        <v>141</v>
      </c>
      <c r="E611" s="57" t="s">
        <v>569</v>
      </c>
      <c r="F611" s="21" t="s">
        <v>334</v>
      </c>
      <c r="G611" s="102" t="s">
        <v>333</v>
      </c>
      <c r="H611" s="41">
        <f>24099.9+386.9+246+1123.8</f>
        <v>25856.600000000002</v>
      </c>
      <c r="I611" s="41">
        <f>24099.9+386.9+246+1123.8</f>
        <v>25856.600000000002</v>
      </c>
      <c r="J611" s="99">
        <f t="shared" si="35"/>
        <v>100</v>
      </c>
    </row>
    <row r="612" spans="1:10" s="37" customFormat="1" ht="89.25">
      <c r="A612" s="27"/>
      <c r="B612" s="70"/>
      <c r="C612" s="85" t="s">
        <v>152</v>
      </c>
      <c r="D612" s="85" t="s">
        <v>141</v>
      </c>
      <c r="E612" s="57" t="s">
        <v>571</v>
      </c>
      <c r="F612" s="21"/>
      <c r="G612" s="102" t="s">
        <v>494</v>
      </c>
      <c r="H612" s="41">
        <f>H613</f>
        <v>5264.9</v>
      </c>
      <c r="I612" s="41">
        <f>I613</f>
        <v>5264.9</v>
      </c>
      <c r="J612" s="99">
        <f t="shared" si="35"/>
        <v>100</v>
      </c>
    </row>
    <row r="613" spans="1:10" s="37" customFormat="1" ht="14.25">
      <c r="A613" s="27"/>
      <c r="B613" s="70"/>
      <c r="C613" s="85" t="s">
        <v>152</v>
      </c>
      <c r="D613" s="85" t="s">
        <v>141</v>
      </c>
      <c r="E613" s="57" t="s">
        <v>571</v>
      </c>
      <c r="F613" s="21" t="s">
        <v>334</v>
      </c>
      <c r="G613" s="102" t="s">
        <v>333</v>
      </c>
      <c r="H613" s="41">
        <v>5264.9</v>
      </c>
      <c r="I613" s="41">
        <v>5264.9</v>
      </c>
      <c r="J613" s="99">
        <f t="shared" si="35"/>
        <v>100</v>
      </c>
    </row>
    <row r="614" spans="1:10" s="37" customFormat="1" ht="38.25">
      <c r="A614" s="27"/>
      <c r="B614" s="70"/>
      <c r="C614" s="114" t="s">
        <v>152</v>
      </c>
      <c r="D614" s="114" t="s">
        <v>141</v>
      </c>
      <c r="E614" s="131" t="s">
        <v>572</v>
      </c>
      <c r="F614" s="129"/>
      <c r="G614" s="102" t="s">
        <v>502</v>
      </c>
      <c r="H614" s="112">
        <f>H615</f>
        <v>54</v>
      </c>
      <c r="I614" s="112">
        <f>I615</f>
        <v>54</v>
      </c>
      <c r="J614" s="99">
        <f t="shared" si="35"/>
        <v>100</v>
      </c>
    </row>
    <row r="615" spans="1:10" s="37" customFormat="1" ht="14.25">
      <c r="A615" s="27"/>
      <c r="B615" s="70"/>
      <c r="C615" s="114" t="s">
        <v>152</v>
      </c>
      <c r="D615" s="114" t="s">
        <v>141</v>
      </c>
      <c r="E615" s="131" t="s">
        <v>572</v>
      </c>
      <c r="F615" s="129" t="s">
        <v>334</v>
      </c>
      <c r="G615" s="102" t="s">
        <v>333</v>
      </c>
      <c r="H615" s="112">
        <f>300-246</f>
        <v>54</v>
      </c>
      <c r="I615" s="112">
        <f>300-246</f>
        <v>54</v>
      </c>
      <c r="J615" s="99">
        <f t="shared" si="35"/>
        <v>100</v>
      </c>
    </row>
    <row r="616" spans="1:10" s="37" customFormat="1" ht="38.25">
      <c r="A616" s="27"/>
      <c r="B616" s="70"/>
      <c r="C616" s="85" t="s">
        <v>152</v>
      </c>
      <c r="D616" s="85" t="s">
        <v>141</v>
      </c>
      <c r="E616" s="57" t="s">
        <v>809</v>
      </c>
      <c r="F616" s="21"/>
      <c r="G616" s="102" t="s">
        <v>810</v>
      </c>
      <c r="H616" s="99">
        <f>H617</f>
        <v>76.3</v>
      </c>
      <c r="I616" s="99">
        <f>I617</f>
        <v>76.3</v>
      </c>
      <c r="J616" s="99">
        <f t="shared" si="35"/>
        <v>100</v>
      </c>
    </row>
    <row r="617" spans="1:10" s="37" customFormat="1" ht="14.25">
      <c r="A617" s="27"/>
      <c r="B617" s="70"/>
      <c r="C617" s="85" t="s">
        <v>152</v>
      </c>
      <c r="D617" s="85" t="s">
        <v>141</v>
      </c>
      <c r="E617" s="57" t="s">
        <v>809</v>
      </c>
      <c r="F617" s="21" t="s">
        <v>334</v>
      </c>
      <c r="G617" s="102" t="s">
        <v>333</v>
      </c>
      <c r="H617" s="99">
        <v>76.3</v>
      </c>
      <c r="I617" s="99">
        <v>76.3</v>
      </c>
      <c r="J617" s="99">
        <f t="shared" si="35"/>
        <v>100</v>
      </c>
    </row>
    <row r="618" spans="1:10" s="37" customFormat="1" ht="25.5">
      <c r="A618" s="27"/>
      <c r="B618" s="70"/>
      <c r="C618" s="5" t="s">
        <v>152</v>
      </c>
      <c r="D618" s="5" t="s">
        <v>141</v>
      </c>
      <c r="E618" s="87">
        <v>9900000000</v>
      </c>
      <c r="F618" s="73"/>
      <c r="G618" s="149" t="s">
        <v>195</v>
      </c>
      <c r="H618" s="100">
        <f>H619</f>
        <v>129.30000000000001</v>
      </c>
      <c r="I618" s="100">
        <f>I619</f>
        <v>129.30000000000001</v>
      </c>
      <c r="J618" s="62">
        <f t="shared" si="35"/>
        <v>100</v>
      </c>
    </row>
    <row r="619" spans="1:10" s="37" customFormat="1" ht="25.5" customHeight="1">
      <c r="A619" s="27"/>
      <c r="B619" s="70"/>
      <c r="C619" s="16" t="s">
        <v>152</v>
      </c>
      <c r="D619" s="85" t="s">
        <v>141</v>
      </c>
      <c r="E619" s="85" t="s">
        <v>31</v>
      </c>
      <c r="F619" s="85"/>
      <c r="G619" s="104" t="s">
        <v>53</v>
      </c>
      <c r="H619" s="98">
        <f>H620+H622</f>
        <v>129.30000000000001</v>
      </c>
      <c r="I619" s="98">
        <f>I620+I622</f>
        <v>129.30000000000001</v>
      </c>
      <c r="J619" s="58">
        <f t="shared" si="35"/>
        <v>100</v>
      </c>
    </row>
    <row r="620" spans="1:10" s="37" customFormat="1" ht="25.5">
      <c r="A620" s="27"/>
      <c r="B620" s="70"/>
      <c r="C620" s="16" t="s">
        <v>152</v>
      </c>
      <c r="D620" s="85" t="s">
        <v>141</v>
      </c>
      <c r="E620" s="85" t="s">
        <v>729</v>
      </c>
      <c r="F620" s="16"/>
      <c r="G620" s="54" t="s">
        <v>468</v>
      </c>
      <c r="H620" s="41">
        <f>SUM(H621:H621)</f>
        <v>39.299999999999997</v>
      </c>
      <c r="I620" s="41">
        <f>SUM(I621:I621)</f>
        <v>39.299999999999997</v>
      </c>
      <c r="J620" s="58">
        <f t="shared" si="35"/>
        <v>100</v>
      </c>
    </row>
    <row r="621" spans="1:10" s="37" customFormat="1" ht="14.25">
      <c r="A621" s="27"/>
      <c r="B621" s="70"/>
      <c r="C621" s="16" t="s">
        <v>152</v>
      </c>
      <c r="D621" s="85" t="s">
        <v>141</v>
      </c>
      <c r="E621" s="85" t="s">
        <v>729</v>
      </c>
      <c r="F621" s="85" t="s">
        <v>334</v>
      </c>
      <c r="G621" s="102" t="s">
        <v>333</v>
      </c>
      <c r="H621" s="41">
        <v>39.299999999999997</v>
      </c>
      <c r="I621" s="41">
        <v>39.299999999999997</v>
      </c>
      <c r="J621" s="99">
        <f t="shared" si="35"/>
        <v>100</v>
      </c>
    </row>
    <row r="622" spans="1:10" s="37" customFormat="1" ht="40.5" customHeight="1">
      <c r="A622" s="27"/>
      <c r="B622" s="70"/>
      <c r="C622" s="16" t="s">
        <v>152</v>
      </c>
      <c r="D622" s="85" t="s">
        <v>141</v>
      </c>
      <c r="E622" s="85" t="s">
        <v>632</v>
      </c>
      <c r="F622" s="16"/>
      <c r="G622" s="54" t="s">
        <v>590</v>
      </c>
      <c r="H622" s="41">
        <f>SUM(H623:H623)</f>
        <v>90</v>
      </c>
      <c r="I622" s="41">
        <f>SUM(I623:I623)</f>
        <v>90</v>
      </c>
      <c r="J622" s="99">
        <f t="shared" si="35"/>
        <v>100</v>
      </c>
    </row>
    <row r="623" spans="1:10" s="37" customFormat="1" ht="14.25">
      <c r="A623" s="27"/>
      <c r="B623" s="70"/>
      <c r="C623" s="16" t="s">
        <v>152</v>
      </c>
      <c r="D623" s="85" t="s">
        <v>141</v>
      </c>
      <c r="E623" s="85" t="s">
        <v>632</v>
      </c>
      <c r="F623" s="21" t="s">
        <v>334</v>
      </c>
      <c r="G623" s="102" t="s">
        <v>333</v>
      </c>
      <c r="H623" s="41">
        <v>90</v>
      </c>
      <c r="I623" s="41">
        <v>90</v>
      </c>
      <c r="J623" s="99">
        <f t="shared" si="35"/>
        <v>100</v>
      </c>
    </row>
    <row r="624" spans="1:10" s="36" customFormat="1" ht="38.25">
      <c r="A624" s="27"/>
      <c r="B624" s="70"/>
      <c r="C624" s="35" t="s">
        <v>152</v>
      </c>
      <c r="D624" s="35" t="s">
        <v>143</v>
      </c>
      <c r="E624" s="35"/>
      <c r="F624" s="35"/>
      <c r="G624" s="46" t="s">
        <v>2</v>
      </c>
      <c r="H624" s="42">
        <f>H625</f>
        <v>381.90000000000009</v>
      </c>
      <c r="I624" s="42">
        <f>I625</f>
        <v>381.90000000000009</v>
      </c>
      <c r="J624" s="58">
        <f t="shared" si="35"/>
        <v>100</v>
      </c>
    </row>
    <row r="625" spans="1:10" s="36" customFormat="1" ht="51">
      <c r="A625" s="27"/>
      <c r="B625" s="70"/>
      <c r="C625" s="16" t="s">
        <v>152</v>
      </c>
      <c r="D625" s="16" t="s">
        <v>143</v>
      </c>
      <c r="E625" s="21" t="s">
        <v>118</v>
      </c>
      <c r="F625" s="35"/>
      <c r="G625" s="64" t="s">
        <v>543</v>
      </c>
      <c r="H625" s="62">
        <f>H626</f>
        <v>381.90000000000009</v>
      </c>
      <c r="I625" s="62">
        <f>I626</f>
        <v>381.90000000000009</v>
      </c>
      <c r="J625" s="62">
        <f t="shared" si="35"/>
        <v>100</v>
      </c>
    </row>
    <row r="626" spans="1:10" s="36" customFormat="1" ht="25.5">
      <c r="A626" s="27"/>
      <c r="B626" s="70"/>
      <c r="C626" s="16" t="s">
        <v>152</v>
      </c>
      <c r="D626" s="16" t="s">
        <v>143</v>
      </c>
      <c r="E626" s="52" t="s">
        <v>119</v>
      </c>
      <c r="F626" s="35"/>
      <c r="G626" s="46" t="s">
        <v>59</v>
      </c>
      <c r="H626" s="58">
        <f>H628</f>
        <v>381.90000000000009</v>
      </c>
      <c r="I626" s="58">
        <f>I628</f>
        <v>381.90000000000009</v>
      </c>
      <c r="J626" s="58">
        <f t="shared" si="35"/>
        <v>100</v>
      </c>
    </row>
    <row r="627" spans="1:10" s="36" customFormat="1" ht="25.5">
      <c r="A627" s="27"/>
      <c r="B627" s="70"/>
      <c r="C627" s="16" t="s">
        <v>152</v>
      </c>
      <c r="D627" s="16" t="s">
        <v>143</v>
      </c>
      <c r="E627" s="21" t="s">
        <v>420</v>
      </c>
      <c r="F627" s="35"/>
      <c r="G627" s="101" t="s">
        <v>433</v>
      </c>
      <c r="H627" s="41">
        <f>H628</f>
        <v>381.90000000000009</v>
      </c>
      <c r="I627" s="41">
        <f>I628</f>
        <v>381.90000000000009</v>
      </c>
      <c r="J627" s="99">
        <f t="shared" si="35"/>
        <v>100</v>
      </c>
    </row>
    <row r="628" spans="1:10" s="36" customFormat="1" ht="38.25">
      <c r="A628" s="27"/>
      <c r="B628" s="70"/>
      <c r="C628" s="16" t="s">
        <v>152</v>
      </c>
      <c r="D628" s="16" t="s">
        <v>143</v>
      </c>
      <c r="E628" s="21" t="s">
        <v>562</v>
      </c>
      <c r="F628" s="35"/>
      <c r="G628" s="102" t="s">
        <v>65</v>
      </c>
      <c r="H628" s="41">
        <f>SUM(H629:H630)</f>
        <v>381.90000000000009</v>
      </c>
      <c r="I628" s="41">
        <f>SUM(I629:I630)</f>
        <v>381.90000000000009</v>
      </c>
      <c r="J628" s="99">
        <f t="shared" si="35"/>
        <v>100</v>
      </c>
    </row>
    <row r="629" spans="1:10" ht="25.5">
      <c r="A629" s="1"/>
      <c r="B629" s="25"/>
      <c r="C629" s="16" t="s">
        <v>152</v>
      </c>
      <c r="D629" s="16" t="s">
        <v>143</v>
      </c>
      <c r="E629" s="21" t="s">
        <v>562</v>
      </c>
      <c r="F629" s="85" t="s">
        <v>104</v>
      </c>
      <c r="G629" s="55" t="s">
        <v>179</v>
      </c>
      <c r="H629" s="41">
        <f>250+270-117.5+200-11.9-1.3-324.9</f>
        <v>264.40000000000009</v>
      </c>
      <c r="I629" s="41">
        <f>250+270-117.5+200-11.9-1.3-324.9</f>
        <v>264.40000000000009</v>
      </c>
      <c r="J629" s="99">
        <f t="shared" si="35"/>
        <v>100</v>
      </c>
    </row>
    <row r="630" spans="1:10" ht="38.25">
      <c r="A630" s="153"/>
      <c r="B630" s="25"/>
      <c r="C630" s="16" t="s">
        <v>152</v>
      </c>
      <c r="D630" s="16" t="s">
        <v>143</v>
      </c>
      <c r="E630" s="21" t="s">
        <v>562</v>
      </c>
      <c r="F630" s="85" t="s">
        <v>314</v>
      </c>
      <c r="G630" s="102" t="s">
        <v>315</v>
      </c>
      <c r="H630" s="41">
        <f>117.5</f>
        <v>117.5</v>
      </c>
      <c r="I630" s="41">
        <f>117.5</f>
        <v>117.5</v>
      </c>
      <c r="J630" s="99">
        <f t="shared" si="35"/>
        <v>100</v>
      </c>
    </row>
    <row r="631" spans="1:10" s="37" customFormat="1" ht="14.25">
      <c r="A631" s="27"/>
      <c r="B631" s="70"/>
      <c r="C631" s="35" t="s">
        <v>152</v>
      </c>
      <c r="D631" s="35" t="s">
        <v>152</v>
      </c>
      <c r="E631" s="35"/>
      <c r="F631" s="35"/>
      <c r="G631" s="46" t="s">
        <v>217</v>
      </c>
      <c r="H631" s="42">
        <f t="shared" ref="H631:I633" si="36">H632</f>
        <v>2800.2</v>
      </c>
      <c r="I631" s="42">
        <f t="shared" si="36"/>
        <v>131.79999999999998</v>
      </c>
      <c r="J631" s="58">
        <f t="shared" si="35"/>
        <v>4.7</v>
      </c>
    </row>
    <row r="632" spans="1:10" s="37" customFormat="1" ht="51">
      <c r="A632" s="27"/>
      <c r="B632" s="70"/>
      <c r="C632" s="16" t="s">
        <v>152</v>
      </c>
      <c r="D632" s="16" t="s">
        <v>152</v>
      </c>
      <c r="E632" s="21" t="s">
        <v>118</v>
      </c>
      <c r="F632" s="35"/>
      <c r="G632" s="64" t="s">
        <v>543</v>
      </c>
      <c r="H632" s="62">
        <f t="shared" si="36"/>
        <v>2800.2</v>
      </c>
      <c r="I632" s="62">
        <f t="shared" si="36"/>
        <v>131.79999999999998</v>
      </c>
      <c r="J632" s="62">
        <f t="shared" si="35"/>
        <v>4.7</v>
      </c>
    </row>
    <row r="633" spans="1:10" s="37" customFormat="1" ht="25.5">
      <c r="A633" s="27"/>
      <c r="B633" s="70"/>
      <c r="C633" s="16" t="s">
        <v>152</v>
      </c>
      <c r="D633" s="16" t="s">
        <v>152</v>
      </c>
      <c r="E633" s="52" t="s">
        <v>119</v>
      </c>
      <c r="F633" s="35"/>
      <c r="G633" s="46" t="s">
        <v>59</v>
      </c>
      <c r="H633" s="99">
        <f t="shared" si="36"/>
        <v>2800.2</v>
      </c>
      <c r="I633" s="99">
        <f t="shared" si="36"/>
        <v>131.79999999999998</v>
      </c>
      <c r="J633" s="58">
        <f t="shared" si="35"/>
        <v>4.7</v>
      </c>
    </row>
    <row r="634" spans="1:10" s="37" customFormat="1" ht="63.75">
      <c r="A634" s="27"/>
      <c r="B634" s="70"/>
      <c r="C634" s="16" t="s">
        <v>152</v>
      </c>
      <c r="D634" s="16" t="s">
        <v>152</v>
      </c>
      <c r="E634" s="21" t="s">
        <v>436</v>
      </c>
      <c r="F634" s="35"/>
      <c r="G634" s="101" t="s">
        <v>434</v>
      </c>
      <c r="H634" s="41">
        <f>H635+H637</f>
        <v>2800.2</v>
      </c>
      <c r="I634" s="41">
        <f>I635+I637</f>
        <v>131.79999999999998</v>
      </c>
      <c r="J634" s="99">
        <f t="shared" si="35"/>
        <v>4.7</v>
      </c>
    </row>
    <row r="635" spans="1:10" s="37" customFormat="1" ht="14.25">
      <c r="A635" s="27"/>
      <c r="B635" s="70"/>
      <c r="C635" s="16" t="s">
        <v>152</v>
      </c>
      <c r="D635" s="16" t="s">
        <v>152</v>
      </c>
      <c r="E635" s="57" t="s">
        <v>563</v>
      </c>
      <c r="F635" s="21"/>
      <c r="G635" s="102" t="s">
        <v>66</v>
      </c>
      <c r="H635" s="41">
        <f>H636</f>
        <v>13.200000000000001</v>
      </c>
      <c r="I635" s="41">
        <f>I636</f>
        <v>13.200000000000001</v>
      </c>
      <c r="J635" s="99">
        <f t="shared" si="35"/>
        <v>100</v>
      </c>
    </row>
    <row r="636" spans="1:10" s="37" customFormat="1" ht="14.25">
      <c r="A636" s="27"/>
      <c r="B636" s="70"/>
      <c r="C636" s="16" t="s">
        <v>152</v>
      </c>
      <c r="D636" s="16" t="s">
        <v>152</v>
      </c>
      <c r="E636" s="57" t="s">
        <v>563</v>
      </c>
      <c r="F636" s="21" t="s">
        <v>334</v>
      </c>
      <c r="G636" s="102" t="s">
        <v>333</v>
      </c>
      <c r="H636" s="41">
        <f>11.9+1.3</f>
        <v>13.200000000000001</v>
      </c>
      <c r="I636" s="41">
        <f>11.9+1.3</f>
        <v>13.200000000000001</v>
      </c>
      <c r="J636" s="99">
        <f t="shared" si="35"/>
        <v>100</v>
      </c>
    </row>
    <row r="637" spans="1:10" s="37" customFormat="1" ht="51">
      <c r="A637" s="27"/>
      <c r="B637" s="70"/>
      <c r="C637" s="16" t="s">
        <v>152</v>
      </c>
      <c r="D637" s="16" t="s">
        <v>152</v>
      </c>
      <c r="E637" s="57" t="s">
        <v>564</v>
      </c>
      <c r="F637" s="225"/>
      <c r="G637" s="130" t="s">
        <v>493</v>
      </c>
      <c r="H637" s="226">
        <f>SUM(H638:H639)</f>
        <v>2787</v>
      </c>
      <c r="I637" s="226">
        <f>SUM(I638:I639)</f>
        <v>118.6</v>
      </c>
      <c r="J637" s="58">
        <f t="shared" si="35"/>
        <v>4.3</v>
      </c>
    </row>
    <row r="638" spans="1:10" s="37" customFormat="1" ht="14.25">
      <c r="A638" s="27"/>
      <c r="B638" s="70"/>
      <c r="C638" s="85" t="s">
        <v>152</v>
      </c>
      <c r="D638" s="85" t="s">
        <v>152</v>
      </c>
      <c r="E638" s="57" t="s">
        <v>564</v>
      </c>
      <c r="F638" s="21" t="s">
        <v>334</v>
      </c>
      <c r="G638" s="102" t="s">
        <v>333</v>
      </c>
      <c r="H638" s="99">
        <v>1844.4</v>
      </c>
      <c r="I638" s="99">
        <v>0</v>
      </c>
      <c r="J638" s="99">
        <f t="shared" si="35"/>
        <v>0</v>
      </c>
    </row>
    <row r="639" spans="1:10" s="37" customFormat="1" ht="63.75">
      <c r="A639" s="27"/>
      <c r="B639" s="70"/>
      <c r="C639" s="16" t="s">
        <v>152</v>
      </c>
      <c r="D639" s="16" t="s">
        <v>152</v>
      </c>
      <c r="E639" s="57" t="s">
        <v>564</v>
      </c>
      <c r="F639" s="16" t="s">
        <v>15</v>
      </c>
      <c r="G639" s="102" t="s">
        <v>696</v>
      </c>
      <c r="H639" s="99">
        <f>118.6+824</f>
        <v>942.6</v>
      </c>
      <c r="I639" s="99">
        <v>118.6</v>
      </c>
      <c r="J639" s="99">
        <f t="shared" si="35"/>
        <v>12.6</v>
      </c>
    </row>
    <row r="640" spans="1:10" s="37" customFormat="1" ht="14.25">
      <c r="A640" s="27"/>
      <c r="B640" s="70"/>
      <c r="C640" s="35" t="s">
        <v>152</v>
      </c>
      <c r="D640" s="35" t="s">
        <v>147</v>
      </c>
      <c r="E640" s="35"/>
      <c r="F640" s="35"/>
      <c r="G640" s="45" t="s">
        <v>157</v>
      </c>
      <c r="H640" s="42">
        <f>H641</f>
        <v>8072.1</v>
      </c>
      <c r="I640" s="42">
        <f>I641</f>
        <v>8058.4000000000005</v>
      </c>
      <c r="J640" s="99">
        <f t="shared" si="35"/>
        <v>99.8</v>
      </c>
    </row>
    <row r="641" spans="1:10" s="37" customFormat="1" ht="51">
      <c r="A641" s="27"/>
      <c r="B641" s="70"/>
      <c r="C641" s="16" t="s">
        <v>152</v>
      </c>
      <c r="D641" s="16" t="s">
        <v>147</v>
      </c>
      <c r="E641" s="21" t="s">
        <v>118</v>
      </c>
      <c r="F641" s="35"/>
      <c r="G641" s="64" t="s">
        <v>543</v>
      </c>
      <c r="H641" s="62">
        <f>H642+H660+H669</f>
        <v>8072.1</v>
      </c>
      <c r="I641" s="62">
        <f>I642+I660+I669</f>
        <v>8058.4000000000005</v>
      </c>
      <c r="J641" s="62">
        <f t="shared" si="35"/>
        <v>99.8</v>
      </c>
    </row>
    <row r="642" spans="1:10" s="37" customFormat="1" ht="25.5">
      <c r="A642" s="27"/>
      <c r="B642" s="70"/>
      <c r="C642" s="16" t="s">
        <v>152</v>
      </c>
      <c r="D642" s="16" t="s">
        <v>147</v>
      </c>
      <c r="E642" s="52" t="s">
        <v>119</v>
      </c>
      <c r="F642" s="35"/>
      <c r="G642" s="46" t="s">
        <v>59</v>
      </c>
      <c r="H642" s="58">
        <f>H643+H646+H649+H653</f>
        <v>833.49999999999989</v>
      </c>
      <c r="I642" s="58">
        <f>I643+I646+I649+I653</f>
        <v>833.49999999999989</v>
      </c>
      <c r="J642" s="58">
        <f t="shared" si="35"/>
        <v>100</v>
      </c>
    </row>
    <row r="643" spans="1:10" s="37" customFormat="1" ht="25.5">
      <c r="A643" s="27"/>
      <c r="B643" s="70"/>
      <c r="C643" s="16" t="s">
        <v>152</v>
      </c>
      <c r="D643" s="16" t="s">
        <v>147</v>
      </c>
      <c r="E643" s="21" t="s">
        <v>419</v>
      </c>
      <c r="F643" s="35"/>
      <c r="G643" s="101" t="s">
        <v>418</v>
      </c>
      <c r="H643" s="99">
        <f>H644</f>
        <v>176.1</v>
      </c>
      <c r="I643" s="99">
        <f>I644</f>
        <v>176.1</v>
      </c>
      <c r="J643" s="99">
        <f t="shared" si="35"/>
        <v>100</v>
      </c>
    </row>
    <row r="644" spans="1:10" s="37" customFormat="1" ht="38.25">
      <c r="A644" s="27"/>
      <c r="B644" s="70"/>
      <c r="C644" s="16" t="s">
        <v>152</v>
      </c>
      <c r="D644" s="16" t="s">
        <v>147</v>
      </c>
      <c r="E644" s="21" t="s">
        <v>550</v>
      </c>
      <c r="F644" s="21"/>
      <c r="G644" s="102" t="s">
        <v>73</v>
      </c>
      <c r="H644" s="99">
        <f>H645</f>
        <v>176.1</v>
      </c>
      <c r="I644" s="99">
        <f>I645</f>
        <v>176.1</v>
      </c>
      <c r="J644" s="99">
        <f t="shared" si="35"/>
        <v>100</v>
      </c>
    </row>
    <row r="645" spans="1:10" s="37" customFormat="1" ht="38.25">
      <c r="A645" s="27"/>
      <c r="B645" s="70"/>
      <c r="C645" s="16" t="s">
        <v>152</v>
      </c>
      <c r="D645" s="16" t="s">
        <v>147</v>
      </c>
      <c r="E645" s="21" t="s">
        <v>550</v>
      </c>
      <c r="F645" s="85" t="s">
        <v>314</v>
      </c>
      <c r="G645" s="102" t="s">
        <v>315</v>
      </c>
      <c r="H645" s="99">
        <v>176.1</v>
      </c>
      <c r="I645" s="99">
        <v>176.1</v>
      </c>
      <c r="J645" s="99">
        <f t="shared" si="35"/>
        <v>100</v>
      </c>
    </row>
    <row r="646" spans="1:10" s="37" customFormat="1" ht="26.25" customHeight="1">
      <c r="A646" s="27"/>
      <c r="B646" s="70"/>
      <c r="C646" s="16" t="s">
        <v>152</v>
      </c>
      <c r="D646" s="16" t="s">
        <v>147</v>
      </c>
      <c r="E646" s="21" t="s">
        <v>419</v>
      </c>
      <c r="F646" s="85"/>
      <c r="G646" s="101" t="s">
        <v>421</v>
      </c>
      <c r="H646" s="99">
        <f>H647</f>
        <v>96.699999999999989</v>
      </c>
      <c r="I646" s="99">
        <f>I647</f>
        <v>96.699999999999989</v>
      </c>
      <c r="J646" s="99">
        <f t="shared" si="35"/>
        <v>100</v>
      </c>
    </row>
    <row r="647" spans="1:10" s="37" customFormat="1" ht="38.25">
      <c r="A647" s="27"/>
      <c r="B647" s="70"/>
      <c r="C647" s="16" t="s">
        <v>152</v>
      </c>
      <c r="D647" s="16" t="s">
        <v>147</v>
      </c>
      <c r="E647" s="21" t="s">
        <v>560</v>
      </c>
      <c r="F647" s="16"/>
      <c r="G647" s="102" t="s">
        <v>432</v>
      </c>
      <c r="H647" s="99">
        <f>H648</f>
        <v>96.699999999999989</v>
      </c>
      <c r="I647" s="99">
        <f>I648</f>
        <v>96.699999999999989</v>
      </c>
      <c r="J647" s="99">
        <f t="shared" si="35"/>
        <v>100</v>
      </c>
    </row>
    <row r="648" spans="1:10" s="37" customFormat="1" ht="25.5">
      <c r="A648" s="27"/>
      <c r="B648" s="70"/>
      <c r="C648" s="16" t="s">
        <v>152</v>
      </c>
      <c r="D648" s="16" t="s">
        <v>147</v>
      </c>
      <c r="E648" s="21" t="s">
        <v>560</v>
      </c>
      <c r="F648" s="85" t="s">
        <v>104</v>
      </c>
      <c r="G648" s="55" t="s">
        <v>179</v>
      </c>
      <c r="H648" s="99">
        <f>79.1+17.6</f>
        <v>96.699999999999989</v>
      </c>
      <c r="I648" s="99">
        <f>79.1+17.6</f>
        <v>96.699999999999989</v>
      </c>
      <c r="J648" s="99">
        <f t="shared" ref="J648:J705" si="37">ROUND((I648/H648*100),1)</f>
        <v>100</v>
      </c>
    </row>
    <row r="649" spans="1:10" s="37" customFormat="1" ht="63.75">
      <c r="A649" s="27"/>
      <c r="B649" s="70"/>
      <c r="C649" s="16" t="s">
        <v>152</v>
      </c>
      <c r="D649" s="16" t="s">
        <v>147</v>
      </c>
      <c r="E649" s="21" t="s">
        <v>435</v>
      </c>
      <c r="F649" s="85"/>
      <c r="G649" s="101" t="s">
        <v>434</v>
      </c>
      <c r="H649" s="99">
        <f>H650</f>
        <v>60</v>
      </c>
      <c r="I649" s="99">
        <f>I650</f>
        <v>60</v>
      </c>
      <c r="J649" s="99">
        <f t="shared" si="37"/>
        <v>100</v>
      </c>
    </row>
    <row r="650" spans="1:10" s="37" customFormat="1" ht="38.25">
      <c r="A650" s="27"/>
      <c r="B650" s="70"/>
      <c r="C650" s="16" t="s">
        <v>152</v>
      </c>
      <c r="D650" s="16" t="s">
        <v>147</v>
      </c>
      <c r="E650" s="57" t="s">
        <v>566</v>
      </c>
      <c r="F650" s="21"/>
      <c r="G650" s="102" t="s">
        <v>183</v>
      </c>
      <c r="H650" s="41">
        <f>SUM(H651:H652)</f>
        <v>60</v>
      </c>
      <c r="I650" s="41">
        <f>SUM(I651:I652)</f>
        <v>60</v>
      </c>
      <c r="J650" s="99">
        <f t="shared" si="37"/>
        <v>100</v>
      </c>
    </row>
    <row r="651" spans="1:10" s="37" customFormat="1" ht="25.5">
      <c r="A651" s="27"/>
      <c r="B651" s="70"/>
      <c r="C651" s="16" t="s">
        <v>152</v>
      </c>
      <c r="D651" s="16" t="s">
        <v>147</v>
      </c>
      <c r="E651" s="57" t="s">
        <v>566</v>
      </c>
      <c r="F651" s="85" t="s">
        <v>104</v>
      </c>
      <c r="G651" s="55" t="s">
        <v>179</v>
      </c>
      <c r="H651" s="41">
        <f>54-14.5</f>
        <v>39.5</v>
      </c>
      <c r="I651" s="41">
        <f>54-14.5</f>
        <v>39.5</v>
      </c>
      <c r="J651" s="99">
        <f t="shared" si="37"/>
        <v>100</v>
      </c>
    </row>
    <row r="652" spans="1:10" s="37" customFormat="1" ht="38.25">
      <c r="A652" s="27"/>
      <c r="B652" s="70"/>
      <c r="C652" s="16" t="s">
        <v>152</v>
      </c>
      <c r="D652" s="16" t="s">
        <v>147</v>
      </c>
      <c r="E652" s="57" t="s">
        <v>566</v>
      </c>
      <c r="F652" s="21" t="s">
        <v>314</v>
      </c>
      <c r="G652" s="102" t="s">
        <v>315</v>
      </c>
      <c r="H652" s="41">
        <f>86-65.5</f>
        <v>20.5</v>
      </c>
      <c r="I652" s="41">
        <f>86-65.5</f>
        <v>20.5</v>
      </c>
      <c r="J652" s="99">
        <f t="shared" si="37"/>
        <v>100</v>
      </c>
    </row>
    <row r="653" spans="1:10" s="37" customFormat="1" ht="51">
      <c r="A653" s="27"/>
      <c r="B653" s="70"/>
      <c r="C653" s="16" t="s">
        <v>152</v>
      </c>
      <c r="D653" s="16" t="s">
        <v>147</v>
      </c>
      <c r="E653" s="21" t="s">
        <v>436</v>
      </c>
      <c r="F653" s="21"/>
      <c r="G653" s="101" t="s">
        <v>462</v>
      </c>
      <c r="H653" s="41">
        <f>H654+H656+H658</f>
        <v>500.69999999999993</v>
      </c>
      <c r="I653" s="41">
        <f>I654+I656+I658</f>
        <v>500.69999999999993</v>
      </c>
      <c r="J653" s="58">
        <f t="shared" si="37"/>
        <v>100</v>
      </c>
    </row>
    <row r="654" spans="1:10" s="37" customFormat="1" ht="63.75">
      <c r="A654" s="27"/>
      <c r="B654" s="70"/>
      <c r="C654" s="16" t="s">
        <v>152</v>
      </c>
      <c r="D654" s="16" t="s">
        <v>147</v>
      </c>
      <c r="E654" s="57" t="s">
        <v>570</v>
      </c>
      <c r="F654" s="21"/>
      <c r="G654" s="102" t="s">
        <v>182</v>
      </c>
      <c r="H654" s="41">
        <f>H655</f>
        <v>308.59999999999997</v>
      </c>
      <c r="I654" s="41">
        <f>I655</f>
        <v>308.59999999999997</v>
      </c>
      <c r="J654" s="99">
        <f t="shared" si="37"/>
        <v>100</v>
      </c>
    </row>
    <row r="655" spans="1:10" s="37" customFormat="1" ht="38.25">
      <c r="A655" s="27"/>
      <c r="B655" s="70"/>
      <c r="C655" s="16" t="s">
        <v>152</v>
      </c>
      <c r="D655" s="16" t="s">
        <v>147</v>
      </c>
      <c r="E655" s="57" t="s">
        <v>570</v>
      </c>
      <c r="F655" s="85" t="s">
        <v>314</v>
      </c>
      <c r="G655" s="102" t="s">
        <v>315</v>
      </c>
      <c r="H655" s="41">
        <f>310.4-1.8</f>
        <v>308.59999999999997</v>
      </c>
      <c r="I655" s="41">
        <f>310.4-1.8</f>
        <v>308.59999999999997</v>
      </c>
      <c r="J655" s="99">
        <f t="shared" si="37"/>
        <v>100</v>
      </c>
    </row>
    <row r="656" spans="1:10" s="37" customFormat="1" ht="51" customHeight="1">
      <c r="A656" s="27"/>
      <c r="B656" s="70"/>
      <c r="C656" s="16" t="s">
        <v>152</v>
      </c>
      <c r="D656" s="16" t="s">
        <v>147</v>
      </c>
      <c r="E656" s="57" t="s">
        <v>613</v>
      </c>
      <c r="F656" s="21"/>
      <c r="G656" s="130" t="s">
        <v>614</v>
      </c>
      <c r="H656" s="41">
        <f>H657</f>
        <v>25.7</v>
      </c>
      <c r="I656" s="41">
        <f>I657</f>
        <v>25.7</v>
      </c>
      <c r="J656" s="99">
        <f t="shared" si="37"/>
        <v>100</v>
      </c>
    </row>
    <row r="657" spans="1:10" s="37" customFormat="1" ht="38.25">
      <c r="A657" s="27"/>
      <c r="B657" s="70"/>
      <c r="C657" s="16" t="s">
        <v>152</v>
      </c>
      <c r="D657" s="16" t="s">
        <v>147</v>
      </c>
      <c r="E657" s="57" t="s">
        <v>613</v>
      </c>
      <c r="F657" s="85" t="s">
        <v>314</v>
      </c>
      <c r="G657" s="102" t="s">
        <v>315</v>
      </c>
      <c r="H657" s="41">
        <v>25.7</v>
      </c>
      <c r="I657" s="41">
        <v>25.7</v>
      </c>
      <c r="J657" s="99">
        <f t="shared" si="37"/>
        <v>100</v>
      </c>
    </row>
    <row r="658" spans="1:10" s="37" customFormat="1" ht="38.25">
      <c r="A658" s="27"/>
      <c r="B658" s="70"/>
      <c r="C658" s="16" t="s">
        <v>152</v>
      </c>
      <c r="D658" s="16" t="s">
        <v>147</v>
      </c>
      <c r="E658" s="57" t="s">
        <v>615</v>
      </c>
      <c r="F658" s="21"/>
      <c r="G658" s="130" t="s">
        <v>616</v>
      </c>
      <c r="H658" s="99">
        <f>H659</f>
        <v>166.4</v>
      </c>
      <c r="I658" s="99">
        <f>I659</f>
        <v>166.4</v>
      </c>
      <c r="J658" s="99">
        <f t="shared" si="37"/>
        <v>100</v>
      </c>
    </row>
    <row r="659" spans="1:10" s="37" customFormat="1" ht="38.25">
      <c r="A659" s="27"/>
      <c r="B659" s="70"/>
      <c r="C659" s="16" t="s">
        <v>152</v>
      </c>
      <c r="D659" s="16" t="s">
        <v>147</v>
      </c>
      <c r="E659" s="57" t="s">
        <v>615</v>
      </c>
      <c r="F659" s="85" t="s">
        <v>314</v>
      </c>
      <c r="G659" s="102" t="s">
        <v>315</v>
      </c>
      <c r="H659" s="99">
        <v>166.4</v>
      </c>
      <c r="I659" s="99">
        <v>166.4</v>
      </c>
      <c r="J659" s="99">
        <f t="shared" si="37"/>
        <v>100</v>
      </c>
    </row>
    <row r="660" spans="1:10" s="37" customFormat="1" ht="38.25">
      <c r="A660" s="27"/>
      <c r="B660" s="70"/>
      <c r="C660" s="16" t="s">
        <v>152</v>
      </c>
      <c r="D660" s="16" t="s">
        <v>147</v>
      </c>
      <c r="E660" s="52" t="s">
        <v>120</v>
      </c>
      <c r="F660" s="16"/>
      <c r="G660" s="46" t="s">
        <v>125</v>
      </c>
      <c r="H660" s="98">
        <f>H661+H666</f>
        <v>409.20000000000005</v>
      </c>
      <c r="I660" s="98">
        <f>I661+I666</f>
        <v>409.20000000000005</v>
      </c>
      <c r="J660" s="99">
        <f t="shared" si="37"/>
        <v>100</v>
      </c>
    </row>
    <row r="661" spans="1:10" s="37" customFormat="1" ht="38.25">
      <c r="A661" s="27"/>
      <c r="B661" s="70"/>
      <c r="C661" s="16" t="s">
        <v>152</v>
      </c>
      <c r="D661" s="16" t="s">
        <v>147</v>
      </c>
      <c r="E661" s="21" t="s">
        <v>438</v>
      </c>
      <c r="F661" s="16"/>
      <c r="G661" s="102" t="s">
        <v>439</v>
      </c>
      <c r="H661" s="41">
        <f>H662+H664</f>
        <v>356.1</v>
      </c>
      <c r="I661" s="41">
        <f>I662+I664</f>
        <v>356.1</v>
      </c>
      <c r="J661" s="99">
        <f t="shared" si="37"/>
        <v>100</v>
      </c>
    </row>
    <row r="662" spans="1:10" s="37" customFormat="1" ht="51">
      <c r="A662" s="27"/>
      <c r="B662" s="70"/>
      <c r="C662" s="16" t="s">
        <v>152</v>
      </c>
      <c r="D662" s="16" t="s">
        <v>147</v>
      </c>
      <c r="E662" s="57" t="s">
        <v>573</v>
      </c>
      <c r="F662" s="16"/>
      <c r="G662" s="102" t="s">
        <v>69</v>
      </c>
      <c r="H662" s="41">
        <f>H663</f>
        <v>244.5</v>
      </c>
      <c r="I662" s="41">
        <f>I663</f>
        <v>244.5</v>
      </c>
      <c r="J662" s="99">
        <f t="shared" si="37"/>
        <v>100</v>
      </c>
    </row>
    <row r="663" spans="1:10" s="37" customFormat="1" ht="38.25">
      <c r="A663" s="27"/>
      <c r="B663" s="70"/>
      <c r="C663" s="16" t="s">
        <v>152</v>
      </c>
      <c r="D663" s="16" t="s">
        <v>147</v>
      </c>
      <c r="E663" s="57" t="s">
        <v>573</v>
      </c>
      <c r="F663" s="85" t="s">
        <v>314</v>
      </c>
      <c r="G663" s="102" t="s">
        <v>315</v>
      </c>
      <c r="H663" s="41">
        <v>244.5</v>
      </c>
      <c r="I663" s="41">
        <v>244.5</v>
      </c>
      <c r="J663" s="99">
        <f t="shared" si="37"/>
        <v>100</v>
      </c>
    </row>
    <row r="664" spans="1:10" s="37" customFormat="1" ht="41.25" customHeight="1">
      <c r="A664" s="27"/>
      <c r="B664" s="70"/>
      <c r="C664" s="16" t="s">
        <v>152</v>
      </c>
      <c r="D664" s="16" t="s">
        <v>147</v>
      </c>
      <c r="E664" s="57" t="s">
        <v>122</v>
      </c>
      <c r="F664" s="16"/>
      <c r="G664" s="102" t="s">
        <v>184</v>
      </c>
      <c r="H664" s="41">
        <f>H665</f>
        <v>111.6</v>
      </c>
      <c r="I664" s="41">
        <f>I665</f>
        <v>111.6</v>
      </c>
      <c r="J664" s="99">
        <f t="shared" si="37"/>
        <v>100</v>
      </c>
    </row>
    <row r="665" spans="1:10" s="37" customFormat="1" ht="14.25">
      <c r="A665" s="27"/>
      <c r="B665" s="70"/>
      <c r="C665" s="16" t="s">
        <v>152</v>
      </c>
      <c r="D665" s="16" t="s">
        <v>147</v>
      </c>
      <c r="E665" s="57" t="s">
        <v>122</v>
      </c>
      <c r="F665" s="85" t="s">
        <v>643</v>
      </c>
      <c r="G665" s="106" t="s">
        <v>644</v>
      </c>
      <c r="H665" s="41">
        <v>111.6</v>
      </c>
      <c r="I665" s="41">
        <v>111.6</v>
      </c>
      <c r="J665" s="99">
        <f t="shared" si="37"/>
        <v>100</v>
      </c>
    </row>
    <row r="666" spans="1:10" s="37" customFormat="1" ht="51">
      <c r="A666" s="27"/>
      <c r="B666" s="70"/>
      <c r="C666" s="16" t="s">
        <v>152</v>
      </c>
      <c r="D666" s="16" t="s">
        <v>147</v>
      </c>
      <c r="E666" s="57" t="s">
        <v>799</v>
      </c>
      <c r="F666" s="85"/>
      <c r="G666" s="102" t="s">
        <v>800</v>
      </c>
      <c r="H666" s="41">
        <f>H667</f>
        <v>53.1</v>
      </c>
      <c r="I666" s="41">
        <f>I667</f>
        <v>53.1</v>
      </c>
      <c r="J666" s="99">
        <f t="shared" si="37"/>
        <v>100</v>
      </c>
    </row>
    <row r="667" spans="1:10" s="37" customFormat="1" ht="76.5">
      <c r="A667" s="27"/>
      <c r="B667" s="70"/>
      <c r="C667" s="16" t="s">
        <v>152</v>
      </c>
      <c r="D667" s="16" t="s">
        <v>147</v>
      </c>
      <c r="E667" s="57" t="s">
        <v>751</v>
      </c>
      <c r="F667" s="21"/>
      <c r="G667" s="54" t="s">
        <v>752</v>
      </c>
      <c r="H667" s="99">
        <f>H668</f>
        <v>53.1</v>
      </c>
      <c r="I667" s="99">
        <f>I668</f>
        <v>53.1</v>
      </c>
      <c r="J667" s="99">
        <f t="shared" si="37"/>
        <v>100</v>
      </c>
    </row>
    <row r="668" spans="1:10" s="37" customFormat="1" ht="38.25">
      <c r="A668" s="27"/>
      <c r="B668" s="70"/>
      <c r="C668" s="16" t="s">
        <v>152</v>
      </c>
      <c r="D668" s="16" t="s">
        <v>147</v>
      </c>
      <c r="E668" s="57" t="s">
        <v>751</v>
      </c>
      <c r="F668" s="85" t="s">
        <v>314</v>
      </c>
      <c r="G668" s="102" t="s">
        <v>315</v>
      </c>
      <c r="H668" s="99">
        <f>30+23.1</f>
        <v>53.1</v>
      </c>
      <c r="I668" s="99">
        <f>30+23.1</f>
        <v>53.1</v>
      </c>
      <c r="J668" s="99">
        <f t="shared" si="37"/>
        <v>100</v>
      </c>
    </row>
    <row r="669" spans="1:10" s="37" customFormat="1" ht="14.25">
      <c r="A669" s="27"/>
      <c r="B669" s="70"/>
      <c r="C669" s="16" t="s">
        <v>152</v>
      </c>
      <c r="D669" s="16" t="s">
        <v>147</v>
      </c>
      <c r="E669" s="52" t="s">
        <v>121</v>
      </c>
      <c r="F669" s="16"/>
      <c r="G669" s="66" t="s">
        <v>68</v>
      </c>
      <c r="H669" s="58">
        <f>H670</f>
        <v>6829.4000000000005</v>
      </c>
      <c r="I669" s="58">
        <f>I670</f>
        <v>6815.7000000000007</v>
      </c>
      <c r="J669" s="99">
        <f t="shared" si="37"/>
        <v>99.8</v>
      </c>
    </row>
    <row r="670" spans="1:10" s="37" customFormat="1" ht="63.75">
      <c r="A670" s="27"/>
      <c r="B670" s="70"/>
      <c r="C670" s="16" t="s">
        <v>152</v>
      </c>
      <c r="D670" s="16" t="s">
        <v>147</v>
      </c>
      <c r="E670" s="74" t="s">
        <v>123</v>
      </c>
      <c r="F670" s="16"/>
      <c r="G670" s="102" t="s">
        <v>440</v>
      </c>
      <c r="H670" s="41">
        <f>SUM(H671:H673)</f>
        <v>6829.4000000000005</v>
      </c>
      <c r="I670" s="41">
        <f>SUM(I671:I673)</f>
        <v>6815.7000000000007</v>
      </c>
      <c r="J670" s="99">
        <f t="shared" si="37"/>
        <v>99.8</v>
      </c>
    </row>
    <row r="671" spans="1:10" s="37" customFormat="1" ht="38.25">
      <c r="A671" s="27"/>
      <c r="B671" s="70"/>
      <c r="C671" s="16" t="s">
        <v>152</v>
      </c>
      <c r="D671" s="16" t="s">
        <v>147</v>
      </c>
      <c r="E671" s="74" t="s">
        <v>123</v>
      </c>
      <c r="F671" s="16" t="s">
        <v>102</v>
      </c>
      <c r="G671" s="55" t="s">
        <v>103</v>
      </c>
      <c r="H671" s="99">
        <f>6422.8+61.5</f>
        <v>6484.3</v>
      </c>
      <c r="I671" s="99">
        <f>6422.8+61.5</f>
        <v>6484.3</v>
      </c>
      <c r="J671" s="99">
        <f t="shared" si="37"/>
        <v>100</v>
      </c>
    </row>
    <row r="672" spans="1:10" s="37" customFormat="1" ht="38.25">
      <c r="A672" s="27"/>
      <c r="B672" s="70"/>
      <c r="C672" s="16" t="s">
        <v>152</v>
      </c>
      <c r="D672" s="16" t="s">
        <v>147</v>
      </c>
      <c r="E672" s="74" t="s">
        <v>123</v>
      </c>
      <c r="F672" s="85" t="s">
        <v>314</v>
      </c>
      <c r="G672" s="102" t="s">
        <v>315</v>
      </c>
      <c r="H672" s="41">
        <f>406.6-0.1-2-61.5</f>
        <v>343</v>
      </c>
      <c r="I672" s="41">
        <v>329.3</v>
      </c>
      <c r="J672" s="99">
        <f t="shared" si="37"/>
        <v>96</v>
      </c>
    </row>
    <row r="673" spans="1:10" s="37" customFormat="1" ht="18.75" customHeight="1">
      <c r="A673" s="27"/>
      <c r="B673" s="70"/>
      <c r="C673" s="16" t="s">
        <v>152</v>
      </c>
      <c r="D673" s="16" t="s">
        <v>147</v>
      </c>
      <c r="E673" s="74" t="s">
        <v>123</v>
      </c>
      <c r="F673" s="85" t="s">
        <v>180</v>
      </c>
      <c r="G673" s="215" t="s">
        <v>181</v>
      </c>
      <c r="H673" s="41">
        <f>0.1+2</f>
        <v>2.1</v>
      </c>
      <c r="I673" s="41">
        <f>0.1+2</f>
        <v>2.1</v>
      </c>
      <c r="J673" s="99">
        <f t="shared" si="37"/>
        <v>100</v>
      </c>
    </row>
    <row r="674" spans="1:10" ht="15.75">
      <c r="A674" s="3"/>
      <c r="B674" s="96"/>
      <c r="C674" s="4" t="s">
        <v>158</v>
      </c>
      <c r="D674" s="3"/>
      <c r="E674" s="3"/>
      <c r="F674" s="3"/>
      <c r="G674" s="49" t="s">
        <v>159</v>
      </c>
      <c r="H674" s="97">
        <f>H675+H681</f>
        <v>12232.2</v>
      </c>
      <c r="I674" s="97">
        <f>I675+I681</f>
        <v>8602</v>
      </c>
      <c r="J674" s="206">
        <f t="shared" si="37"/>
        <v>70.3</v>
      </c>
    </row>
    <row r="675" spans="1:10" ht="15.75">
      <c r="A675" s="3"/>
      <c r="B675" s="96"/>
      <c r="C675" s="35" t="s">
        <v>158</v>
      </c>
      <c r="D675" s="35" t="s">
        <v>141</v>
      </c>
      <c r="E675" s="35"/>
      <c r="F675" s="35"/>
      <c r="G675" s="45" t="s">
        <v>164</v>
      </c>
      <c r="H675" s="98">
        <f t="shared" ref="H675:I676" si="38">H676</f>
        <v>1332</v>
      </c>
      <c r="I675" s="98">
        <f t="shared" si="38"/>
        <v>1156.8</v>
      </c>
      <c r="J675" s="42">
        <f t="shared" si="37"/>
        <v>86.8</v>
      </c>
    </row>
    <row r="676" spans="1:10" ht="51.75">
      <c r="A676" s="3"/>
      <c r="B676" s="96"/>
      <c r="C676" s="84" t="s">
        <v>158</v>
      </c>
      <c r="D676" s="84" t="s">
        <v>141</v>
      </c>
      <c r="E676" s="21" t="s">
        <v>118</v>
      </c>
      <c r="F676" s="35"/>
      <c r="G676" s="64" t="s">
        <v>543</v>
      </c>
      <c r="H676" s="100">
        <f t="shared" si="38"/>
        <v>1332</v>
      </c>
      <c r="I676" s="100">
        <f t="shared" si="38"/>
        <v>1156.8</v>
      </c>
      <c r="J676" s="62">
        <f t="shared" si="37"/>
        <v>86.8</v>
      </c>
    </row>
    <row r="677" spans="1:10" ht="26.25">
      <c r="A677" s="3"/>
      <c r="B677" s="96"/>
      <c r="C677" s="47" t="s">
        <v>158</v>
      </c>
      <c r="D677" s="47" t="s">
        <v>141</v>
      </c>
      <c r="E677" s="52" t="s">
        <v>119</v>
      </c>
      <c r="F677" s="3"/>
      <c r="G677" s="46" t="s">
        <v>59</v>
      </c>
      <c r="H677" s="98">
        <f t="shared" ref="H677:I679" si="39">H678</f>
        <v>1332</v>
      </c>
      <c r="I677" s="98">
        <f t="shared" si="39"/>
        <v>1156.8</v>
      </c>
      <c r="J677" s="58">
        <f t="shared" si="37"/>
        <v>86.8</v>
      </c>
    </row>
    <row r="678" spans="1:10" ht="27" customHeight="1">
      <c r="A678" s="3"/>
      <c r="B678" s="96"/>
      <c r="C678" s="16" t="s">
        <v>158</v>
      </c>
      <c r="D678" s="16" t="s">
        <v>141</v>
      </c>
      <c r="E678" s="21" t="s">
        <v>419</v>
      </c>
      <c r="F678" s="35"/>
      <c r="G678" s="101" t="s">
        <v>421</v>
      </c>
      <c r="H678" s="103">
        <f t="shared" si="39"/>
        <v>1332</v>
      </c>
      <c r="I678" s="103">
        <f t="shared" si="39"/>
        <v>1156.8</v>
      </c>
      <c r="J678" s="99">
        <f t="shared" si="37"/>
        <v>86.8</v>
      </c>
    </row>
    <row r="679" spans="1:10" ht="91.5" customHeight="1">
      <c r="A679" s="3"/>
      <c r="B679" s="96"/>
      <c r="C679" s="16" t="s">
        <v>158</v>
      </c>
      <c r="D679" s="16" t="s">
        <v>141</v>
      </c>
      <c r="E679" s="21" t="s">
        <v>558</v>
      </c>
      <c r="F679" s="35"/>
      <c r="G679" s="102" t="s">
        <v>259</v>
      </c>
      <c r="H679" s="99">
        <f t="shared" si="39"/>
        <v>1332</v>
      </c>
      <c r="I679" s="99">
        <f t="shared" si="39"/>
        <v>1156.8</v>
      </c>
      <c r="J679" s="99">
        <f t="shared" si="37"/>
        <v>86.8</v>
      </c>
    </row>
    <row r="680" spans="1:10" ht="25.5">
      <c r="A680" s="3"/>
      <c r="B680" s="96"/>
      <c r="C680" s="16" t="s">
        <v>158</v>
      </c>
      <c r="D680" s="16" t="s">
        <v>141</v>
      </c>
      <c r="E680" s="21" t="s">
        <v>558</v>
      </c>
      <c r="F680" s="84" t="s">
        <v>412</v>
      </c>
      <c r="G680" s="102" t="s">
        <v>413</v>
      </c>
      <c r="H680" s="99">
        <v>1332</v>
      </c>
      <c r="I680" s="99">
        <v>1156.8</v>
      </c>
      <c r="J680" s="99">
        <f t="shared" si="37"/>
        <v>86.8</v>
      </c>
    </row>
    <row r="681" spans="1:10" ht="14.25">
      <c r="A681" s="1"/>
      <c r="B681" s="25"/>
      <c r="C681" s="35" t="s">
        <v>158</v>
      </c>
      <c r="D681" s="35" t="s">
        <v>142</v>
      </c>
      <c r="E681" s="35"/>
      <c r="F681" s="38"/>
      <c r="G681" s="50" t="s">
        <v>16</v>
      </c>
      <c r="H681" s="42">
        <f t="shared" ref="H681:I684" si="40">H682</f>
        <v>10900.2</v>
      </c>
      <c r="I681" s="42">
        <f t="shared" si="40"/>
        <v>7445.2</v>
      </c>
      <c r="J681" s="42">
        <f t="shared" si="37"/>
        <v>68.3</v>
      </c>
    </row>
    <row r="682" spans="1:10" ht="51">
      <c r="A682" s="1"/>
      <c r="B682" s="25"/>
      <c r="C682" s="16" t="s">
        <v>158</v>
      </c>
      <c r="D682" s="16" t="s">
        <v>142</v>
      </c>
      <c r="E682" s="21" t="s">
        <v>118</v>
      </c>
      <c r="F682" s="35"/>
      <c r="G682" s="64" t="s">
        <v>543</v>
      </c>
      <c r="H682" s="100">
        <f t="shared" si="40"/>
        <v>10900.2</v>
      </c>
      <c r="I682" s="100">
        <f t="shared" si="40"/>
        <v>7445.2</v>
      </c>
      <c r="J682" s="62">
        <f t="shared" si="37"/>
        <v>68.3</v>
      </c>
    </row>
    <row r="683" spans="1:10" ht="25.5">
      <c r="A683" s="1"/>
      <c r="B683" s="25"/>
      <c r="C683" s="16" t="s">
        <v>158</v>
      </c>
      <c r="D683" s="16" t="s">
        <v>142</v>
      </c>
      <c r="E683" s="52" t="s">
        <v>119</v>
      </c>
      <c r="F683" s="35"/>
      <c r="G683" s="46" t="s">
        <v>59</v>
      </c>
      <c r="H683" s="98">
        <f t="shared" si="40"/>
        <v>10900.2</v>
      </c>
      <c r="I683" s="98">
        <f t="shared" si="40"/>
        <v>7445.2</v>
      </c>
      <c r="J683" s="58">
        <f t="shared" si="37"/>
        <v>68.3</v>
      </c>
    </row>
    <row r="684" spans="1:10" ht="27.75" customHeight="1">
      <c r="A684" s="1"/>
      <c r="B684" s="25"/>
      <c r="C684" s="16" t="s">
        <v>158</v>
      </c>
      <c r="D684" s="16" t="s">
        <v>142</v>
      </c>
      <c r="E684" s="21" t="s">
        <v>419</v>
      </c>
      <c r="F684" s="35"/>
      <c r="G684" s="101" t="s">
        <v>421</v>
      </c>
      <c r="H684" s="103">
        <f t="shared" si="40"/>
        <v>10900.2</v>
      </c>
      <c r="I684" s="103">
        <f t="shared" si="40"/>
        <v>7445.2</v>
      </c>
      <c r="J684" s="99">
        <f t="shared" si="37"/>
        <v>68.3</v>
      </c>
    </row>
    <row r="685" spans="1:10" ht="39" customHeight="1">
      <c r="A685" s="1"/>
      <c r="B685" s="25"/>
      <c r="C685" s="16" t="s">
        <v>158</v>
      </c>
      <c r="D685" s="16" t="s">
        <v>142</v>
      </c>
      <c r="E685" s="84" t="s">
        <v>556</v>
      </c>
      <c r="F685" s="21"/>
      <c r="G685" s="102" t="s">
        <v>429</v>
      </c>
      <c r="H685" s="99">
        <f>SUM(H686:H687)</f>
        <v>10900.2</v>
      </c>
      <c r="I685" s="99">
        <f>SUM(I686:I687)</f>
        <v>7445.2</v>
      </c>
      <c r="J685" s="99">
        <f t="shared" si="37"/>
        <v>68.3</v>
      </c>
    </row>
    <row r="686" spans="1:10" ht="38.25">
      <c r="A686" s="1"/>
      <c r="B686" s="25"/>
      <c r="C686" s="16" t="s">
        <v>158</v>
      </c>
      <c r="D686" s="16" t="s">
        <v>142</v>
      </c>
      <c r="E686" s="84" t="s">
        <v>556</v>
      </c>
      <c r="F686" s="85" t="s">
        <v>314</v>
      </c>
      <c r="G686" s="102" t="s">
        <v>315</v>
      </c>
      <c r="H686" s="99">
        <f>155+100</f>
        <v>255</v>
      </c>
      <c r="I686" s="99">
        <v>156</v>
      </c>
      <c r="J686" s="99">
        <f t="shared" si="37"/>
        <v>61.2</v>
      </c>
    </row>
    <row r="687" spans="1:10" ht="38.25">
      <c r="A687" s="1"/>
      <c r="B687" s="25"/>
      <c r="C687" s="16" t="s">
        <v>158</v>
      </c>
      <c r="D687" s="16" t="s">
        <v>142</v>
      </c>
      <c r="E687" s="84" t="s">
        <v>556</v>
      </c>
      <c r="F687" s="85" t="s">
        <v>387</v>
      </c>
      <c r="G687" s="102" t="s">
        <v>373</v>
      </c>
      <c r="H687" s="99">
        <f>10745.2-100</f>
        <v>10645.2</v>
      </c>
      <c r="I687" s="99">
        <v>7289.2</v>
      </c>
      <c r="J687" s="99">
        <f t="shared" si="37"/>
        <v>68.5</v>
      </c>
    </row>
    <row r="688" spans="1:10" s="8" customFormat="1" ht="88.5" customHeight="1">
      <c r="A688" s="3">
        <v>5</v>
      </c>
      <c r="B688" s="96">
        <v>938</v>
      </c>
      <c r="C688" s="13"/>
      <c r="D688" s="13"/>
      <c r="E688" s="13"/>
      <c r="F688" s="13"/>
      <c r="G688" s="14" t="s">
        <v>249</v>
      </c>
      <c r="H688" s="97">
        <f>H689+H702+H740+H794</f>
        <v>80502.699999999983</v>
      </c>
      <c r="I688" s="97">
        <f>I689+I702+I740+I794</f>
        <v>79748.100000000006</v>
      </c>
      <c r="J688" s="206">
        <f t="shared" si="37"/>
        <v>99.1</v>
      </c>
    </row>
    <row r="689" spans="1:10" s="8" customFormat="1" ht="15.75">
      <c r="A689" s="3"/>
      <c r="B689" s="96"/>
      <c r="C689" s="4" t="s">
        <v>142</v>
      </c>
      <c r="D689" s="3"/>
      <c r="E689" s="3"/>
      <c r="F689" s="3"/>
      <c r="G689" s="49" t="s">
        <v>148</v>
      </c>
      <c r="H689" s="97">
        <f>H690+H696</f>
        <v>459.7</v>
      </c>
      <c r="I689" s="97">
        <f>I690+I696</f>
        <v>459.7</v>
      </c>
      <c r="J689" s="65">
        <f t="shared" si="37"/>
        <v>100</v>
      </c>
    </row>
    <row r="690" spans="1:10" s="8" customFormat="1" ht="15.75">
      <c r="A690" s="3"/>
      <c r="B690" s="96"/>
      <c r="C690" s="47" t="s">
        <v>142</v>
      </c>
      <c r="D690" s="47" t="s">
        <v>136</v>
      </c>
      <c r="E690" s="30"/>
      <c r="F690" s="30"/>
      <c r="G690" s="45" t="s">
        <v>178</v>
      </c>
      <c r="H690" s="86">
        <f>H691</f>
        <v>300</v>
      </c>
      <c r="I690" s="86">
        <f>I691</f>
        <v>300</v>
      </c>
      <c r="J690" s="58">
        <f t="shared" si="37"/>
        <v>100</v>
      </c>
    </row>
    <row r="691" spans="1:10" s="8" customFormat="1" ht="54" customHeight="1">
      <c r="A691" s="3"/>
      <c r="B691" s="96"/>
      <c r="C691" s="85" t="s">
        <v>142</v>
      </c>
      <c r="D691" s="85" t="s">
        <v>136</v>
      </c>
      <c r="E691" s="73" t="s">
        <v>98</v>
      </c>
      <c r="F691" s="35"/>
      <c r="G691" s="53" t="s">
        <v>547</v>
      </c>
      <c r="H691" s="97">
        <f>H692</f>
        <v>300</v>
      </c>
      <c r="I691" s="97">
        <f>I692</f>
        <v>300</v>
      </c>
      <c r="J691" s="62">
        <f t="shared" si="37"/>
        <v>100</v>
      </c>
    </row>
    <row r="692" spans="1:10" s="8" customFormat="1" ht="26.25">
      <c r="A692" s="3"/>
      <c r="B692" s="96"/>
      <c r="C692" s="85" t="s">
        <v>142</v>
      </c>
      <c r="D692" s="85" t="s">
        <v>136</v>
      </c>
      <c r="E692" s="52" t="s">
        <v>38</v>
      </c>
      <c r="F692" s="21"/>
      <c r="G692" s="48" t="s">
        <v>251</v>
      </c>
      <c r="H692" s="40">
        <f>H694</f>
        <v>300</v>
      </c>
      <c r="I692" s="40">
        <f>I694</f>
        <v>300</v>
      </c>
      <c r="J692" s="58">
        <f t="shared" si="37"/>
        <v>100</v>
      </c>
    </row>
    <row r="693" spans="1:10" s="8" customFormat="1" ht="77.25">
      <c r="A693" s="3"/>
      <c r="B693" s="96"/>
      <c r="C693" s="85" t="s">
        <v>142</v>
      </c>
      <c r="D693" s="85" t="s">
        <v>136</v>
      </c>
      <c r="E693" s="21" t="s">
        <v>385</v>
      </c>
      <c r="F693" s="21"/>
      <c r="G693" s="104" t="s">
        <v>386</v>
      </c>
      <c r="H693" s="103">
        <f>H694</f>
        <v>300</v>
      </c>
      <c r="I693" s="103">
        <f>I694</f>
        <v>300</v>
      </c>
      <c r="J693" s="99">
        <f t="shared" si="37"/>
        <v>100</v>
      </c>
    </row>
    <row r="694" spans="1:10" s="8" customFormat="1" ht="63.75" customHeight="1">
      <c r="A694" s="3"/>
      <c r="B694" s="96"/>
      <c r="C694" s="85" t="s">
        <v>142</v>
      </c>
      <c r="D694" s="85" t="s">
        <v>136</v>
      </c>
      <c r="E694" s="74" t="s">
        <v>317</v>
      </c>
      <c r="F694" s="16"/>
      <c r="G694" s="102" t="s">
        <v>253</v>
      </c>
      <c r="H694" s="41">
        <f>H695</f>
        <v>300</v>
      </c>
      <c r="I694" s="41">
        <f>I695</f>
        <v>300</v>
      </c>
      <c r="J694" s="99">
        <f t="shared" si="37"/>
        <v>100</v>
      </c>
    </row>
    <row r="695" spans="1:10" s="8" customFormat="1" ht="15.75">
      <c r="A695" s="3"/>
      <c r="B695" s="96"/>
      <c r="C695" s="85" t="s">
        <v>142</v>
      </c>
      <c r="D695" s="85" t="s">
        <v>136</v>
      </c>
      <c r="E695" s="74" t="s">
        <v>317</v>
      </c>
      <c r="F695" s="21" t="s">
        <v>334</v>
      </c>
      <c r="G695" s="102" t="s">
        <v>333</v>
      </c>
      <c r="H695" s="41">
        <v>300</v>
      </c>
      <c r="I695" s="41">
        <v>300</v>
      </c>
      <c r="J695" s="99">
        <f t="shared" si="37"/>
        <v>100</v>
      </c>
    </row>
    <row r="696" spans="1:10" s="8" customFormat="1" ht="26.25">
      <c r="A696" s="3"/>
      <c r="B696" s="96"/>
      <c r="C696" s="21" t="s">
        <v>142</v>
      </c>
      <c r="D696" s="21" t="s">
        <v>170</v>
      </c>
      <c r="E696" s="30"/>
      <c r="F696" s="30"/>
      <c r="G696" s="46" t="s">
        <v>4</v>
      </c>
      <c r="H696" s="98">
        <f t="shared" ref="H696:I700" si="41">H697</f>
        <v>159.69999999999999</v>
      </c>
      <c r="I696" s="98">
        <f t="shared" si="41"/>
        <v>159.69999999999999</v>
      </c>
      <c r="J696" s="99">
        <f t="shared" si="37"/>
        <v>100</v>
      </c>
    </row>
    <row r="697" spans="1:10" s="8" customFormat="1" ht="54.75" customHeight="1">
      <c r="A697" s="3"/>
      <c r="B697" s="96"/>
      <c r="C697" s="5" t="s">
        <v>142</v>
      </c>
      <c r="D697" s="5" t="s">
        <v>170</v>
      </c>
      <c r="E697" s="73" t="s">
        <v>98</v>
      </c>
      <c r="F697" s="35"/>
      <c r="G697" s="53" t="s">
        <v>547</v>
      </c>
      <c r="H697" s="40">
        <f t="shared" si="41"/>
        <v>159.69999999999999</v>
      </c>
      <c r="I697" s="40">
        <f t="shared" si="41"/>
        <v>159.69999999999999</v>
      </c>
      <c r="J697" s="99">
        <f t="shared" si="37"/>
        <v>100</v>
      </c>
    </row>
    <row r="698" spans="1:10" s="8" customFormat="1" ht="26.25">
      <c r="A698" s="3"/>
      <c r="B698" s="96"/>
      <c r="C698" s="21" t="s">
        <v>142</v>
      </c>
      <c r="D698" s="21" t="s">
        <v>170</v>
      </c>
      <c r="E698" s="75">
        <v>250000000</v>
      </c>
      <c r="F698" s="85"/>
      <c r="G698" s="48" t="s">
        <v>450</v>
      </c>
      <c r="H698" s="98">
        <f t="shared" si="41"/>
        <v>159.69999999999999</v>
      </c>
      <c r="I698" s="98">
        <f t="shared" si="41"/>
        <v>159.69999999999999</v>
      </c>
      <c r="J698" s="62">
        <f t="shared" si="37"/>
        <v>100</v>
      </c>
    </row>
    <row r="699" spans="1:10" s="8" customFormat="1" ht="26.25">
      <c r="A699" s="3"/>
      <c r="B699" s="96"/>
      <c r="C699" s="21" t="s">
        <v>142</v>
      </c>
      <c r="D699" s="21" t="s">
        <v>170</v>
      </c>
      <c r="E699" s="74">
        <v>250100000</v>
      </c>
      <c r="F699" s="85"/>
      <c r="G699" s="111" t="s">
        <v>448</v>
      </c>
      <c r="H699" s="103">
        <f t="shared" si="41"/>
        <v>159.69999999999999</v>
      </c>
      <c r="I699" s="103">
        <f t="shared" si="41"/>
        <v>159.69999999999999</v>
      </c>
      <c r="J699" s="58">
        <f t="shared" si="37"/>
        <v>100</v>
      </c>
    </row>
    <row r="700" spans="1:10" s="8" customFormat="1" ht="38.25">
      <c r="A700" s="3"/>
      <c r="B700" s="96"/>
      <c r="C700" s="21" t="s">
        <v>142</v>
      </c>
      <c r="D700" s="21" t="s">
        <v>170</v>
      </c>
      <c r="E700" s="74" t="s">
        <v>255</v>
      </c>
      <c r="F700" s="85"/>
      <c r="G700" s="102" t="s">
        <v>449</v>
      </c>
      <c r="H700" s="41">
        <f t="shared" si="41"/>
        <v>159.69999999999999</v>
      </c>
      <c r="I700" s="41">
        <f t="shared" si="41"/>
        <v>159.69999999999999</v>
      </c>
      <c r="J700" s="99">
        <f t="shared" si="37"/>
        <v>100</v>
      </c>
    </row>
    <row r="701" spans="1:10" s="8" customFormat="1" ht="38.25">
      <c r="A701" s="3"/>
      <c r="B701" s="96"/>
      <c r="C701" s="21" t="s">
        <v>142</v>
      </c>
      <c r="D701" s="21" t="s">
        <v>170</v>
      </c>
      <c r="E701" s="74" t="s">
        <v>255</v>
      </c>
      <c r="F701" s="85" t="s">
        <v>314</v>
      </c>
      <c r="G701" s="102" t="s">
        <v>315</v>
      </c>
      <c r="H701" s="41">
        <f>140+19.7</f>
        <v>159.69999999999999</v>
      </c>
      <c r="I701" s="41">
        <f>140+19.7</f>
        <v>159.69999999999999</v>
      </c>
      <c r="J701" s="99">
        <f t="shared" si="37"/>
        <v>100</v>
      </c>
    </row>
    <row r="702" spans="1:10" ht="15.75">
      <c r="A702" s="3"/>
      <c r="B702" s="96"/>
      <c r="C702" s="4" t="s">
        <v>152</v>
      </c>
      <c r="D702" s="3"/>
      <c r="E702" s="3"/>
      <c r="F702" s="3"/>
      <c r="G702" s="49" t="s">
        <v>153</v>
      </c>
      <c r="H702" s="97">
        <f>H703+H719</f>
        <v>19674.3</v>
      </c>
      <c r="I702" s="97">
        <f>I703+I719</f>
        <v>19674.3</v>
      </c>
      <c r="J702" s="65">
        <f t="shared" si="37"/>
        <v>100</v>
      </c>
    </row>
    <row r="703" spans="1:10" s="37" customFormat="1" ht="14.25">
      <c r="A703" s="27"/>
      <c r="B703" s="70"/>
      <c r="C703" s="35" t="s">
        <v>152</v>
      </c>
      <c r="D703" s="35" t="s">
        <v>141</v>
      </c>
      <c r="E703" s="35"/>
      <c r="F703" s="35"/>
      <c r="G703" s="45" t="s">
        <v>218</v>
      </c>
      <c r="H703" s="42">
        <f>H704+H713</f>
        <v>13735</v>
      </c>
      <c r="I703" s="42">
        <f>I704+I713</f>
        <v>13735</v>
      </c>
      <c r="J703" s="58">
        <f t="shared" si="37"/>
        <v>100</v>
      </c>
    </row>
    <row r="704" spans="1:10" s="37" customFormat="1" ht="51" customHeight="1">
      <c r="A704" s="27"/>
      <c r="B704" s="70"/>
      <c r="C704" s="16" t="s">
        <v>152</v>
      </c>
      <c r="D704" s="85" t="s">
        <v>141</v>
      </c>
      <c r="E704" s="73" t="s">
        <v>98</v>
      </c>
      <c r="F704" s="35"/>
      <c r="G704" s="53" t="s">
        <v>547</v>
      </c>
      <c r="H704" s="65">
        <f>H705</f>
        <v>13539.5</v>
      </c>
      <c r="I704" s="65">
        <f>I705</f>
        <v>13539.5</v>
      </c>
      <c r="J704" s="62">
        <f t="shared" si="37"/>
        <v>100</v>
      </c>
    </row>
    <row r="705" spans="1:10" s="37" customFormat="1" ht="25.5">
      <c r="A705" s="27"/>
      <c r="B705" s="70"/>
      <c r="C705" s="16" t="s">
        <v>152</v>
      </c>
      <c r="D705" s="85" t="s">
        <v>141</v>
      </c>
      <c r="E705" s="52" t="s">
        <v>99</v>
      </c>
      <c r="F705" s="35"/>
      <c r="G705" s="48" t="s">
        <v>244</v>
      </c>
      <c r="H705" s="58">
        <f>H706</f>
        <v>13539.5</v>
      </c>
      <c r="I705" s="58">
        <f>I706</f>
        <v>13539.5</v>
      </c>
      <c r="J705" s="58">
        <f t="shared" si="37"/>
        <v>100</v>
      </c>
    </row>
    <row r="706" spans="1:10" s="37" customFormat="1" ht="38.25">
      <c r="A706" s="27"/>
      <c r="B706" s="70"/>
      <c r="C706" s="16" t="s">
        <v>152</v>
      </c>
      <c r="D706" s="85" t="s">
        <v>141</v>
      </c>
      <c r="E706" s="21" t="s">
        <v>310</v>
      </c>
      <c r="F706" s="35"/>
      <c r="G706" s="106" t="s">
        <v>316</v>
      </c>
      <c r="H706" s="99">
        <f>H707+H709+H711</f>
        <v>13539.5</v>
      </c>
      <c r="I706" s="99">
        <f t="shared" ref="I706:J706" si="42">I707+I709+I711</f>
        <v>13539.5</v>
      </c>
      <c r="J706" s="99">
        <f t="shared" si="42"/>
        <v>300</v>
      </c>
    </row>
    <row r="707" spans="1:10" s="20" customFormat="1" ht="26.25">
      <c r="A707" s="18"/>
      <c r="B707" s="71"/>
      <c r="C707" s="16" t="s">
        <v>152</v>
      </c>
      <c r="D707" s="85" t="s">
        <v>141</v>
      </c>
      <c r="E707" s="74" t="s">
        <v>246</v>
      </c>
      <c r="F707" s="16"/>
      <c r="G707" s="133" t="s">
        <v>247</v>
      </c>
      <c r="H707" s="39">
        <f>H708</f>
        <v>10764.9</v>
      </c>
      <c r="I707" s="39">
        <f>I708</f>
        <v>10764.9</v>
      </c>
      <c r="J707" s="99">
        <f t="shared" ref="J707:J714" si="43">ROUND((I707/H707*100),1)</f>
        <v>100</v>
      </c>
    </row>
    <row r="708" spans="1:10">
      <c r="A708" s="1"/>
      <c r="B708" s="25"/>
      <c r="C708" s="16" t="s">
        <v>152</v>
      </c>
      <c r="D708" s="85" t="s">
        <v>141</v>
      </c>
      <c r="E708" s="74" t="s">
        <v>246</v>
      </c>
      <c r="F708" s="21" t="s">
        <v>334</v>
      </c>
      <c r="G708" s="102" t="s">
        <v>333</v>
      </c>
      <c r="H708" s="39">
        <f>10741.9+23</f>
        <v>10764.9</v>
      </c>
      <c r="I708" s="39">
        <f>10741.9+23</f>
        <v>10764.9</v>
      </c>
      <c r="J708" s="99">
        <f t="shared" si="43"/>
        <v>100</v>
      </c>
    </row>
    <row r="709" spans="1:10" ht="76.5">
      <c r="A709" s="1"/>
      <c r="B709" s="25"/>
      <c r="C709" s="16" t="s">
        <v>152</v>
      </c>
      <c r="D709" s="85" t="s">
        <v>141</v>
      </c>
      <c r="E709" s="74">
        <v>210110690</v>
      </c>
      <c r="F709" s="21"/>
      <c r="G709" s="102" t="s">
        <v>491</v>
      </c>
      <c r="H709" s="113">
        <f>H710</f>
        <v>2747.6</v>
      </c>
      <c r="I709" s="113">
        <f>I710</f>
        <v>2747.6</v>
      </c>
      <c r="J709" s="99">
        <f t="shared" si="43"/>
        <v>100</v>
      </c>
    </row>
    <row r="710" spans="1:10">
      <c r="A710" s="1"/>
      <c r="B710" s="25"/>
      <c r="C710" s="16" t="s">
        <v>152</v>
      </c>
      <c r="D710" s="85" t="s">
        <v>141</v>
      </c>
      <c r="E710" s="74">
        <v>210110690</v>
      </c>
      <c r="F710" s="21" t="s">
        <v>334</v>
      </c>
      <c r="G710" s="102" t="s">
        <v>333</v>
      </c>
      <c r="H710" s="39">
        <v>2747.6</v>
      </c>
      <c r="I710" s="39">
        <v>2747.6</v>
      </c>
      <c r="J710" s="99">
        <f t="shared" si="43"/>
        <v>100</v>
      </c>
    </row>
    <row r="711" spans="1:10" ht="63.75">
      <c r="A711" s="1"/>
      <c r="B711" s="25"/>
      <c r="C711" s="16" t="s">
        <v>152</v>
      </c>
      <c r="D711" s="85" t="s">
        <v>141</v>
      </c>
      <c r="E711" s="74" t="s">
        <v>495</v>
      </c>
      <c r="F711" s="21"/>
      <c r="G711" s="102" t="s">
        <v>492</v>
      </c>
      <c r="H711" s="39">
        <f>H712</f>
        <v>27</v>
      </c>
      <c r="I711" s="39">
        <f>I712</f>
        <v>27</v>
      </c>
      <c r="J711" s="99">
        <f t="shared" si="43"/>
        <v>100</v>
      </c>
    </row>
    <row r="712" spans="1:10">
      <c r="A712" s="1"/>
      <c r="B712" s="25"/>
      <c r="C712" s="16" t="s">
        <v>152</v>
      </c>
      <c r="D712" s="85" t="s">
        <v>141</v>
      </c>
      <c r="E712" s="74" t="s">
        <v>495</v>
      </c>
      <c r="F712" s="21" t="s">
        <v>334</v>
      </c>
      <c r="G712" s="102" t="s">
        <v>333</v>
      </c>
      <c r="H712" s="39">
        <f>50-23</f>
        <v>27</v>
      </c>
      <c r="I712" s="39">
        <f>50-23</f>
        <v>27</v>
      </c>
      <c r="J712" s="99">
        <f t="shared" si="43"/>
        <v>100</v>
      </c>
    </row>
    <row r="713" spans="1:10" ht="25.5">
      <c r="A713" s="1"/>
      <c r="B713" s="25"/>
      <c r="C713" s="5" t="s">
        <v>152</v>
      </c>
      <c r="D713" s="5" t="s">
        <v>141</v>
      </c>
      <c r="E713" s="87">
        <v>9900000000</v>
      </c>
      <c r="F713" s="73"/>
      <c r="G713" s="149" t="s">
        <v>195</v>
      </c>
      <c r="H713" s="100">
        <f>H714</f>
        <v>195.5</v>
      </c>
      <c r="I713" s="100">
        <f>I714</f>
        <v>195.5</v>
      </c>
      <c r="J713" s="62">
        <f t="shared" si="43"/>
        <v>100</v>
      </c>
    </row>
    <row r="714" spans="1:10" ht="25.5" customHeight="1">
      <c r="A714" s="1"/>
      <c r="B714" s="25"/>
      <c r="C714" s="16" t="s">
        <v>152</v>
      </c>
      <c r="D714" s="85" t="s">
        <v>141</v>
      </c>
      <c r="E714" s="85" t="s">
        <v>31</v>
      </c>
      <c r="F714" s="85"/>
      <c r="G714" s="104" t="s">
        <v>53</v>
      </c>
      <c r="H714" s="98">
        <f>H715+H717</f>
        <v>195.5</v>
      </c>
      <c r="I714" s="98">
        <f>I715+I717</f>
        <v>195.5</v>
      </c>
      <c r="J714" s="58">
        <f t="shared" si="43"/>
        <v>100</v>
      </c>
    </row>
    <row r="715" spans="1:10" ht="25.5">
      <c r="A715" s="153"/>
      <c r="B715" s="25"/>
      <c r="C715" s="16" t="s">
        <v>152</v>
      </c>
      <c r="D715" s="85" t="s">
        <v>141</v>
      </c>
      <c r="E715" s="85" t="s">
        <v>729</v>
      </c>
      <c r="F715" s="16"/>
      <c r="G715" s="54" t="s">
        <v>468</v>
      </c>
      <c r="H715" s="41">
        <f>SUM(H716:H716)</f>
        <v>155.5</v>
      </c>
      <c r="I715" s="41">
        <f>SUM(I716:I716)</f>
        <v>155.5</v>
      </c>
      <c r="J715" s="99">
        <f t="shared" ref="J715" si="44">J716+J718+J720</f>
        <v>300</v>
      </c>
    </row>
    <row r="716" spans="1:10">
      <c r="A716" s="153"/>
      <c r="B716" s="25"/>
      <c r="C716" s="16" t="s">
        <v>152</v>
      </c>
      <c r="D716" s="85" t="s">
        <v>141</v>
      </c>
      <c r="E716" s="85" t="s">
        <v>729</v>
      </c>
      <c r="F716" s="85" t="s">
        <v>334</v>
      </c>
      <c r="G716" s="102" t="s">
        <v>333</v>
      </c>
      <c r="H716" s="41">
        <f>175.1-19.6</f>
        <v>155.5</v>
      </c>
      <c r="I716" s="41">
        <f>175.1-19.6</f>
        <v>155.5</v>
      </c>
      <c r="J716" s="99">
        <f t="shared" ref="J716:J743" si="45">ROUND((I716/H716*100),1)</f>
        <v>100</v>
      </c>
    </row>
    <row r="717" spans="1:10" ht="42.75" customHeight="1">
      <c r="A717" s="1"/>
      <c r="B717" s="25"/>
      <c r="C717" s="16" t="s">
        <v>152</v>
      </c>
      <c r="D717" s="85" t="s">
        <v>141</v>
      </c>
      <c r="E717" s="85" t="s">
        <v>632</v>
      </c>
      <c r="F717" s="16"/>
      <c r="G717" s="54" t="s">
        <v>590</v>
      </c>
      <c r="H717" s="41">
        <f>SUM(H718:H718)</f>
        <v>40</v>
      </c>
      <c r="I717" s="41">
        <f>SUM(I718:I718)</f>
        <v>40</v>
      </c>
      <c r="J717" s="99">
        <f t="shared" si="45"/>
        <v>100</v>
      </c>
    </row>
    <row r="718" spans="1:10">
      <c r="A718" s="1"/>
      <c r="B718" s="25"/>
      <c r="C718" s="16" t="s">
        <v>152</v>
      </c>
      <c r="D718" s="85" t="s">
        <v>141</v>
      </c>
      <c r="E718" s="85" t="s">
        <v>632</v>
      </c>
      <c r="F718" s="21" t="s">
        <v>334</v>
      </c>
      <c r="G718" s="102" t="s">
        <v>333</v>
      </c>
      <c r="H718" s="41">
        <v>40</v>
      </c>
      <c r="I718" s="41">
        <v>40</v>
      </c>
      <c r="J718" s="99">
        <f t="shared" si="45"/>
        <v>100</v>
      </c>
    </row>
    <row r="719" spans="1:10" s="37" customFormat="1" ht="14.25">
      <c r="A719" s="27"/>
      <c r="B719" s="70"/>
      <c r="C719" s="35" t="s">
        <v>152</v>
      </c>
      <c r="D719" s="35" t="s">
        <v>152</v>
      </c>
      <c r="E719" s="35"/>
      <c r="F719" s="35"/>
      <c r="G719" s="46" t="s">
        <v>217</v>
      </c>
      <c r="H719" s="42">
        <f>H720+H736</f>
        <v>5939.3</v>
      </c>
      <c r="I719" s="42">
        <f>I720+I736</f>
        <v>5939.3</v>
      </c>
      <c r="J719" s="58">
        <f t="shared" si="45"/>
        <v>100</v>
      </c>
    </row>
    <row r="720" spans="1:10" s="37" customFormat="1" ht="51" customHeight="1">
      <c r="A720" s="27"/>
      <c r="B720" s="70"/>
      <c r="C720" s="16" t="s">
        <v>152</v>
      </c>
      <c r="D720" s="16" t="s">
        <v>152</v>
      </c>
      <c r="E720" s="73" t="s">
        <v>98</v>
      </c>
      <c r="F720" s="35"/>
      <c r="G720" s="53" t="s">
        <v>547</v>
      </c>
      <c r="H720" s="65">
        <f>H721+H730</f>
        <v>5909.3</v>
      </c>
      <c r="I720" s="65">
        <f>I721+I730</f>
        <v>5909.3</v>
      </c>
      <c r="J720" s="65">
        <f t="shared" si="45"/>
        <v>100</v>
      </c>
    </row>
    <row r="721" spans="1:10" ht="25.5">
      <c r="A721" s="1"/>
      <c r="B721" s="25"/>
      <c r="C721" s="16" t="s">
        <v>152</v>
      </c>
      <c r="D721" s="16" t="s">
        <v>152</v>
      </c>
      <c r="E721" s="52" t="s">
        <v>38</v>
      </c>
      <c r="F721" s="21"/>
      <c r="G721" s="48" t="s">
        <v>251</v>
      </c>
      <c r="H721" s="98">
        <f>H722+H727</f>
        <v>5859.3</v>
      </c>
      <c r="I721" s="98">
        <f>I722+I727</f>
        <v>5859.3</v>
      </c>
      <c r="J721" s="58">
        <f t="shared" si="45"/>
        <v>100</v>
      </c>
    </row>
    <row r="722" spans="1:10" ht="38.25">
      <c r="A722" s="1"/>
      <c r="B722" s="25"/>
      <c r="C722" s="16" t="s">
        <v>152</v>
      </c>
      <c r="D722" s="16" t="s">
        <v>152</v>
      </c>
      <c r="E722" s="21" t="s">
        <v>311</v>
      </c>
      <c r="F722" s="16"/>
      <c r="G722" s="106" t="s">
        <v>384</v>
      </c>
      <c r="H722" s="41">
        <f>H723+H725</f>
        <v>150</v>
      </c>
      <c r="I722" s="41">
        <f>I723+I725</f>
        <v>150</v>
      </c>
      <c r="J722" s="99">
        <f t="shared" si="45"/>
        <v>100</v>
      </c>
    </row>
    <row r="723" spans="1:10" ht="51">
      <c r="A723" s="1"/>
      <c r="B723" s="25"/>
      <c r="C723" s="16" t="s">
        <v>152</v>
      </c>
      <c r="D723" s="16" t="s">
        <v>152</v>
      </c>
      <c r="E723" s="81" t="s">
        <v>39</v>
      </c>
      <c r="F723" s="16"/>
      <c r="G723" s="105" t="s">
        <v>306</v>
      </c>
      <c r="H723" s="39">
        <f>H724</f>
        <v>5</v>
      </c>
      <c r="I723" s="39">
        <f>I724</f>
        <v>5</v>
      </c>
      <c r="J723" s="99">
        <f t="shared" si="45"/>
        <v>100</v>
      </c>
    </row>
    <row r="724" spans="1:10" ht="38.25">
      <c r="A724" s="1"/>
      <c r="B724" s="25"/>
      <c r="C724" s="16" t="s">
        <v>152</v>
      </c>
      <c r="D724" s="16" t="s">
        <v>152</v>
      </c>
      <c r="E724" s="81" t="s">
        <v>39</v>
      </c>
      <c r="F724" s="85" t="s">
        <v>314</v>
      </c>
      <c r="G724" s="102" t="s">
        <v>315</v>
      </c>
      <c r="H724" s="41">
        <v>5</v>
      </c>
      <c r="I724" s="41">
        <v>5</v>
      </c>
      <c r="J724" s="99">
        <f t="shared" si="45"/>
        <v>100</v>
      </c>
    </row>
    <row r="725" spans="1:10" ht="25.5">
      <c r="A725" s="1"/>
      <c r="B725" s="25"/>
      <c r="C725" s="16" t="s">
        <v>152</v>
      </c>
      <c r="D725" s="16" t="s">
        <v>152</v>
      </c>
      <c r="E725" s="81" t="s">
        <v>40</v>
      </c>
      <c r="F725" s="16"/>
      <c r="G725" s="102" t="s">
        <v>252</v>
      </c>
      <c r="H725" s="41">
        <f>H726</f>
        <v>145</v>
      </c>
      <c r="I725" s="41">
        <f>I726</f>
        <v>145</v>
      </c>
      <c r="J725" s="99">
        <f t="shared" si="45"/>
        <v>100</v>
      </c>
    </row>
    <row r="726" spans="1:10" ht="38.25">
      <c r="A726" s="1"/>
      <c r="B726" s="25"/>
      <c r="C726" s="16" t="s">
        <v>152</v>
      </c>
      <c r="D726" s="16" t="s">
        <v>152</v>
      </c>
      <c r="E726" s="81" t="s">
        <v>40</v>
      </c>
      <c r="F726" s="85" t="s">
        <v>314</v>
      </c>
      <c r="G726" s="102" t="s">
        <v>315</v>
      </c>
      <c r="H726" s="41">
        <f>130+15</f>
        <v>145</v>
      </c>
      <c r="I726" s="41">
        <f>130+15</f>
        <v>145</v>
      </c>
      <c r="J726" s="99">
        <f t="shared" si="45"/>
        <v>100</v>
      </c>
    </row>
    <row r="727" spans="1:10" ht="76.5">
      <c r="A727" s="1"/>
      <c r="B727" s="25"/>
      <c r="C727" s="16" t="s">
        <v>152</v>
      </c>
      <c r="D727" s="16" t="s">
        <v>152</v>
      </c>
      <c r="E727" s="21" t="s">
        <v>385</v>
      </c>
      <c r="F727" s="16"/>
      <c r="G727" s="106" t="s">
        <v>386</v>
      </c>
      <c r="H727" s="41">
        <f>H728</f>
        <v>5709.3</v>
      </c>
      <c r="I727" s="41">
        <f>I728</f>
        <v>5709.3</v>
      </c>
      <c r="J727" s="99">
        <f t="shared" si="45"/>
        <v>100</v>
      </c>
    </row>
    <row r="728" spans="1:10" ht="38.25">
      <c r="A728" s="1"/>
      <c r="B728" s="25"/>
      <c r="C728" s="16" t="s">
        <v>152</v>
      </c>
      <c r="D728" s="16" t="s">
        <v>152</v>
      </c>
      <c r="E728" s="74" t="s">
        <v>309</v>
      </c>
      <c r="F728" s="16"/>
      <c r="G728" s="102" t="s">
        <v>0</v>
      </c>
      <c r="H728" s="41">
        <f>H729</f>
        <v>5709.3</v>
      </c>
      <c r="I728" s="41">
        <f>I729</f>
        <v>5709.3</v>
      </c>
      <c r="J728" s="99">
        <f t="shared" si="45"/>
        <v>100</v>
      </c>
    </row>
    <row r="729" spans="1:10">
      <c r="A729" s="1"/>
      <c r="B729" s="25"/>
      <c r="C729" s="16" t="s">
        <v>152</v>
      </c>
      <c r="D729" s="16" t="s">
        <v>152</v>
      </c>
      <c r="E729" s="74" t="s">
        <v>309</v>
      </c>
      <c r="F729" s="85" t="s">
        <v>334</v>
      </c>
      <c r="G729" s="102" t="s">
        <v>333</v>
      </c>
      <c r="H729" s="41">
        <v>5709.3</v>
      </c>
      <c r="I729" s="41">
        <v>5709.3</v>
      </c>
      <c r="J729" s="99">
        <f t="shared" si="45"/>
        <v>100</v>
      </c>
    </row>
    <row r="730" spans="1:10" ht="76.5">
      <c r="A730" s="1"/>
      <c r="B730" s="25"/>
      <c r="C730" s="16" t="s">
        <v>152</v>
      </c>
      <c r="D730" s="16" t="s">
        <v>152</v>
      </c>
      <c r="E730" s="75">
        <v>240000000</v>
      </c>
      <c r="F730" s="16"/>
      <c r="G730" s="48" t="s">
        <v>254</v>
      </c>
      <c r="H730" s="98">
        <f>H731</f>
        <v>50</v>
      </c>
      <c r="I730" s="98">
        <f>I731</f>
        <v>50</v>
      </c>
      <c r="J730" s="99">
        <f t="shared" si="45"/>
        <v>100</v>
      </c>
    </row>
    <row r="731" spans="1:10" ht="51">
      <c r="A731" s="1"/>
      <c r="B731" s="25"/>
      <c r="C731" s="16" t="s">
        <v>152</v>
      </c>
      <c r="D731" s="16" t="s">
        <v>152</v>
      </c>
      <c r="E731" s="74">
        <v>240100000</v>
      </c>
      <c r="F731" s="16"/>
      <c r="G731" s="111" t="s">
        <v>487</v>
      </c>
      <c r="H731" s="103">
        <f>H732+H734</f>
        <v>50</v>
      </c>
      <c r="I731" s="103">
        <f>I732+I734</f>
        <v>50</v>
      </c>
      <c r="J731" s="99">
        <f t="shared" si="45"/>
        <v>100</v>
      </c>
    </row>
    <row r="732" spans="1:10" ht="102">
      <c r="A732" s="1"/>
      <c r="B732" s="25"/>
      <c r="C732" s="16" t="s">
        <v>152</v>
      </c>
      <c r="D732" s="16" t="s">
        <v>152</v>
      </c>
      <c r="E732" s="74" t="s">
        <v>587</v>
      </c>
      <c r="F732" s="16"/>
      <c r="G732" s="102" t="s">
        <v>256</v>
      </c>
      <c r="H732" s="41">
        <f>H733</f>
        <v>5</v>
      </c>
      <c r="I732" s="41">
        <f>I733</f>
        <v>5</v>
      </c>
      <c r="J732" s="99">
        <f t="shared" si="45"/>
        <v>100</v>
      </c>
    </row>
    <row r="733" spans="1:10" ht="38.25">
      <c r="A733" s="1"/>
      <c r="B733" s="25"/>
      <c r="C733" s="16" t="s">
        <v>152</v>
      </c>
      <c r="D733" s="16" t="s">
        <v>152</v>
      </c>
      <c r="E733" s="74" t="s">
        <v>587</v>
      </c>
      <c r="F733" s="85" t="s">
        <v>314</v>
      </c>
      <c r="G733" s="102" t="s">
        <v>315</v>
      </c>
      <c r="H733" s="41">
        <v>5</v>
      </c>
      <c r="I733" s="41">
        <v>5</v>
      </c>
      <c r="J733" s="99">
        <f t="shared" si="45"/>
        <v>100</v>
      </c>
    </row>
    <row r="734" spans="1:10">
      <c r="A734" s="1"/>
      <c r="B734" s="25"/>
      <c r="C734" s="16" t="s">
        <v>152</v>
      </c>
      <c r="D734" s="16" t="s">
        <v>152</v>
      </c>
      <c r="E734" s="74" t="s">
        <v>588</v>
      </c>
      <c r="F734" s="16"/>
      <c r="G734" s="102" t="s">
        <v>258</v>
      </c>
      <c r="H734" s="41">
        <f>H735</f>
        <v>45</v>
      </c>
      <c r="I734" s="41">
        <f>I735</f>
        <v>45</v>
      </c>
      <c r="J734" s="99">
        <f t="shared" si="45"/>
        <v>100</v>
      </c>
    </row>
    <row r="735" spans="1:10" ht="38.25">
      <c r="A735" s="1"/>
      <c r="B735" s="25"/>
      <c r="C735" s="16" t="s">
        <v>152</v>
      </c>
      <c r="D735" s="16" t="s">
        <v>152</v>
      </c>
      <c r="E735" s="74" t="s">
        <v>588</v>
      </c>
      <c r="F735" s="85" t="s">
        <v>314</v>
      </c>
      <c r="G735" s="102" t="s">
        <v>315</v>
      </c>
      <c r="H735" s="41">
        <v>45</v>
      </c>
      <c r="I735" s="41">
        <v>45</v>
      </c>
      <c r="J735" s="99">
        <f t="shared" si="45"/>
        <v>100</v>
      </c>
    </row>
    <row r="736" spans="1:10" ht="25.5">
      <c r="A736" s="153"/>
      <c r="B736" s="25"/>
      <c r="C736" s="5" t="s">
        <v>152</v>
      </c>
      <c r="D736" s="5" t="s">
        <v>152</v>
      </c>
      <c r="E736" s="87">
        <v>9900000000</v>
      </c>
      <c r="F736" s="73"/>
      <c r="G736" s="149" t="s">
        <v>195</v>
      </c>
      <c r="H736" s="100">
        <f>H737</f>
        <v>30</v>
      </c>
      <c r="I736" s="100">
        <f>I737</f>
        <v>30</v>
      </c>
      <c r="J736" s="62">
        <f t="shared" si="45"/>
        <v>100</v>
      </c>
    </row>
    <row r="737" spans="1:10" ht="27" customHeight="1">
      <c r="A737" s="153"/>
      <c r="B737" s="25"/>
      <c r="C737" s="16" t="s">
        <v>152</v>
      </c>
      <c r="D737" s="85" t="s">
        <v>152</v>
      </c>
      <c r="E737" s="85" t="s">
        <v>31</v>
      </c>
      <c r="F737" s="85"/>
      <c r="G737" s="104" t="s">
        <v>53</v>
      </c>
      <c r="H737" s="98">
        <f>H738</f>
        <v>30</v>
      </c>
      <c r="I737" s="98">
        <f>I738</f>
        <v>30</v>
      </c>
      <c r="J737" s="58">
        <f t="shared" si="45"/>
        <v>100</v>
      </c>
    </row>
    <row r="738" spans="1:10" ht="36.75" customHeight="1">
      <c r="A738" s="153"/>
      <c r="B738" s="25"/>
      <c r="C738" s="16" t="s">
        <v>152</v>
      </c>
      <c r="D738" s="85" t="s">
        <v>152</v>
      </c>
      <c r="E738" s="85" t="s">
        <v>632</v>
      </c>
      <c r="F738" s="16"/>
      <c r="G738" s="54" t="s">
        <v>590</v>
      </c>
      <c r="H738" s="41">
        <f>SUM(H739:H739)</f>
        <v>30</v>
      </c>
      <c r="I738" s="41">
        <f>SUM(I739:I739)</f>
        <v>30</v>
      </c>
      <c r="J738" s="99">
        <f t="shared" si="45"/>
        <v>100</v>
      </c>
    </row>
    <row r="739" spans="1:10">
      <c r="A739" s="153"/>
      <c r="B739" s="25"/>
      <c r="C739" s="16" t="s">
        <v>152</v>
      </c>
      <c r="D739" s="85" t="s">
        <v>152</v>
      </c>
      <c r="E739" s="85" t="s">
        <v>632</v>
      </c>
      <c r="F739" s="85" t="s">
        <v>334</v>
      </c>
      <c r="G739" s="102" t="s">
        <v>333</v>
      </c>
      <c r="H739" s="41">
        <v>30</v>
      </c>
      <c r="I739" s="41">
        <v>30</v>
      </c>
      <c r="J739" s="99">
        <f t="shared" si="45"/>
        <v>100</v>
      </c>
    </row>
    <row r="740" spans="1:10" ht="15.75">
      <c r="A740" s="3"/>
      <c r="B740" s="96"/>
      <c r="C740" s="4" t="s">
        <v>149</v>
      </c>
      <c r="D740" s="3"/>
      <c r="E740" s="3"/>
      <c r="F740" s="3"/>
      <c r="G740" s="49" t="s">
        <v>25</v>
      </c>
      <c r="H740" s="97">
        <f>H741+H777</f>
        <v>60053.799999999996</v>
      </c>
      <c r="I740" s="97">
        <f>I741+I777</f>
        <v>59310</v>
      </c>
      <c r="J740" s="206">
        <f t="shared" si="45"/>
        <v>98.8</v>
      </c>
    </row>
    <row r="741" spans="1:10" s="37" customFormat="1" ht="14.25">
      <c r="A741" s="27"/>
      <c r="B741" s="70"/>
      <c r="C741" s="35" t="s">
        <v>149</v>
      </c>
      <c r="D741" s="35" t="s">
        <v>136</v>
      </c>
      <c r="E741" s="35"/>
      <c r="F741" s="35"/>
      <c r="G741" s="45" t="s">
        <v>154</v>
      </c>
      <c r="H741" s="42">
        <f>H742+H766</f>
        <v>57075.1</v>
      </c>
      <c r="I741" s="42">
        <f>I742+I766</f>
        <v>56333.3</v>
      </c>
      <c r="J741" s="42">
        <f t="shared" si="45"/>
        <v>98.7</v>
      </c>
    </row>
    <row r="742" spans="1:10" s="37" customFormat="1" ht="54.75" customHeight="1">
      <c r="A742" s="27"/>
      <c r="B742" s="70"/>
      <c r="C742" s="16" t="s">
        <v>149</v>
      </c>
      <c r="D742" s="16" t="s">
        <v>136</v>
      </c>
      <c r="E742" s="73" t="s">
        <v>98</v>
      </c>
      <c r="F742" s="35"/>
      <c r="G742" s="53" t="s">
        <v>547</v>
      </c>
      <c r="H742" s="65">
        <f>H743</f>
        <v>56690.1</v>
      </c>
      <c r="I742" s="65">
        <f>I743</f>
        <v>55949.4</v>
      </c>
      <c r="J742" s="62">
        <f t="shared" si="45"/>
        <v>98.7</v>
      </c>
    </row>
    <row r="743" spans="1:10" s="37" customFormat="1" ht="25.5">
      <c r="A743" s="27"/>
      <c r="B743" s="70"/>
      <c r="C743" s="16" t="s">
        <v>149</v>
      </c>
      <c r="D743" s="16" t="s">
        <v>136</v>
      </c>
      <c r="E743" s="21" t="s">
        <v>99</v>
      </c>
      <c r="F743" s="35"/>
      <c r="G743" s="48" t="s">
        <v>244</v>
      </c>
      <c r="H743" s="58">
        <f>H744+H759</f>
        <v>56690.1</v>
      </c>
      <c r="I743" s="58">
        <f>I744+I759</f>
        <v>55949.4</v>
      </c>
      <c r="J743" s="58">
        <f t="shared" si="45"/>
        <v>98.7</v>
      </c>
    </row>
    <row r="744" spans="1:10" s="37" customFormat="1" ht="38.25">
      <c r="A744" s="27"/>
      <c r="B744" s="70"/>
      <c r="C744" s="16" t="s">
        <v>149</v>
      </c>
      <c r="D744" s="16" t="s">
        <v>136</v>
      </c>
      <c r="E744" s="21" t="s">
        <v>310</v>
      </c>
      <c r="F744" s="35"/>
      <c r="G744" s="106" t="s">
        <v>316</v>
      </c>
      <c r="H744" s="58">
        <f>H745+H749+H751+H754+H757</f>
        <v>54744.2</v>
      </c>
      <c r="I744" s="58">
        <f>I745+I749+I751+I754+I757</f>
        <v>54621.599999999999</v>
      </c>
      <c r="J744" s="99">
        <f t="shared" ref="J744" si="46">J745+J747+J749</f>
        <v>296.7</v>
      </c>
    </row>
    <row r="745" spans="1:10" ht="25.5">
      <c r="A745" s="1"/>
      <c r="B745" s="25"/>
      <c r="C745" s="16" t="s">
        <v>149</v>
      </c>
      <c r="D745" s="16" t="s">
        <v>136</v>
      </c>
      <c r="E745" s="74" t="s">
        <v>100</v>
      </c>
      <c r="F745" s="16"/>
      <c r="G745" s="157" t="s">
        <v>243</v>
      </c>
      <c r="H745" s="39">
        <f>SUM(H746:H748)</f>
        <v>10410</v>
      </c>
      <c r="I745" s="39">
        <f>SUM(прил.4!G598:G600)</f>
        <v>10303.600000000002</v>
      </c>
      <c r="J745" s="99">
        <f>ROUND((I745/H745*100),1)</f>
        <v>99</v>
      </c>
    </row>
    <row r="746" spans="1:10" ht="25.5">
      <c r="A746" s="1"/>
      <c r="B746" s="25"/>
      <c r="C746" s="16" t="s">
        <v>149</v>
      </c>
      <c r="D746" s="16" t="s">
        <v>136</v>
      </c>
      <c r="E746" s="74" t="s">
        <v>100</v>
      </c>
      <c r="F746" s="85" t="s">
        <v>104</v>
      </c>
      <c r="G746" s="55" t="s">
        <v>179</v>
      </c>
      <c r="H746" s="39">
        <f>5915.5-239.7</f>
        <v>5675.8</v>
      </c>
      <c r="I746" s="39">
        <f>5915.5-239.7</f>
        <v>5675.8</v>
      </c>
      <c r="J746" s="99">
        <f t="shared" ref="J746:J751" si="47">ROUND((I746/H746*100),1)</f>
        <v>100</v>
      </c>
    </row>
    <row r="747" spans="1:10" ht="38.25">
      <c r="A747" s="1"/>
      <c r="B747" s="25"/>
      <c r="C747" s="16" t="s">
        <v>149</v>
      </c>
      <c r="D747" s="16" t="s">
        <v>136</v>
      </c>
      <c r="E747" s="74" t="s">
        <v>100</v>
      </c>
      <c r="F747" s="85" t="s">
        <v>314</v>
      </c>
      <c r="G747" s="102" t="s">
        <v>315</v>
      </c>
      <c r="H747" s="39">
        <f>4293.8+239.7-76+76+194.5</f>
        <v>4728</v>
      </c>
      <c r="I747" s="39">
        <v>4621.6000000000004</v>
      </c>
      <c r="J747" s="99">
        <f t="shared" si="47"/>
        <v>97.7</v>
      </c>
    </row>
    <row r="748" spans="1:10" ht="16.5" customHeight="1">
      <c r="A748" s="1"/>
      <c r="B748" s="25"/>
      <c r="C748" s="16" t="s">
        <v>149</v>
      </c>
      <c r="D748" s="16" t="s">
        <v>136</v>
      </c>
      <c r="E748" s="74" t="s">
        <v>100</v>
      </c>
      <c r="F748" s="85" t="s">
        <v>180</v>
      </c>
      <c r="G748" s="215" t="s">
        <v>181</v>
      </c>
      <c r="H748" s="39">
        <v>6.2</v>
      </c>
      <c r="I748" s="39">
        <v>6.2</v>
      </c>
      <c r="J748" s="99">
        <f t="shared" si="47"/>
        <v>100</v>
      </c>
    </row>
    <row r="749" spans="1:10" ht="51">
      <c r="A749" s="1"/>
      <c r="B749" s="25"/>
      <c r="C749" s="16" t="s">
        <v>149</v>
      </c>
      <c r="D749" s="16" t="s">
        <v>136</v>
      </c>
      <c r="E749" s="74" t="s">
        <v>60</v>
      </c>
      <c r="F749" s="16"/>
      <c r="G749" s="133" t="s">
        <v>245</v>
      </c>
      <c r="H749" s="39">
        <f>H750</f>
        <v>29625.1</v>
      </c>
      <c r="I749" s="39">
        <f t="shared" ref="I749" si="48">I750</f>
        <v>29625.1</v>
      </c>
      <c r="J749" s="99">
        <f t="shared" si="47"/>
        <v>100</v>
      </c>
    </row>
    <row r="750" spans="1:10">
      <c r="A750" s="1"/>
      <c r="B750" s="25"/>
      <c r="C750" s="16" t="s">
        <v>149</v>
      </c>
      <c r="D750" s="16" t="s">
        <v>136</v>
      </c>
      <c r="E750" s="74" t="s">
        <v>60</v>
      </c>
      <c r="F750" s="21" t="s">
        <v>334</v>
      </c>
      <c r="G750" s="102" t="s">
        <v>333</v>
      </c>
      <c r="H750" s="39">
        <f>30168-22-200-320.9</f>
        <v>29625.1</v>
      </c>
      <c r="I750" s="39">
        <f>30168-22-200-320.9</f>
        <v>29625.1</v>
      </c>
      <c r="J750" s="99">
        <f t="shared" si="47"/>
        <v>100</v>
      </c>
    </row>
    <row r="751" spans="1:10" ht="51">
      <c r="A751" s="1"/>
      <c r="B751" s="25"/>
      <c r="C751" s="16" t="s">
        <v>149</v>
      </c>
      <c r="D751" s="16" t="s">
        <v>136</v>
      </c>
      <c r="E751" s="74" t="s">
        <v>496</v>
      </c>
      <c r="F751" s="85"/>
      <c r="G751" s="102" t="s">
        <v>490</v>
      </c>
      <c r="H751" s="39">
        <f>SUM(H752:H753)</f>
        <v>200</v>
      </c>
      <c r="I751" s="39">
        <f>SUM(I752:I753)</f>
        <v>200</v>
      </c>
      <c r="J751" s="99">
        <f t="shared" si="47"/>
        <v>100</v>
      </c>
    </row>
    <row r="752" spans="1:10" ht="25.5">
      <c r="A752" s="1"/>
      <c r="B752" s="25"/>
      <c r="C752" s="16" t="s">
        <v>149</v>
      </c>
      <c r="D752" s="16" t="s">
        <v>136</v>
      </c>
      <c r="E752" s="74" t="s">
        <v>496</v>
      </c>
      <c r="F752" s="85" t="s">
        <v>104</v>
      </c>
      <c r="G752" s="55" t="s">
        <v>179</v>
      </c>
      <c r="H752" s="39">
        <v>50</v>
      </c>
      <c r="I752" s="39">
        <v>50</v>
      </c>
      <c r="J752" s="99">
        <f t="shared" ref="J752:J767" si="49">ROUND((I752/H752*100),1)</f>
        <v>100</v>
      </c>
    </row>
    <row r="753" spans="1:10">
      <c r="A753" s="1"/>
      <c r="B753" s="25"/>
      <c r="C753" s="16" t="s">
        <v>149</v>
      </c>
      <c r="D753" s="16" t="s">
        <v>136</v>
      </c>
      <c r="E753" s="74" t="s">
        <v>496</v>
      </c>
      <c r="F753" s="21" t="s">
        <v>334</v>
      </c>
      <c r="G753" s="102" t="s">
        <v>333</v>
      </c>
      <c r="H753" s="39">
        <v>150</v>
      </c>
      <c r="I753" s="39">
        <v>150</v>
      </c>
      <c r="J753" s="99">
        <f t="shared" si="49"/>
        <v>100</v>
      </c>
    </row>
    <row r="754" spans="1:10" ht="51">
      <c r="A754" s="153"/>
      <c r="B754" s="25"/>
      <c r="C754" s="16" t="s">
        <v>149</v>
      </c>
      <c r="D754" s="16" t="s">
        <v>136</v>
      </c>
      <c r="E754" s="74">
        <v>210110680</v>
      </c>
      <c r="F754" s="85"/>
      <c r="G754" s="102" t="s">
        <v>633</v>
      </c>
      <c r="H754" s="39">
        <f>SUM(H755:H756)</f>
        <v>14302.1</v>
      </c>
      <c r="I754" s="39">
        <f>SUM(I755:I756)</f>
        <v>14302.1</v>
      </c>
      <c r="J754" s="99">
        <f t="shared" si="49"/>
        <v>100</v>
      </c>
    </row>
    <row r="755" spans="1:10" ht="25.5">
      <c r="A755" s="153"/>
      <c r="B755" s="25"/>
      <c r="C755" s="16" t="s">
        <v>149</v>
      </c>
      <c r="D755" s="16" t="s">
        <v>136</v>
      </c>
      <c r="E755" s="74">
        <v>210110680</v>
      </c>
      <c r="F755" s="85" t="s">
        <v>104</v>
      </c>
      <c r="G755" s="55" t="s">
        <v>179</v>
      </c>
      <c r="H755" s="39">
        <f>3974.6+23</f>
        <v>3997.6</v>
      </c>
      <c r="I755" s="39">
        <f>3974.6+23</f>
        <v>3997.6</v>
      </c>
      <c r="J755" s="99">
        <f t="shared" si="49"/>
        <v>100</v>
      </c>
    </row>
    <row r="756" spans="1:10">
      <c r="A756" s="153"/>
      <c r="B756" s="25"/>
      <c r="C756" s="16" t="s">
        <v>149</v>
      </c>
      <c r="D756" s="16" t="s">
        <v>136</v>
      </c>
      <c r="E756" s="74">
        <v>210110680</v>
      </c>
      <c r="F756" s="21" t="s">
        <v>334</v>
      </c>
      <c r="G756" s="102" t="s">
        <v>333</v>
      </c>
      <c r="H756" s="39">
        <f>10327.5-23</f>
        <v>10304.5</v>
      </c>
      <c r="I756" s="39">
        <f>10327.5-23</f>
        <v>10304.5</v>
      </c>
      <c r="J756" s="99">
        <f t="shared" si="49"/>
        <v>100</v>
      </c>
    </row>
    <row r="757" spans="1:10" ht="38.25">
      <c r="A757" s="153"/>
      <c r="B757" s="25"/>
      <c r="C757" s="16" t="s">
        <v>149</v>
      </c>
      <c r="D757" s="16" t="s">
        <v>136</v>
      </c>
      <c r="E757" s="74" t="s">
        <v>737</v>
      </c>
      <c r="F757" s="72"/>
      <c r="G757" s="160" t="s">
        <v>736</v>
      </c>
      <c r="H757" s="39">
        <f>H758</f>
        <v>207</v>
      </c>
      <c r="I757" s="39">
        <f t="shared" ref="I757" si="50">I758</f>
        <v>190.8</v>
      </c>
      <c r="J757" s="99">
        <f t="shared" si="49"/>
        <v>92.2</v>
      </c>
    </row>
    <row r="758" spans="1:10">
      <c r="A758" s="153"/>
      <c r="B758" s="25"/>
      <c r="C758" s="16" t="s">
        <v>149</v>
      </c>
      <c r="D758" s="16" t="s">
        <v>136</v>
      </c>
      <c r="E758" s="74" t="s">
        <v>737</v>
      </c>
      <c r="F758" s="21" t="s">
        <v>334</v>
      </c>
      <c r="G758" s="102" t="s">
        <v>333</v>
      </c>
      <c r="H758" s="39">
        <f>660-170-283</f>
        <v>207</v>
      </c>
      <c r="I758" s="39">
        <v>190.8</v>
      </c>
      <c r="J758" s="99">
        <f t="shared" si="49"/>
        <v>92.2</v>
      </c>
    </row>
    <row r="759" spans="1:10" ht="51">
      <c r="A759" s="1"/>
      <c r="B759" s="25"/>
      <c r="C759" s="16" t="s">
        <v>149</v>
      </c>
      <c r="D759" s="16" t="s">
        <v>136</v>
      </c>
      <c r="E759" s="21" t="s">
        <v>378</v>
      </c>
      <c r="F759" s="35"/>
      <c r="G759" s="106" t="s">
        <v>379</v>
      </c>
      <c r="H759" s="41">
        <f>H760++H762+H764</f>
        <v>1945.8999999999999</v>
      </c>
      <c r="I759" s="41">
        <f>I760++I762+I764</f>
        <v>1327.8</v>
      </c>
      <c r="J759" s="99">
        <f t="shared" si="49"/>
        <v>68.2</v>
      </c>
    </row>
    <row r="760" spans="1:10" ht="38.25">
      <c r="A760" s="153"/>
      <c r="B760" s="25"/>
      <c r="C760" s="16" t="s">
        <v>149</v>
      </c>
      <c r="D760" s="16" t="s">
        <v>136</v>
      </c>
      <c r="E760" s="74">
        <v>210210920</v>
      </c>
      <c r="F760" s="85"/>
      <c r="G760" s="102" t="s">
        <v>753</v>
      </c>
      <c r="H760" s="39">
        <f>H761</f>
        <v>50</v>
      </c>
      <c r="I760" s="39">
        <f t="shared" ref="I760" si="51">I761</f>
        <v>50</v>
      </c>
      <c r="J760" s="99">
        <f t="shared" si="49"/>
        <v>100</v>
      </c>
    </row>
    <row r="761" spans="1:10">
      <c r="A761" s="153"/>
      <c r="B761" s="25"/>
      <c r="C761" s="16" t="s">
        <v>149</v>
      </c>
      <c r="D761" s="16" t="s">
        <v>136</v>
      </c>
      <c r="E761" s="74">
        <v>210210920</v>
      </c>
      <c r="F761" s="21" t="s">
        <v>334</v>
      </c>
      <c r="G761" s="102" t="s">
        <v>333</v>
      </c>
      <c r="H761" s="39">
        <v>50</v>
      </c>
      <c r="I761" s="39">
        <v>50</v>
      </c>
      <c r="J761" s="99">
        <f t="shared" si="49"/>
        <v>100</v>
      </c>
    </row>
    <row r="762" spans="1:10" ht="25.5">
      <c r="A762" s="153"/>
      <c r="B762" s="25"/>
      <c r="C762" s="16" t="s">
        <v>149</v>
      </c>
      <c r="D762" s="16" t="s">
        <v>136</v>
      </c>
      <c r="E762" s="74" t="s">
        <v>738</v>
      </c>
      <c r="F762" s="21"/>
      <c r="G762" s="160" t="s">
        <v>739</v>
      </c>
      <c r="H762" s="39">
        <f>H763</f>
        <v>1484.6</v>
      </c>
      <c r="I762" s="39">
        <f t="shared" ref="I762" si="52">I763</f>
        <v>866.5</v>
      </c>
      <c r="J762" s="99">
        <f t="shared" si="49"/>
        <v>58.4</v>
      </c>
    </row>
    <row r="763" spans="1:10">
      <c r="A763" s="153"/>
      <c r="B763" s="25"/>
      <c r="C763" s="16" t="s">
        <v>149</v>
      </c>
      <c r="D763" s="16" t="s">
        <v>136</v>
      </c>
      <c r="E763" s="74" t="s">
        <v>738</v>
      </c>
      <c r="F763" s="21" t="s">
        <v>334</v>
      </c>
      <c r="G763" s="102" t="s">
        <v>333</v>
      </c>
      <c r="H763" s="39">
        <f>900+370-128.3+342.9</f>
        <v>1484.6</v>
      </c>
      <c r="I763" s="39">
        <v>866.5</v>
      </c>
      <c r="J763" s="99">
        <f t="shared" si="49"/>
        <v>58.4</v>
      </c>
    </row>
    <row r="764" spans="1:10" ht="51">
      <c r="A764" s="153"/>
      <c r="B764" s="25"/>
      <c r="C764" s="16" t="s">
        <v>149</v>
      </c>
      <c r="D764" s="16" t="s">
        <v>136</v>
      </c>
      <c r="E764" s="74" t="s">
        <v>795</v>
      </c>
      <c r="F764" s="21"/>
      <c r="G764" s="160" t="s">
        <v>796</v>
      </c>
      <c r="H764" s="39">
        <f>H765</f>
        <v>411.3</v>
      </c>
      <c r="I764" s="39">
        <f t="shared" ref="I764" si="53">I765</f>
        <v>411.3</v>
      </c>
      <c r="J764" s="99">
        <f t="shared" si="49"/>
        <v>100</v>
      </c>
    </row>
    <row r="765" spans="1:10">
      <c r="A765" s="153"/>
      <c r="B765" s="25"/>
      <c r="C765" s="16" t="s">
        <v>149</v>
      </c>
      <c r="D765" s="16" t="s">
        <v>136</v>
      </c>
      <c r="E765" s="74" t="s">
        <v>795</v>
      </c>
      <c r="F765" s="21" t="s">
        <v>334</v>
      </c>
      <c r="G765" s="102" t="s">
        <v>333</v>
      </c>
      <c r="H765" s="39">
        <v>411.3</v>
      </c>
      <c r="I765" s="39">
        <v>411.3</v>
      </c>
      <c r="J765" s="99">
        <f t="shared" si="49"/>
        <v>100</v>
      </c>
    </row>
    <row r="766" spans="1:10" ht="25.5">
      <c r="A766" s="1"/>
      <c r="B766" s="25"/>
      <c r="C766" s="5" t="s">
        <v>149</v>
      </c>
      <c r="D766" s="5" t="s">
        <v>136</v>
      </c>
      <c r="E766" s="87">
        <v>9900000000</v>
      </c>
      <c r="F766" s="73"/>
      <c r="G766" s="149" t="s">
        <v>195</v>
      </c>
      <c r="H766" s="100">
        <f>H767</f>
        <v>385</v>
      </c>
      <c r="I766" s="100">
        <f>I767</f>
        <v>383.9</v>
      </c>
      <c r="J766" s="62">
        <f t="shared" si="49"/>
        <v>99.7</v>
      </c>
    </row>
    <row r="767" spans="1:10" ht="28.5" customHeight="1">
      <c r="A767" s="1"/>
      <c r="B767" s="25"/>
      <c r="C767" s="16" t="s">
        <v>149</v>
      </c>
      <c r="D767" s="16" t="s">
        <v>136</v>
      </c>
      <c r="E767" s="85" t="s">
        <v>31</v>
      </c>
      <c r="F767" s="85"/>
      <c r="G767" s="104" t="s">
        <v>53</v>
      </c>
      <c r="H767" s="98">
        <f>H768+H771+H773+H775</f>
        <v>385</v>
      </c>
      <c r="I767" s="98">
        <f>I768+I771+I773+I775</f>
        <v>383.9</v>
      </c>
      <c r="J767" s="58">
        <f t="shared" si="49"/>
        <v>99.7</v>
      </c>
    </row>
    <row r="768" spans="1:10" ht="25.5">
      <c r="A768" s="153"/>
      <c r="B768" s="25"/>
      <c r="C768" s="16" t="s">
        <v>149</v>
      </c>
      <c r="D768" s="16" t="s">
        <v>136</v>
      </c>
      <c r="E768" s="85" t="s">
        <v>488</v>
      </c>
      <c r="F768" s="85"/>
      <c r="G768" s="54" t="s">
        <v>468</v>
      </c>
      <c r="H768" s="103">
        <f>SUM(H769:H770)</f>
        <v>175</v>
      </c>
      <c r="I768" s="103">
        <f>SUM(I769:I770)</f>
        <v>173.9</v>
      </c>
      <c r="J768" s="99">
        <f t="shared" ref="J768" si="54">J769+J771+J773</f>
        <v>299.39999999999998</v>
      </c>
    </row>
    <row r="769" spans="1:10" ht="38.25">
      <c r="A769" s="153"/>
      <c r="B769" s="25"/>
      <c r="C769" s="16" t="s">
        <v>149</v>
      </c>
      <c r="D769" s="16" t="s">
        <v>136</v>
      </c>
      <c r="E769" s="85" t="s">
        <v>488</v>
      </c>
      <c r="F769" s="85" t="s">
        <v>314</v>
      </c>
      <c r="G769" s="102" t="s">
        <v>315</v>
      </c>
      <c r="H769" s="103">
        <f>175-0.8</f>
        <v>174.2</v>
      </c>
      <c r="I769" s="103">
        <v>173.1</v>
      </c>
      <c r="J769" s="99">
        <f t="shared" ref="J769:J822" si="55">ROUND((I769/H769*100),1)</f>
        <v>99.4</v>
      </c>
    </row>
    <row r="770" spans="1:10">
      <c r="A770" s="153"/>
      <c r="B770" s="25"/>
      <c r="C770" s="16" t="s">
        <v>149</v>
      </c>
      <c r="D770" s="16" t="s">
        <v>136</v>
      </c>
      <c r="E770" s="85" t="s">
        <v>488</v>
      </c>
      <c r="F770" s="85" t="s">
        <v>466</v>
      </c>
      <c r="G770" s="102" t="s">
        <v>467</v>
      </c>
      <c r="H770" s="103">
        <v>0.8</v>
      </c>
      <c r="I770" s="103">
        <v>0.8</v>
      </c>
      <c r="J770" s="99">
        <f t="shared" si="55"/>
        <v>100</v>
      </c>
    </row>
    <row r="771" spans="1:10" ht="25.5">
      <c r="A771" s="153"/>
      <c r="B771" s="25"/>
      <c r="C771" s="16" t="s">
        <v>149</v>
      </c>
      <c r="D771" s="16" t="s">
        <v>136</v>
      </c>
      <c r="E771" s="85" t="s">
        <v>729</v>
      </c>
      <c r="F771" s="16"/>
      <c r="G771" s="54" t="s">
        <v>468</v>
      </c>
      <c r="H771" s="41">
        <f>SUM(H772:H772)</f>
        <v>30</v>
      </c>
      <c r="I771" s="41">
        <f t="shared" ref="I771" si="56">SUM(I772:I772)</f>
        <v>30</v>
      </c>
      <c r="J771" s="99">
        <f t="shared" si="55"/>
        <v>100</v>
      </c>
    </row>
    <row r="772" spans="1:10">
      <c r="A772" s="153"/>
      <c r="B772" s="25"/>
      <c r="C772" s="16" t="s">
        <v>149</v>
      </c>
      <c r="D772" s="16" t="s">
        <v>136</v>
      </c>
      <c r="E772" s="85" t="s">
        <v>729</v>
      </c>
      <c r="F772" s="85" t="s">
        <v>334</v>
      </c>
      <c r="G772" s="102" t="s">
        <v>333</v>
      </c>
      <c r="H772" s="41">
        <v>30</v>
      </c>
      <c r="I772" s="99">
        <v>30</v>
      </c>
      <c r="J772" s="99">
        <f t="shared" si="55"/>
        <v>100</v>
      </c>
    </row>
    <row r="773" spans="1:10" ht="41.25" customHeight="1">
      <c r="A773" s="1"/>
      <c r="B773" s="25"/>
      <c r="C773" s="16" t="s">
        <v>149</v>
      </c>
      <c r="D773" s="16" t="s">
        <v>136</v>
      </c>
      <c r="E773" s="85" t="s">
        <v>589</v>
      </c>
      <c r="F773" s="16"/>
      <c r="G773" s="54" t="s">
        <v>590</v>
      </c>
      <c r="H773" s="41">
        <f>H774</f>
        <v>130</v>
      </c>
      <c r="I773" s="41">
        <f>I774</f>
        <v>130</v>
      </c>
      <c r="J773" s="99">
        <f t="shared" si="55"/>
        <v>100</v>
      </c>
    </row>
    <row r="774" spans="1:10" ht="38.25">
      <c r="A774" s="1"/>
      <c r="B774" s="25"/>
      <c r="C774" s="16" t="s">
        <v>149</v>
      </c>
      <c r="D774" s="16" t="s">
        <v>136</v>
      </c>
      <c r="E774" s="85" t="s">
        <v>589</v>
      </c>
      <c r="F774" s="85" t="s">
        <v>314</v>
      </c>
      <c r="G774" s="102" t="s">
        <v>315</v>
      </c>
      <c r="H774" s="41">
        <v>130</v>
      </c>
      <c r="I774" s="41">
        <v>130</v>
      </c>
      <c r="J774" s="99">
        <f>ROUND((I774/H774*100),1)</f>
        <v>100</v>
      </c>
    </row>
    <row r="775" spans="1:10" ht="42.75" customHeight="1">
      <c r="A775" s="153"/>
      <c r="B775" s="25"/>
      <c r="C775" s="16" t="s">
        <v>149</v>
      </c>
      <c r="D775" s="16" t="s">
        <v>136</v>
      </c>
      <c r="E775" s="85" t="s">
        <v>632</v>
      </c>
      <c r="F775" s="85"/>
      <c r="G775" s="54" t="s">
        <v>590</v>
      </c>
      <c r="H775" s="41">
        <f>H776</f>
        <v>50</v>
      </c>
      <c r="I775" s="41">
        <f t="shared" ref="I775" si="57">I776</f>
        <v>50</v>
      </c>
      <c r="J775" s="99">
        <f t="shared" si="55"/>
        <v>100</v>
      </c>
    </row>
    <row r="776" spans="1:10">
      <c r="A776" s="1"/>
      <c r="B776" s="25"/>
      <c r="C776" s="16" t="s">
        <v>149</v>
      </c>
      <c r="D776" s="16" t="s">
        <v>136</v>
      </c>
      <c r="E776" s="85" t="s">
        <v>632</v>
      </c>
      <c r="F776" s="21" t="s">
        <v>334</v>
      </c>
      <c r="G776" s="102" t="s">
        <v>333</v>
      </c>
      <c r="H776" s="41">
        <v>50</v>
      </c>
      <c r="I776" s="41">
        <v>50</v>
      </c>
      <c r="J776" s="99">
        <f t="shared" si="55"/>
        <v>100</v>
      </c>
    </row>
    <row r="777" spans="1:10" s="37" customFormat="1" ht="25.5">
      <c r="A777" s="27"/>
      <c r="B777" s="70"/>
      <c r="C777" s="35" t="s">
        <v>149</v>
      </c>
      <c r="D777" s="35" t="s">
        <v>142</v>
      </c>
      <c r="E777" s="35"/>
      <c r="F777" s="35"/>
      <c r="G777" s="46" t="s">
        <v>7</v>
      </c>
      <c r="H777" s="42">
        <f>H778+H790</f>
        <v>2978.7000000000003</v>
      </c>
      <c r="I777" s="42">
        <f>I778+I790</f>
        <v>2976.7000000000003</v>
      </c>
      <c r="J777" s="42">
        <f t="shared" si="55"/>
        <v>99.9</v>
      </c>
    </row>
    <row r="778" spans="1:10" s="37" customFormat="1" ht="49.5" customHeight="1">
      <c r="A778" s="27"/>
      <c r="B778" s="70"/>
      <c r="C778" s="5" t="s">
        <v>149</v>
      </c>
      <c r="D778" s="5" t="s">
        <v>142</v>
      </c>
      <c r="E778" s="73" t="s">
        <v>98</v>
      </c>
      <c r="F778" s="35"/>
      <c r="G778" s="53" t="s">
        <v>547</v>
      </c>
      <c r="H778" s="65">
        <f>H779+H785</f>
        <v>2943.7000000000003</v>
      </c>
      <c r="I778" s="65">
        <f>I779+I785</f>
        <v>2941.7000000000003</v>
      </c>
      <c r="J778" s="65">
        <f t="shared" si="55"/>
        <v>99.9</v>
      </c>
    </row>
    <row r="779" spans="1:10" s="37" customFormat="1" ht="25.5">
      <c r="A779" s="27"/>
      <c r="B779" s="70"/>
      <c r="C779" s="16" t="s">
        <v>149</v>
      </c>
      <c r="D779" s="16" t="s">
        <v>142</v>
      </c>
      <c r="E779" s="21" t="s">
        <v>99</v>
      </c>
      <c r="F779" s="35"/>
      <c r="G779" s="48" t="s">
        <v>244</v>
      </c>
      <c r="H779" s="42">
        <f>H780</f>
        <v>240</v>
      </c>
      <c r="I779" s="42">
        <f>I780</f>
        <v>240</v>
      </c>
      <c r="J779" s="58">
        <f t="shared" si="55"/>
        <v>100</v>
      </c>
    </row>
    <row r="780" spans="1:10" s="37" customFormat="1" ht="38.25">
      <c r="A780" s="27"/>
      <c r="B780" s="70"/>
      <c r="C780" s="16" t="s">
        <v>149</v>
      </c>
      <c r="D780" s="16" t="s">
        <v>142</v>
      </c>
      <c r="E780" s="21" t="s">
        <v>380</v>
      </c>
      <c r="F780" s="35"/>
      <c r="G780" s="106" t="s">
        <v>381</v>
      </c>
      <c r="H780" s="41">
        <f>H781+H783</f>
        <v>240</v>
      </c>
      <c r="I780" s="41">
        <f>I781+I783</f>
        <v>240</v>
      </c>
      <c r="J780" s="99">
        <f t="shared" si="55"/>
        <v>100</v>
      </c>
    </row>
    <row r="781" spans="1:10" s="37" customFormat="1" ht="51">
      <c r="A781" s="27"/>
      <c r="B781" s="70"/>
      <c r="C781" s="16" t="s">
        <v>149</v>
      </c>
      <c r="D781" s="16" t="s">
        <v>142</v>
      </c>
      <c r="E781" s="21" t="s">
        <v>325</v>
      </c>
      <c r="F781" s="35"/>
      <c r="G781" s="102" t="s">
        <v>248</v>
      </c>
      <c r="H781" s="41">
        <f>H782</f>
        <v>140</v>
      </c>
      <c r="I781" s="41">
        <f>I782</f>
        <v>140</v>
      </c>
      <c r="J781" s="99">
        <f t="shared" si="55"/>
        <v>100</v>
      </c>
    </row>
    <row r="782" spans="1:10" s="37" customFormat="1" ht="38.25">
      <c r="A782" s="27"/>
      <c r="B782" s="70"/>
      <c r="C782" s="16" t="s">
        <v>149</v>
      </c>
      <c r="D782" s="16" t="s">
        <v>142</v>
      </c>
      <c r="E782" s="21" t="s">
        <v>325</v>
      </c>
      <c r="F782" s="85" t="s">
        <v>314</v>
      </c>
      <c r="G782" s="102" t="s">
        <v>315</v>
      </c>
      <c r="H782" s="41">
        <v>140</v>
      </c>
      <c r="I782" s="41">
        <v>140</v>
      </c>
      <c r="J782" s="99">
        <f t="shared" si="55"/>
        <v>100</v>
      </c>
    </row>
    <row r="783" spans="1:10" s="37" customFormat="1" ht="38.25">
      <c r="A783" s="27"/>
      <c r="B783" s="70"/>
      <c r="C783" s="16" t="s">
        <v>149</v>
      </c>
      <c r="D783" s="16" t="s">
        <v>142</v>
      </c>
      <c r="E783" s="21" t="s">
        <v>754</v>
      </c>
      <c r="F783" s="85"/>
      <c r="G783" s="102" t="s">
        <v>755</v>
      </c>
      <c r="H783" s="41">
        <f>H784</f>
        <v>100</v>
      </c>
      <c r="I783" s="41">
        <f>I784</f>
        <v>100</v>
      </c>
      <c r="J783" s="99">
        <f t="shared" si="55"/>
        <v>100</v>
      </c>
    </row>
    <row r="784" spans="1:10" s="37" customFormat="1" ht="38.25">
      <c r="A784" s="27"/>
      <c r="B784" s="70"/>
      <c r="C784" s="16" t="s">
        <v>149</v>
      </c>
      <c r="D784" s="16" t="s">
        <v>142</v>
      </c>
      <c r="E784" s="21" t="s">
        <v>754</v>
      </c>
      <c r="F784" s="85" t="s">
        <v>314</v>
      </c>
      <c r="G784" s="102" t="s">
        <v>315</v>
      </c>
      <c r="H784" s="41">
        <v>100</v>
      </c>
      <c r="I784" s="41">
        <v>100</v>
      </c>
      <c r="J784" s="99">
        <f t="shared" si="55"/>
        <v>100</v>
      </c>
    </row>
    <row r="785" spans="1:10" s="37" customFormat="1" ht="14.25">
      <c r="A785" s="27"/>
      <c r="B785" s="70"/>
      <c r="C785" s="16" t="s">
        <v>149</v>
      </c>
      <c r="D785" s="16" t="s">
        <v>142</v>
      </c>
      <c r="E785" s="52" t="s">
        <v>41</v>
      </c>
      <c r="F785" s="21"/>
      <c r="G785" s="66" t="s">
        <v>68</v>
      </c>
      <c r="H785" s="58">
        <f>H786</f>
        <v>2703.7000000000003</v>
      </c>
      <c r="I785" s="58">
        <f t="shared" ref="I785" si="58">I786</f>
        <v>2701.7000000000003</v>
      </c>
      <c r="J785" s="99">
        <f t="shared" si="55"/>
        <v>99.9</v>
      </c>
    </row>
    <row r="786" spans="1:10" s="37" customFormat="1" ht="63.75">
      <c r="A786" s="27"/>
      <c r="B786" s="70"/>
      <c r="C786" s="16" t="s">
        <v>149</v>
      </c>
      <c r="D786" s="16" t="s">
        <v>142</v>
      </c>
      <c r="E786" s="82" t="s">
        <v>257</v>
      </c>
      <c r="F786" s="21"/>
      <c r="G786" s="102" t="s">
        <v>388</v>
      </c>
      <c r="H786" s="99">
        <f>SUM(H787:H789)</f>
        <v>2703.7000000000003</v>
      </c>
      <c r="I786" s="99">
        <f>SUM(I787:I789)</f>
        <v>2701.7000000000003</v>
      </c>
      <c r="J786" s="99">
        <f t="shared" si="55"/>
        <v>99.9</v>
      </c>
    </row>
    <row r="787" spans="1:10" s="37" customFormat="1" ht="38.25">
      <c r="A787" s="27"/>
      <c r="B787" s="70"/>
      <c r="C787" s="16" t="s">
        <v>149</v>
      </c>
      <c r="D787" s="16" t="s">
        <v>142</v>
      </c>
      <c r="E787" s="82" t="s">
        <v>257</v>
      </c>
      <c r="F787" s="16" t="s">
        <v>102</v>
      </c>
      <c r="G787" s="55" t="s">
        <v>103</v>
      </c>
      <c r="H787" s="99">
        <f>2675.9-12.5-0.8</f>
        <v>2662.6</v>
      </c>
      <c r="I787" s="99">
        <f>2675.9-12.5-0.8</f>
        <v>2662.6</v>
      </c>
      <c r="J787" s="99">
        <f t="shared" si="55"/>
        <v>100</v>
      </c>
    </row>
    <row r="788" spans="1:10" s="37" customFormat="1" ht="38.25">
      <c r="A788" s="27"/>
      <c r="B788" s="70"/>
      <c r="C788" s="16" t="s">
        <v>149</v>
      </c>
      <c r="D788" s="16" t="s">
        <v>142</v>
      </c>
      <c r="E788" s="82" t="s">
        <v>257</v>
      </c>
      <c r="F788" s="85" t="s">
        <v>314</v>
      </c>
      <c r="G788" s="102" t="s">
        <v>315</v>
      </c>
      <c r="H788" s="41">
        <f>27.8+12.5</f>
        <v>40.299999999999997</v>
      </c>
      <c r="I788" s="41">
        <v>38.299999999999997</v>
      </c>
      <c r="J788" s="99">
        <f t="shared" si="55"/>
        <v>95</v>
      </c>
    </row>
    <row r="789" spans="1:10" s="37" customFormat="1" ht="17.25" customHeight="1">
      <c r="A789" s="27"/>
      <c r="B789" s="70"/>
      <c r="C789" s="16" t="s">
        <v>149</v>
      </c>
      <c r="D789" s="16" t="s">
        <v>142</v>
      </c>
      <c r="E789" s="82" t="s">
        <v>257</v>
      </c>
      <c r="F789" s="85" t="s">
        <v>180</v>
      </c>
      <c r="G789" s="215" t="s">
        <v>181</v>
      </c>
      <c r="H789" s="41">
        <v>0.8</v>
      </c>
      <c r="I789" s="41">
        <v>0.8</v>
      </c>
      <c r="J789" s="99">
        <f t="shared" si="55"/>
        <v>100</v>
      </c>
    </row>
    <row r="790" spans="1:10" s="37" customFormat="1" ht="25.5">
      <c r="A790" s="27"/>
      <c r="B790" s="70"/>
      <c r="C790" s="5" t="s">
        <v>149</v>
      </c>
      <c r="D790" s="5" t="s">
        <v>142</v>
      </c>
      <c r="E790" s="87">
        <v>9900000000</v>
      </c>
      <c r="F790" s="73"/>
      <c r="G790" s="149" t="s">
        <v>195</v>
      </c>
      <c r="H790" s="100">
        <f>H791</f>
        <v>35</v>
      </c>
      <c r="I790" s="100">
        <f>I791</f>
        <v>35</v>
      </c>
      <c r="J790" s="99">
        <f t="shared" si="55"/>
        <v>100</v>
      </c>
    </row>
    <row r="791" spans="1:10" s="37" customFormat="1" ht="26.25" customHeight="1">
      <c r="A791" s="27"/>
      <c r="B791" s="70"/>
      <c r="C791" s="16" t="s">
        <v>149</v>
      </c>
      <c r="D791" s="16" t="s">
        <v>142</v>
      </c>
      <c r="E791" s="85" t="s">
        <v>31</v>
      </c>
      <c r="F791" s="85"/>
      <c r="G791" s="104" t="s">
        <v>53</v>
      </c>
      <c r="H791" s="103">
        <f>H792</f>
        <v>35</v>
      </c>
      <c r="I791" s="103">
        <f>I792</f>
        <v>35</v>
      </c>
      <c r="J791" s="99">
        <f t="shared" si="55"/>
        <v>100</v>
      </c>
    </row>
    <row r="792" spans="1:10" s="37" customFormat="1" ht="25.5">
      <c r="A792" s="27"/>
      <c r="B792" s="70"/>
      <c r="C792" s="16" t="s">
        <v>149</v>
      </c>
      <c r="D792" s="16" t="s">
        <v>142</v>
      </c>
      <c r="E792" s="85" t="s">
        <v>488</v>
      </c>
      <c r="F792" s="85"/>
      <c r="G792" s="54" t="s">
        <v>468</v>
      </c>
      <c r="H792" s="103">
        <f>SUM(H793)</f>
        <v>35</v>
      </c>
      <c r="I792" s="103">
        <f>SUM(I793)</f>
        <v>35</v>
      </c>
      <c r="J792" s="99">
        <f t="shared" si="55"/>
        <v>100</v>
      </c>
    </row>
    <row r="793" spans="1:10" s="37" customFormat="1" ht="38.25">
      <c r="A793" s="27"/>
      <c r="B793" s="70"/>
      <c r="C793" s="16" t="s">
        <v>149</v>
      </c>
      <c r="D793" s="16" t="s">
        <v>142</v>
      </c>
      <c r="E793" s="85" t="s">
        <v>488</v>
      </c>
      <c r="F793" s="85" t="s">
        <v>314</v>
      </c>
      <c r="G793" s="102" t="s">
        <v>315</v>
      </c>
      <c r="H793" s="103">
        <v>35</v>
      </c>
      <c r="I793" s="103">
        <v>35</v>
      </c>
      <c r="J793" s="99">
        <f t="shared" si="55"/>
        <v>100</v>
      </c>
    </row>
    <row r="794" spans="1:10" ht="15.75">
      <c r="A794" s="1"/>
      <c r="B794" s="25"/>
      <c r="C794" s="4" t="s">
        <v>150</v>
      </c>
      <c r="D794" s="3"/>
      <c r="E794" s="3"/>
      <c r="F794" s="3"/>
      <c r="G794" s="49" t="s">
        <v>171</v>
      </c>
      <c r="H794" s="97">
        <f t="shared" ref="H794:I797" si="59">H795</f>
        <v>314.89999999999998</v>
      </c>
      <c r="I794" s="97">
        <f t="shared" si="59"/>
        <v>304.09999999999997</v>
      </c>
      <c r="J794" s="206">
        <f t="shared" si="55"/>
        <v>96.6</v>
      </c>
    </row>
    <row r="795" spans="1:10" ht="14.25">
      <c r="A795" s="1"/>
      <c r="B795" s="25"/>
      <c r="C795" s="35" t="s">
        <v>150</v>
      </c>
      <c r="D795" s="35" t="s">
        <v>137</v>
      </c>
      <c r="E795" s="35"/>
      <c r="F795" s="35"/>
      <c r="G795" s="46" t="s">
        <v>6</v>
      </c>
      <c r="H795" s="42">
        <f t="shared" si="59"/>
        <v>314.89999999999998</v>
      </c>
      <c r="I795" s="42">
        <f t="shared" si="59"/>
        <v>304.09999999999997</v>
      </c>
      <c r="J795" s="42">
        <f t="shared" si="55"/>
        <v>96.6</v>
      </c>
    </row>
    <row r="796" spans="1:10" ht="49.5" customHeight="1">
      <c r="A796" s="1"/>
      <c r="B796" s="25"/>
      <c r="C796" s="16" t="s">
        <v>150</v>
      </c>
      <c r="D796" s="16" t="s">
        <v>137</v>
      </c>
      <c r="E796" s="73" t="s">
        <v>98</v>
      </c>
      <c r="F796" s="35"/>
      <c r="G796" s="53" t="s">
        <v>547</v>
      </c>
      <c r="H796" s="62">
        <f t="shared" si="59"/>
        <v>314.89999999999998</v>
      </c>
      <c r="I796" s="62">
        <f t="shared" si="59"/>
        <v>304.09999999999997</v>
      </c>
      <c r="J796" s="62">
        <f t="shared" si="55"/>
        <v>96.6</v>
      </c>
    </row>
    <row r="797" spans="1:10" ht="38.25">
      <c r="A797" s="1"/>
      <c r="B797" s="25"/>
      <c r="C797" s="47" t="s">
        <v>150</v>
      </c>
      <c r="D797" s="47" t="s">
        <v>137</v>
      </c>
      <c r="E797" s="52" t="s">
        <v>62</v>
      </c>
      <c r="F797" s="35"/>
      <c r="G797" s="48" t="s">
        <v>298</v>
      </c>
      <c r="H797" s="58">
        <f t="shared" si="59"/>
        <v>314.89999999999998</v>
      </c>
      <c r="I797" s="58">
        <f t="shared" si="59"/>
        <v>304.09999999999997</v>
      </c>
      <c r="J797" s="58">
        <f t="shared" si="55"/>
        <v>96.6</v>
      </c>
    </row>
    <row r="798" spans="1:10" ht="89.25">
      <c r="A798" s="1"/>
      <c r="B798" s="25"/>
      <c r="C798" s="16" t="s">
        <v>150</v>
      </c>
      <c r="D798" s="16" t="s">
        <v>137</v>
      </c>
      <c r="E798" s="21" t="s">
        <v>382</v>
      </c>
      <c r="F798" s="35"/>
      <c r="G798" s="104" t="s">
        <v>383</v>
      </c>
      <c r="H798" s="58">
        <f>H799+H801</f>
        <v>314.89999999999998</v>
      </c>
      <c r="I798" s="58">
        <f>I799+I801</f>
        <v>304.09999999999997</v>
      </c>
      <c r="J798" s="99">
        <f t="shared" ref="J798" si="60">J799+J801+J803</f>
        <v>167</v>
      </c>
    </row>
    <row r="799" spans="1:10" ht="89.25">
      <c r="A799" s="1"/>
      <c r="B799" s="25"/>
      <c r="C799" s="16" t="s">
        <v>150</v>
      </c>
      <c r="D799" s="16" t="s">
        <v>137</v>
      </c>
      <c r="E799" s="21" t="s">
        <v>63</v>
      </c>
      <c r="F799" s="21"/>
      <c r="G799" s="104" t="s">
        <v>250</v>
      </c>
      <c r="H799" s="39">
        <f>H800</f>
        <v>282.2</v>
      </c>
      <c r="I799" s="39">
        <f>I800</f>
        <v>282.2</v>
      </c>
      <c r="J799" s="99">
        <f t="shared" si="55"/>
        <v>100</v>
      </c>
    </row>
    <row r="800" spans="1:10" ht="38.25">
      <c r="A800" s="1"/>
      <c r="B800" s="25"/>
      <c r="C800" s="16" t="s">
        <v>150</v>
      </c>
      <c r="D800" s="16" t="s">
        <v>137</v>
      </c>
      <c r="E800" s="21" t="s">
        <v>63</v>
      </c>
      <c r="F800" s="85" t="s">
        <v>314</v>
      </c>
      <c r="G800" s="102" t="s">
        <v>315</v>
      </c>
      <c r="H800" s="39">
        <v>282.2</v>
      </c>
      <c r="I800" s="39">
        <v>282.2</v>
      </c>
      <c r="J800" s="99">
        <f t="shared" si="55"/>
        <v>100</v>
      </c>
    </row>
    <row r="801" spans="1:10" ht="63.75">
      <c r="A801" s="1"/>
      <c r="B801" s="25"/>
      <c r="C801" s="16" t="s">
        <v>150</v>
      </c>
      <c r="D801" s="16" t="s">
        <v>137</v>
      </c>
      <c r="E801" s="21" t="s">
        <v>64</v>
      </c>
      <c r="F801" s="21"/>
      <c r="G801" s="104" t="s">
        <v>101</v>
      </c>
      <c r="H801" s="39">
        <f>SUM(H802:H803)</f>
        <v>32.700000000000003</v>
      </c>
      <c r="I801" s="39">
        <f>SUM(I802:I803)</f>
        <v>21.9</v>
      </c>
      <c r="J801" s="99">
        <f t="shared" si="55"/>
        <v>67</v>
      </c>
    </row>
    <row r="802" spans="1:10" ht="25.5">
      <c r="A802" s="1"/>
      <c r="B802" s="25"/>
      <c r="C802" s="16" t="s">
        <v>150</v>
      </c>
      <c r="D802" s="16" t="s">
        <v>137</v>
      </c>
      <c r="E802" s="21" t="s">
        <v>64</v>
      </c>
      <c r="F802" s="85" t="s">
        <v>104</v>
      </c>
      <c r="G802" s="55" t="s">
        <v>179</v>
      </c>
      <c r="H802" s="39">
        <v>27.4</v>
      </c>
      <c r="I802" s="39">
        <v>21.9</v>
      </c>
      <c r="J802" s="99">
        <f t="shared" si="55"/>
        <v>79.900000000000006</v>
      </c>
    </row>
    <row r="803" spans="1:10" ht="38.25">
      <c r="A803" s="1"/>
      <c r="B803" s="25"/>
      <c r="C803" s="16" t="s">
        <v>150</v>
      </c>
      <c r="D803" s="16" t="s">
        <v>137</v>
      </c>
      <c r="E803" s="21" t="s">
        <v>64</v>
      </c>
      <c r="F803" s="85" t="s">
        <v>314</v>
      </c>
      <c r="G803" s="102" t="s">
        <v>315</v>
      </c>
      <c r="H803" s="39">
        <f>52.4-27.4-19.7</f>
        <v>5.3000000000000007</v>
      </c>
      <c r="I803" s="39">
        <v>0</v>
      </c>
      <c r="J803" s="99">
        <f t="shared" si="55"/>
        <v>0</v>
      </c>
    </row>
    <row r="804" spans="1:10" s="8" customFormat="1" ht="72">
      <c r="A804" s="3">
        <v>6</v>
      </c>
      <c r="B804" s="96">
        <v>902</v>
      </c>
      <c r="C804" s="13"/>
      <c r="D804" s="13"/>
      <c r="E804" s="13"/>
      <c r="F804" s="13"/>
      <c r="G804" s="14" t="s">
        <v>291</v>
      </c>
      <c r="H804" s="97">
        <f>H805+H817</f>
        <v>9036.5</v>
      </c>
      <c r="I804" s="97">
        <f>I805+I817</f>
        <v>9017.4</v>
      </c>
      <c r="J804" s="206">
        <f t="shared" si="55"/>
        <v>99.8</v>
      </c>
    </row>
    <row r="805" spans="1:10" ht="15.75">
      <c r="A805" s="3"/>
      <c r="B805" s="96"/>
      <c r="C805" s="4" t="s">
        <v>136</v>
      </c>
      <c r="D805" s="11"/>
      <c r="E805" s="11"/>
      <c r="F805" s="11"/>
      <c r="G805" s="15" t="s">
        <v>139</v>
      </c>
      <c r="H805" s="97">
        <f>H806+H813</f>
        <v>9001.5</v>
      </c>
      <c r="I805" s="97">
        <f>I806+I813</f>
        <v>8983.1</v>
      </c>
      <c r="J805" s="206">
        <f t="shared" si="55"/>
        <v>99.8</v>
      </c>
    </row>
    <row r="806" spans="1:10" s="37" customFormat="1" ht="53.25" customHeight="1">
      <c r="A806" s="27"/>
      <c r="B806" s="70"/>
      <c r="C806" s="35" t="s">
        <v>136</v>
      </c>
      <c r="D806" s="35" t="s">
        <v>144</v>
      </c>
      <c r="E806" s="35"/>
      <c r="F806" s="35"/>
      <c r="G806" s="46" t="s">
        <v>173</v>
      </c>
      <c r="H806" s="42">
        <f>SUM(H807)</f>
        <v>8943.2000000000007</v>
      </c>
      <c r="I806" s="42">
        <f>SUM(I807)</f>
        <v>8983.1</v>
      </c>
      <c r="J806" s="42">
        <f t="shared" si="55"/>
        <v>100.4</v>
      </c>
    </row>
    <row r="807" spans="1:10" ht="25.5">
      <c r="A807" s="1"/>
      <c r="B807" s="25"/>
      <c r="C807" s="16" t="s">
        <v>136</v>
      </c>
      <c r="D807" s="16" t="s">
        <v>144</v>
      </c>
      <c r="E807" s="80">
        <v>9900000000</v>
      </c>
      <c r="F807" s="16"/>
      <c r="G807" s="55" t="s">
        <v>194</v>
      </c>
      <c r="H807" s="39">
        <f>SUM(H808)</f>
        <v>8943.2000000000007</v>
      </c>
      <c r="I807" s="39">
        <f>SUM(I808)</f>
        <v>8983.1</v>
      </c>
      <c r="J807" s="99">
        <f t="shared" si="55"/>
        <v>100.4</v>
      </c>
    </row>
    <row r="808" spans="1:10" ht="38.25">
      <c r="A808" s="1"/>
      <c r="B808" s="25"/>
      <c r="C808" s="16" t="s">
        <v>136</v>
      </c>
      <c r="D808" s="16" t="s">
        <v>144</v>
      </c>
      <c r="E808" s="80">
        <v>9980000000</v>
      </c>
      <c r="F808" s="16"/>
      <c r="G808" s="54" t="s">
        <v>37</v>
      </c>
      <c r="H808" s="39">
        <f>H809</f>
        <v>8943.2000000000007</v>
      </c>
      <c r="I808" s="39">
        <f>I809</f>
        <v>8983.1</v>
      </c>
      <c r="J808" s="99">
        <f t="shared" si="55"/>
        <v>100.4</v>
      </c>
    </row>
    <row r="809" spans="1:10">
      <c r="A809" s="1"/>
      <c r="B809" s="25"/>
      <c r="C809" s="16" t="s">
        <v>136</v>
      </c>
      <c r="D809" s="16" t="s">
        <v>144</v>
      </c>
      <c r="E809" s="80" t="s">
        <v>50</v>
      </c>
      <c r="F809" s="21"/>
      <c r="G809" s="104" t="s">
        <v>163</v>
      </c>
      <c r="H809" s="39">
        <f>SUM(H810:H812)</f>
        <v>8943.2000000000007</v>
      </c>
      <c r="I809" s="39">
        <f>SUM(I810:I812)</f>
        <v>8983.1</v>
      </c>
      <c r="J809" s="99">
        <f t="shared" si="55"/>
        <v>100.4</v>
      </c>
    </row>
    <row r="810" spans="1:10" ht="38.25">
      <c r="A810" s="1"/>
      <c r="B810" s="25"/>
      <c r="C810" s="16" t="s">
        <v>136</v>
      </c>
      <c r="D810" s="16" t="s">
        <v>144</v>
      </c>
      <c r="E810" s="80" t="s">
        <v>50</v>
      </c>
      <c r="F810" s="16" t="s">
        <v>102</v>
      </c>
      <c r="G810" s="107" t="s">
        <v>103</v>
      </c>
      <c r="H810" s="39">
        <f>8691.2-50.2</f>
        <v>8641</v>
      </c>
      <c r="I810" s="39">
        <v>8691.2000000000007</v>
      </c>
      <c r="J810" s="99">
        <f t="shared" si="55"/>
        <v>100.6</v>
      </c>
    </row>
    <row r="811" spans="1:10" ht="38.25">
      <c r="A811" s="1"/>
      <c r="B811" s="25"/>
      <c r="C811" s="16" t="s">
        <v>136</v>
      </c>
      <c r="D811" s="16" t="s">
        <v>144</v>
      </c>
      <c r="E811" s="80" t="s">
        <v>50</v>
      </c>
      <c r="F811" s="85" t="s">
        <v>314</v>
      </c>
      <c r="G811" s="102" t="s">
        <v>315</v>
      </c>
      <c r="H811" s="39">
        <f>397.9-101.7</f>
        <v>296.2</v>
      </c>
      <c r="I811" s="39">
        <v>288.89999999999998</v>
      </c>
      <c r="J811" s="99">
        <f t="shared" si="55"/>
        <v>97.5</v>
      </c>
    </row>
    <row r="812" spans="1:10">
      <c r="A812" s="1"/>
      <c r="B812" s="25"/>
      <c r="C812" s="16" t="s">
        <v>136</v>
      </c>
      <c r="D812" s="16" t="s">
        <v>144</v>
      </c>
      <c r="E812" s="80" t="s">
        <v>50</v>
      </c>
      <c r="F812" s="85" t="s">
        <v>466</v>
      </c>
      <c r="G812" s="102" t="s">
        <v>467</v>
      </c>
      <c r="H812" s="39">
        <f>12-6</f>
        <v>6</v>
      </c>
      <c r="I812" s="39">
        <v>3</v>
      </c>
      <c r="J812" s="99">
        <f t="shared" si="55"/>
        <v>50</v>
      </c>
    </row>
    <row r="813" spans="1:10" ht="14.25">
      <c r="A813" s="1"/>
      <c r="B813" s="25"/>
      <c r="C813" s="35" t="s">
        <v>136</v>
      </c>
      <c r="D813" s="35" t="s">
        <v>150</v>
      </c>
      <c r="E813" s="35"/>
      <c r="F813" s="35"/>
      <c r="G813" s="27" t="s">
        <v>5</v>
      </c>
      <c r="H813" s="42">
        <f t="shared" ref="H813:I815" si="61">H814</f>
        <v>58.299999999999976</v>
      </c>
      <c r="I813" s="42">
        <f t="shared" si="61"/>
        <v>0</v>
      </c>
      <c r="J813" s="99">
        <f t="shared" si="55"/>
        <v>0</v>
      </c>
    </row>
    <row r="814" spans="1:10" ht="14.25">
      <c r="A814" s="1"/>
      <c r="B814" s="25"/>
      <c r="C814" s="16" t="s">
        <v>136</v>
      </c>
      <c r="D814" s="16" t="s">
        <v>150</v>
      </c>
      <c r="E814" s="80">
        <v>9920000000</v>
      </c>
      <c r="F814" s="35"/>
      <c r="G814" s="162" t="s">
        <v>5</v>
      </c>
      <c r="H814" s="42">
        <f t="shared" si="61"/>
        <v>58.299999999999976</v>
      </c>
      <c r="I814" s="42">
        <f t="shared" si="61"/>
        <v>0</v>
      </c>
      <c r="J814" s="99">
        <f t="shared" si="55"/>
        <v>0</v>
      </c>
    </row>
    <row r="815" spans="1:10" ht="25.5">
      <c r="A815" s="1"/>
      <c r="B815" s="25"/>
      <c r="C815" s="16" t="s">
        <v>136</v>
      </c>
      <c r="D815" s="16" t="s">
        <v>150</v>
      </c>
      <c r="E815" s="80" t="s">
        <v>51</v>
      </c>
      <c r="F815" s="21"/>
      <c r="G815" s="104" t="s">
        <v>13</v>
      </c>
      <c r="H815" s="39">
        <f t="shared" si="61"/>
        <v>58.299999999999976</v>
      </c>
      <c r="I815" s="39">
        <f t="shared" si="61"/>
        <v>0</v>
      </c>
      <c r="J815" s="99">
        <f t="shared" si="55"/>
        <v>0</v>
      </c>
    </row>
    <row r="816" spans="1:10">
      <c r="A816" s="1"/>
      <c r="B816" s="25"/>
      <c r="C816" s="16" t="s">
        <v>136</v>
      </c>
      <c r="D816" s="16" t="s">
        <v>150</v>
      </c>
      <c r="E816" s="80" t="s">
        <v>51</v>
      </c>
      <c r="F816" s="16" t="s">
        <v>132</v>
      </c>
      <c r="G816" s="102" t="s">
        <v>133</v>
      </c>
      <c r="H816" s="39">
        <f>250-165.3-26.4+987-158.6-822.3+328.9-325.9-9.1</f>
        <v>58.299999999999976</v>
      </c>
      <c r="I816" s="39">
        <v>0</v>
      </c>
      <c r="J816" s="99">
        <f t="shared" si="55"/>
        <v>0</v>
      </c>
    </row>
    <row r="817" spans="1:12" ht="30.75" customHeight="1">
      <c r="A817" s="1"/>
      <c r="B817" s="25"/>
      <c r="C817" s="4" t="s">
        <v>9</v>
      </c>
      <c r="D817" s="3"/>
      <c r="E817" s="10"/>
      <c r="F817" s="16"/>
      <c r="G817" s="49" t="s">
        <v>11</v>
      </c>
      <c r="H817" s="97">
        <f t="shared" ref="H817:I821" si="62">H818</f>
        <v>35</v>
      </c>
      <c r="I817" s="97">
        <f t="shared" si="62"/>
        <v>34.299999999999997</v>
      </c>
      <c r="J817" s="206">
        <f t="shared" si="55"/>
        <v>98</v>
      </c>
    </row>
    <row r="818" spans="1:12" ht="25.5">
      <c r="A818" s="1"/>
      <c r="B818" s="25"/>
      <c r="C818" s="47" t="s">
        <v>9</v>
      </c>
      <c r="D818" s="47" t="s">
        <v>136</v>
      </c>
      <c r="E818" s="48"/>
      <c r="F818" s="47"/>
      <c r="G818" s="48" t="s">
        <v>289</v>
      </c>
      <c r="H818" s="98">
        <f t="shared" si="62"/>
        <v>35</v>
      </c>
      <c r="I818" s="98">
        <f t="shared" si="62"/>
        <v>34.299999999999997</v>
      </c>
      <c r="J818" s="58">
        <f t="shared" si="55"/>
        <v>98</v>
      </c>
    </row>
    <row r="819" spans="1:12" ht="25.5">
      <c r="A819" s="1"/>
      <c r="B819" s="25"/>
      <c r="C819" s="16" t="s">
        <v>9</v>
      </c>
      <c r="D819" s="16" t="s">
        <v>136</v>
      </c>
      <c r="E819" s="80">
        <v>9900000000</v>
      </c>
      <c r="F819" s="35"/>
      <c r="G819" s="55" t="s">
        <v>195</v>
      </c>
      <c r="H819" s="39">
        <f t="shared" si="62"/>
        <v>35</v>
      </c>
      <c r="I819" s="39">
        <f t="shared" si="62"/>
        <v>34.299999999999997</v>
      </c>
      <c r="J819" s="99">
        <f t="shared" si="55"/>
        <v>98</v>
      </c>
    </row>
    <row r="820" spans="1:12" ht="28.5" customHeight="1">
      <c r="A820" s="1"/>
      <c r="B820" s="25"/>
      <c r="C820" s="16" t="s">
        <v>9</v>
      </c>
      <c r="D820" s="16" t="s">
        <v>136</v>
      </c>
      <c r="E820" s="80">
        <v>9940000000</v>
      </c>
      <c r="F820" s="16"/>
      <c r="G820" s="22" t="s">
        <v>53</v>
      </c>
      <c r="H820" s="39">
        <f t="shared" si="62"/>
        <v>35</v>
      </c>
      <c r="I820" s="39">
        <f t="shared" si="62"/>
        <v>34.299999999999997</v>
      </c>
      <c r="J820" s="99">
        <f t="shared" si="55"/>
        <v>98</v>
      </c>
    </row>
    <row r="821" spans="1:12" ht="25.5">
      <c r="A821" s="1"/>
      <c r="B821" s="25"/>
      <c r="C821" s="16" t="s">
        <v>9</v>
      </c>
      <c r="D821" s="16" t="s">
        <v>136</v>
      </c>
      <c r="E821" s="80" t="s">
        <v>424</v>
      </c>
      <c r="F821" s="16"/>
      <c r="G821" s="133" t="s">
        <v>12</v>
      </c>
      <c r="H821" s="39">
        <f t="shared" si="62"/>
        <v>35</v>
      </c>
      <c r="I821" s="39">
        <f t="shared" si="62"/>
        <v>34.299999999999997</v>
      </c>
      <c r="J821" s="99">
        <f t="shared" si="55"/>
        <v>98</v>
      </c>
      <c r="L821" s="108"/>
    </row>
    <row r="822" spans="1:12">
      <c r="A822" s="1"/>
      <c r="B822" s="25"/>
      <c r="C822" s="16" t="s">
        <v>9</v>
      </c>
      <c r="D822" s="16" t="s">
        <v>136</v>
      </c>
      <c r="E822" s="80" t="s">
        <v>424</v>
      </c>
      <c r="F822" s="16" t="s">
        <v>17</v>
      </c>
      <c r="G822" s="102" t="s">
        <v>18</v>
      </c>
      <c r="H822" s="39">
        <v>35</v>
      </c>
      <c r="I822" s="39">
        <v>34.299999999999997</v>
      </c>
      <c r="J822" s="99">
        <f t="shared" si="55"/>
        <v>98</v>
      </c>
      <c r="L822" s="108"/>
    </row>
    <row r="823" spans="1:12">
      <c r="L823" s="108"/>
    </row>
    <row r="824" spans="1:12">
      <c r="K824" s="155"/>
    </row>
  </sheetData>
  <mergeCells count="15">
    <mergeCell ref="B1:C1"/>
    <mergeCell ref="B2:C2"/>
    <mergeCell ref="B3:C3"/>
    <mergeCell ref="A11:A13"/>
    <mergeCell ref="A8:J8"/>
    <mergeCell ref="E10:E13"/>
    <mergeCell ref="F10:F13"/>
    <mergeCell ref="G10:G13"/>
    <mergeCell ref="H10:J10"/>
    <mergeCell ref="C10:C13"/>
    <mergeCell ref="B10:B13"/>
    <mergeCell ref="H11:H13"/>
    <mergeCell ref="D10:D13"/>
    <mergeCell ref="I11:I13"/>
    <mergeCell ref="J11:J13"/>
  </mergeCells>
  <phoneticPr fontId="2" type="noConversion"/>
  <pageMargins left="0.75" right="0.75" top="0.9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27"/>
  <sheetViews>
    <sheetView workbookViewId="0">
      <selection activeCell="C3" sqref="C3"/>
    </sheetView>
  </sheetViews>
  <sheetFormatPr defaultColWidth="9.140625" defaultRowHeight="12.75"/>
  <cols>
    <col min="1" max="1" width="11.85546875" style="95" customWidth="1"/>
    <col min="2" max="2" width="3.28515625" style="95" customWidth="1"/>
    <col min="3" max="3" width="43.85546875" style="95" customWidth="1"/>
    <col min="4" max="4" width="11.7109375" style="95" customWidth="1"/>
    <col min="5" max="5" width="11.28515625" style="95" customWidth="1"/>
    <col min="6" max="6" width="5.7109375" style="95" customWidth="1"/>
    <col min="7" max="7" width="9.5703125" style="95" bestFit="1" customWidth="1"/>
    <col min="8" max="16384" width="9.140625" style="95"/>
  </cols>
  <sheetData>
    <row r="1" spans="1:7">
      <c r="C1" s="165" t="s">
        <v>489</v>
      </c>
    </row>
    <row r="2" spans="1:7">
      <c r="C2" s="165" t="s">
        <v>730</v>
      </c>
    </row>
    <row r="3" spans="1:7">
      <c r="C3" s="165" t="s">
        <v>897</v>
      </c>
    </row>
    <row r="4" spans="1:7">
      <c r="C4" s="165" t="s">
        <v>882</v>
      </c>
    </row>
    <row r="5" spans="1:7">
      <c r="C5" s="165" t="s">
        <v>883</v>
      </c>
    </row>
    <row r="6" spans="1:7">
      <c r="C6" s="89"/>
      <c r="D6" s="44"/>
    </row>
    <row r="7" spans="1:7" ht="45.75" customHeight="1">
      <c r="A7" s="233" t="s">
        <v>889</v>
      </c>
      <c r="B7" s="240"/>
      <c r="C7" s="240"/>
      <c r="D7" s="240"/>
      <c r="E7" s="240"/>
      <c r="F7" s="240"/>
      <c r="G7" s="136"/>
    </row>
    <row r="8" spans="1:7" ht="15">
      <c r="A8" s="132"/>
      <c r="B8" s="135"/>
      <c r="C8" s="135"/>
      <c r="D8" s="135"/>
      <c r="E8" s="135"/>
      <c r="F8" s="135"/>
      <c r="G8" s="136"/>
    </row>
    <row r="9" spans="1:7">
      <c r="D9" s="6"/>
    </row>
    <row r="10" spans="1:7">
      <c r="A10" s="242" t="s">
        <v>167</v>
      </c>
      <c r="B10" s="242" t="s">
        <v>161</v>
      </c>
      <c r="C10" s="251" t="s">
        <v>400</v>
      </c>
      <c r="D10" s="238" t="s">
        <v>34</v>
      </c>
      <c r="E10" s="232"/>
      <c r="F10" s="232"/>
    </row>
    <row r="11" spans="1:7">
      <c r="A11" s="243"/>
      <c r="B11" s="243"/>
      <c r="C11" s="252"/>
      <c r="D11" s="238" t="s">
        <v>880</v>
      </c>
      <c r="E11" s="238" t="s">
        <v>886</v>
      </c>
      <c r="F11" s="238" t="s">
        <v>879</v>
      </c>
    </row>
    <row r="12" spans="1:7">
      <c r="A12" s="243"/>
      <c r="B12" s="243"/>
      <c r="C12" s="252"/>
      <c r="D12" s="238"/>
      <c r="E12" s="238"/>
      <c r="F12" s="238"/>
    </row>
    <row r="13" spans="1:7">
      <c r="A13" s="244"/>
      <c r="B13" s="244"/>
      <c r="C13" s="253"/>
      <c r="D13" s="238"/>
      <c r="E13" s="238"/>
      <c r="F13" s="238"/>
    </row>
    <row r="14" spans="1:7">
      <c r="A14" s="2">
        <v>3</v>
      </c>
      <c r="B14" s="2">
        <v>4</v>
      </c>
      <c r="C14" s="2">
        <v>5</v>
      </c>
      <c r="D14" s="2">
        <v>6</v>
      </c>
      <c r="E14" s="2">
        <v>7</v>
      </c>
      <c r="F14" s="2">
        <v>8</v>
      </c>
    </row>
    <row r="15" spans="1:7" ht="18">
      <c r="A15" s="2"/>
      <c r="B15" s="2"/>
      <c r="C15" s="9" t="s">
        <v>140</v>
      </c>
      <c r="D15" s="163">
        <f>D16+D544</f>
        <v>1158867.9999999998</v>
      </c>
      <c r="E15" s="163">
        <f>E16+E544</f>
        <v>1090651.0000000002</v>
      </c>
      <c r="F15" s="206">
        <f t="shared" ref="F15:F78" si="0">ROUND((E15/D15*100),1)</f>
        <v>94.1</v>
      </c>
    </row>
    <row r="16" spans="1:7" ht="15.75">
      <c r="A16" s="2"/>
      <c r="B16" s="2"/>
      <c r="C16" s="3" t="s">
        <v>663</v>
      </c>
      <c r="D16" s="163">
        <f>D17+D116+D184+D206+D247+D277+D282+D328+D341+D378+D383+D407+D476+D501+D521</f>
        <v>1038001.0999999999</v>
      </c>
      <c r="E16" s="163">
        <f>E17+E116+E184+E206+E247+E277+E282+E328+E341+E378+E383+E407+E476+E501+E521</f>
        <v>970331.80000000016</v>
      </c>
      <c r="F16" s="206">
        <f t="shared" si="0"/>
        <v>93.5</v>
      </c>
    </row>
    <row r="17" spans="1:7" ht="38.25">
      <c r="A17" s="73" t="s">
        <v>118</v>
      </c>
      <c r="B17" s="35"/>
      <c r="C17" s="64" t="s">
        <v>543</v>
      </c>
      <c r="D17" s="62">
        <f>D18+D102+D111</f>
        <v>503243.30000000005</v>
      </c>
      <c r="E17" s="62">
        <f>E18+E102+E111</f>
        <v>488886.30000000005</v>
      </c>
      <c r="F17" s="58">
        <f t="shared" si="0"/>
        <v>97.1</v>
      </c>
      <c r="G17" s="108"/>
    </row>
    <row r="18" spans="1:7" ht="25.5">
      <c r="A18" s="52" t="s">
        <v>119</v>
      </c>
      <c r="B18" s="35"/>
      <c r="C18" s="46" t="s">
        <v>59</v>
      </c>
      <c r="D18" s="99">
        <f>D19+D24+D64+D68+D87</f>
        <v>496004.7</v>
      </c>
      <c r="E18" s="99">
        <f>E19+E24+E64+E68+E87</f>
        <v>481661.4</v>
      </c>
      <c r="F18" s="99">
        <f t="shared" si="0"/>
        <v>97.1</v>
      </c>
      <c r="G18" s="108"/>
    </row>
    <row r="19" spans="1:7" ht="25.5">
      <c r="A19" s="21" t="s">
        <v>549</v>
      </c>
      <c r="B19" s="35"/>
      <c r="C19" s="101" t="s">
        <v>418</v>
      </c>
      <c r="D19" s="99">
        <f>D20+D22</f>
        <v>5540.3</v>
      </c>
      <c r="E19" s="99">
        <f>E20+E22</f>
        <v>5041.5</v>
      </c>
      <c r="F19" s="99">
        <f t="shared" si="0"/>
        <v>91</v>
      </c>
      <c r="G19" s="108"/>
    </row>
    <row r="20" spans="1:7" ht="28.5" customHeight="1">
      <c r="A20" s="21" t="s">
        <v>550</v>
      </c>
      <c r="B20" s="21"/>
      <c r="C20" s="102" t="s">
        <v>73</v>
      </c>
      <c r="D20" s="99">
        <f>D21</f>
        <v>176.1</v>
      </c>
      <c r="E20" s="99">
        <f>E21</f>
        <v>176.1</v>
      </c>
      <c r="F20" s="99">
        <f t="shared" si="0"/>
        <v>100</v>
      </c>
      <c r="G20" s="108"/>
    </row>
    <row r="21" spans="1:7" ht="38.25">
      <c r="A21" s="21" t="s">
        <v>550</v>
      </c>
      <c r="B21" s="85" t="s">
        <v>314</v>
      </c>
      <c r="C21" s="102" t="s">
        <v>315</v>
      </c>
      <c r="D21" s="99">
        <v>176.1</v>
      </c>
      <c r="E21" s="99">
        <v>176.1</v>
      </c>
      <c r="F21" s="99">
        <f t="shared" si="0"/>
        <v>100</v>
      </c>
      <c r="G21" s="108"/>
    </row>
    <row r="22" spans="1:7" ht="51">
      <c r="A22" s="57" t="s">
        <v>793</v>
      </c>
      <c r="B22" s="21"/>
      <c r="C22" s="102" t="s">
        <v>794</v>
      </c>
      <c r="D22" s="99">
        <f>D23</f>
        <v>5364.2</v>
      </c>
      <c r="E22" s="99">
        <f t="shared" ref="E22" si="1">E23</f>
        <v>4865.3999999999996</v>
      </c>
      <c r="F22" s="99">
        <f t="shared" si="0"/>
        <v>90.7</v>
      </c>
      <c r="G22" s="108"/>
    </row>
    <row r="23" spans="1:7">
      <c r="A23" s="57" t="s">
        <v>793</v>
      </c>
      <c r="B23" s="21" t="s">
        <v>334</v>
      </c>
      <c r="C23" s="102" t="s">
        <v>333</v>
      </c>
      <c r="D23" s="99">
        <f>5338.2+26</f>
        <v>5364.2</v>
      </c>
      <c r="E23" s="41">
        <v>4865.3999999999996</v>
      </c>
      <c r="F23" s="99">
        <f t="shared" si="0"/>
        <v>90.7</v>
      </c>
      <c r="G23" s="108"/>
    </row>
    <row r="24" spans="1:7" ht="25.5">
      <c r="A24" s="21" t="s">
        <v>419</v>
      </c>
      <c r="B24" s="35"/>
      <c r="C24" s="101" t="s">
        <v>421</v>
      </c>
      <c r="D24" s="99">
        <f>D25+D27+D29+D31+D33+D35+D38+D40+D42+D44+D46+D48+Z38+D50+D52+D54+D56+D58+D60+D62</f>
        <v>443801.1</v>
      </c>
      <c r="E24" s="99">
        <f>E25+E27+E29+E31+E33+E35+E38+E40+E42+E44+E46+E48+AA38+E50+E52+E54+E56+E58+E60+E62</f>
        <v>433723.2</v>
      </c>
      <c r="F24" s="99">
        <f t="shared" si="0"/>
        <v>97.7</v>
      </c>
      <c r="G24" s="108"/>
    </row>
    <row r="25" spans="1:7" ht="51">
      <c r="A25" s="21" t="s">
        <v>551</v>
      </c>
      <c r="B25" s="35"/>
      <c r="C25" s="119" t="s">
        <v>422</v>
      </c>
      <c r="D25" s="99">
        <f>D26</f>
        <v>961.09999999999991</v>
      </c>
      <c r="E25" s="99">
        <f>E26</f>
        <v>527.1</v>
      </c>
      <c r="F25" s="99">
        <f t="shared" si="0"/>
        <v>54.8</v>
      </c>
      <c r="G25" s="108"/>
    </row>
    <row r="26" spans="1:7">
      <c r="A26" s="21" t="s">
        <v>551</v>
      </c>
      <c r="B26" s="85" t="s">
        <v>334</v>
      </c>
      <c r="C26" s="102" t="s">
        <v>333</v>
      </c>
      <c r="D26" s="99">
        <f>224+0.1+311.2+1790.3-1364.5</f>
        <v>961.09999999999991</v>
      </c>
      <c r="E26" s="99">
        <v>527.1</v>
      </c>
      <c r="F26" s="99">
        <f t="shared" si="0"/>
        <v>54.8</v>
      </c>
      <c r="G26" s="108"/>
    </row>
    <row r="27" spans="1:7" ht="42" customHeight="1">
      <c r="A27" s="21" t="s">
        <v>704</v>
      </c>
      <c r="B27" s="57"/>
      <c r="C27" s="119" t="s">
        <v>705</v>
      </c>
      <c r="D27" s="99">
        <f>D28</f>
        <v>2598.8000000000002</v>
      </c>
      <c r="E27" s="99">
        <f t="shared" ref="E27" si="2">E28</f>
        <v>2108.4</v>
      </c>
      <c r="F27" s="99">
        <f t="shared" si="0"/>
        <v>81.099999999999994</v>
      </c>
      <c r="G27" s="108"/>
    </row>
    <row r="28" spans="1:7">
      <c r="A28" s="21" t="s">
        <v>704</v>
      </c>
      <c r="B28" s="21" t="s">
        <v>334</v>
      </c>
      <c r="C28" s="102" t="s">
        <v>333</v>
      </c>
      <c r="D28" s="99">
        <f>896+1702.8</f>
        <v>2598.8000000000002</v>
      </c>
      <c r="E28" s="41">
        <v>2108.4</v>
      </c>
      <c r="F28" s="99">
        <f t="shared" si="0"/>
        <v>81.099999999999994</v>
      </c>
      <c r="G28" s="108"/>
    </row>
    <row r="29" spans="1:7" ht="51">
      <c r="A29" s="57" t="s">
        <v>552</v>
      </c>
      <c r="B29" s="21"/>
      <c r="C29" s="102" t="s">
        <v>185</v>
      </c>
      <c r="D29" s="99">
        <f>D30</f>
        <v>13082.199999999999</v>
      </c>
      <c r="E29" s="99">
        <f t="shared" ref="E29" si="3">E30</f>
        <v>11817.4</v>
      </c>
      <c r="F29" s="99">
        <f t="shared" si="0"/>
        <v>90.3</v>
      </c>
      <c r="G29" s="108"/>
    </row>
    <row r="30" spans="1:7">
      <c r="A30" s="57" t="s">
        <v>552</v>
      </c>
      <c r="B30" s="21" t="s">
        <v>334</v>
      </c>
      <c r="C30" s="102" t="s">
        <v>333</v>
      </c>
      <c r="D30" s="99">
        <f>13303.3-221.1</f>
        <v>13082.199999999999</v>
      </c>
      <c r="E30" s="99">
        <v>11817.4</v>
      </c>
      <c r="F30" s="99">
        <f t="shared" si="0"/>
        <v>90.3</v>
      </c>
      <c r="G30" s="108"/>
    </row>
    <row r="31" spans="1:7" ht="63.75">
      <c r="A31" s="57" t="s">
        <v>554</v>
      </c>
      <c r="B31" s="21"/>
      <c r="C31" s="102" t="s">
        <v>423</v>
      </c>
      <c r="D31" s="99">
        <f>D32</f>
        <v>56537.599999999999</v>
      </c>
      <c r="E31" s="99">
        <f t="shared" ref="E31" si="4">E32</f>
        <v>56537.599999999999</v>
      </c>
      <c r="F31" s="99">
        <f t="shared" si="0"/>
        <v>100</v>
      </c>
      <c r="G31" s="108"/>
    </row>
    <row r="32" spans="1:7">
      <c r="A32" s="57" t="s">
        <v>554</v>
      </c>
      <c r="B32" s="21" t="s">
        <v>334</v>
      </c>
      <c r="C32" s="102" t="s">
        <v>333</v>
      </c>
      <c r="D32" s="99">
        <f>57777.4-209.3-280-108.3-37.5-150-19.6-555.1+120</f>
        <v>56537.599999999999</v>
      </c>
      <c r="E32" s="99">
        <f>57777.4-209.3-280-108.3-37.5-150-19.6-555.1+120</f>
        <v>56537.599999999999</v>
      </c>
      <c r="F32" s="99">
        <f t="shared" si="0"/>
        <v>100</v>
      </c>
      <c r="G32" s="108"/>
    </row>
    <row r="33" spans="1:7" ht="63.75">
      <c r="A33" s="57" t="s">
        <v>555</v>
      </c>
      <c r="B33" s="57"/>
      <c r="C33" s="102" t="s">
        <v>58</v>
      </c>
      <c r="D33" s="99">
        <f>D34</f>
        <v>75349.299999999988</v>
      </c>
      <c r="E33" s="99">
        <f t="shared" ref="E33" si="5">E34</f>
        <v>75558.899999999994</v>
      </c>
      <c r="F33" s="99">
        <f t="shared" si="0"/>
        <v>100.3</v>
      </c>
      <c r="G33" s="108"/>
    </row>
    <row r="34" spans="1:7">
      <c r="A34" s="57" t="s">
        <v>555</v>
      </c>
      <c r="B34" s="85" t="s">
        <v>334</v>
      </c>
      <c r="C34" s="102" t="s">
        <v>333</v>
      </c>
      <c r="D34" s="200">
        <f>75558.9-209.6</f>
        <v>75349.299999999988</v>
      </c>
      <c r="E34" s="200">
        <v>75558.899999999994</v>
      </c>
      <c r="F34" s="200">
        <f t="shared" si="0"/>
        <v>100.3</v>
      </c>
      <c r="G34" s="108"/>
    </row>
    <row r="35" spans="1:7" ht="38.25">
      <c r="A35" s="84" t="s">
        <v>556</v>
      </c>
      <c r="B35" s="21"/>
      <c r="C35" s="102" t="s">
        <v>429</v>
      </c>
      <c r="D35" s="99">
        <f>SUM(D36:D37)</f>
        <v>10900.2</v>
      </c>
      <c r="E35" s="99">
        <f t="shared" ref="E35" si="6">SUM(E36:E37)</f>
        <v>7445.2</v>
      </c>
      <c r="F35" s="99">
        <f t="shared" si="0"/>
        <v>68.3</v>
      </c>
      <c r="G35" s="108"/>
    </row>
    <row r="36" spans="1:7" ht="38.25">
      <c r="A36" s="84" t="s">
        <v>556</v>
      </c>
      <c r="B36" s="85" t="s">
        <v>314</v>
      </c>
      <c r="C36" s="102" t="s">
        <v>315</v>
      </c>
      <c r="D36" s="99">
        <f>155+100</f>
        <v>255</v>
      </c>
      <c r="E36" s="99">
        <v>156</v>
      </c>
      <c r="F36" s="99">
        <f t="shared" si="0"/>
        <v>61.2</v>
      </c>
      <c r="G36" s="108"/>
    </row>
    <row r="37" spans="1:7" ht="25.5">
      <c r="A37" s="84" t="s">
        <v>556</v>
      </c>
      <c r="B37" s="85" t="s">
        <v>387</v>
      </c>
      <c r="C37" s="102" t="s">
        <v>373</v>
      </c>
      <c r="D37" s="99">
        <f>10745.2-100</f>
        <v>10645.2</v>
      </c>
      <c r="E37" s="99">
        <v>7289.2</v>
      </c>
      <c r="F37" s="99">
        <f t="shared" si="0"/>
        <v>68.5</v>
      </c>
      <c r="G37" s="108"/>
    </row>
    <row r="38" spans="1:7" ht="51">
      <c r="A38" s="57" t="s">
        <v>553</v>
      </c>
      <c r="B38" s="21"/>
      <c r="C38" s="102" t="s">
        <v>430</v>
      </c>
      <c r="D38" s="99">
        <f>D39</f>
        <v>69347.7</v>
      </c>
      <c r="E38" s="99">
        <f t="shared" ref="E38" si="7">E39</f>
        <v>69347.7</v>
      </c>
      <c r="F38" s="99">
        <f t="shared" si="0"/>
        <v>100</v>
      </c>
      <c r="G38" s="108"/>
    </row>
    <row r="39" spans="1:7">
      <c r="A39" s="57" t="s">
        <v>553</v>
      </c>
      <c r="B39" s="21" t="s">
        <v>334</v>
      </c>
      <c r="C39" s="102" t="s">
        <v>333</v>
      </c>
      <c r="D39" s="99">
        <f>69366.5-18.8</f>
        <v>69347.7</v>
      </c>
      <c r="E39" s="99">
        <f>69366.5-18.8</f>
        <v>69347.7</v>
      </c>
      <c r="F39" s="99">
        <f t="shared" si="0"/>
        <v>100</v>
      </c>
      <c r="G39" s="108"/>
    </row>
    <row r="40" spans="1:7" ht="51">
      <c r="A40" s="57" t="s">
        <v>557</v>
      </c>
      <c r="B40" s="21"/>
      <c r="C40" s="102" t="s">
        <v>431</v>
      </c>
      <c r="D40" s="99">
        <f>D41</f>
        <v>202477.19999999998</v>
      </c>
      <c r="E40" s="99">
        <f t="shared" ref="E40" si="8">E41</f>
        <v>203030.3</v>
      </c>
      <c r="F40" s="99">
        <f t="shared" si="0"/>
        <v>100.3</v>
      </c>
      <c r="G40" s="108"/>
    </row>
    <row r="41" spans="1:7">
      <c r="A41" s="57" t="s">
        <v>557</v>
      </c>
      <c r="B41" s="21" t="s">
        <v>334</v>
      </c>
      <c r="C41" s="102" t="s">
        <v>333</v>
      </c>
      <c r="D41" s="99">
        <f>203030.3-553.1</f>
        <v>202477.19999999998</v>
      </c>
      <c r="E41" s="99">
        <v>203030.3</v>
      </c>
      <c r="F41" s="99">
        <f t="shared" si="0"/>
        <v>100.3</v>
      </c>
      <c r="G41" s="108"/>
    </row>
    <row r="42" spans="1:7" ht="75.75" customHeight="1">
      <c r="A42" s="21" t="s">
        <v>558</v>
      </c>
      <c r="B42" s="35"/>
      <c r="C42" s="102" t="s">
        <v>259</v>
      </c>
      <c r="D42" s="99">
        <f>D43</f>
        <v>1332</v>
      </c>
      <c r="E42" s="99">
        <f t="shared" ref="E42" si="9">E43</f>
        <v>1156.8</v>
      </c>
      <c r="F42" s="99">
        <f t="shared" si="0"/>
        <v>86.8</v>
      </c>
      <c r="G42" s="108"/>
    </row>
    <row r="43" spans="1:7" ht="25.5">
      <c r="A43" s="21" t="s">
        <v>558</v>
      </c>
      <c r="B43" s="84" t="s">
        <v>412</v>
      </c>
      <c r="C43" s="102" t="s">
        <v>413</v>
      </c>
      <c r="D43" s="99">
        <v>1332</v>
      </c>
      <c r="E43" s="99">
        <v>1156.8</v>
      </c>
      <c r="F43" s="99">
        <f t="shared" si="0"/>
        <v>86.8</v>
      </c>
      <c r="G43" s="108"/>
    </row>
    <row r="44" spans="1:7" ht="51">
      <c r="A44" s="57" t="s">
        <v>559</v>
      </c>
      <c r="B44" s="35"/>
      <c r="C44" s="102" t="s">
        <v>503</v>
      </c>
      <c r="D44" s="99">
        <f>D45</f>
        <v>798.5</v>
      </c>
      <c r="E44" s="99">
        <f t="shared" ref="E44" si="10">E45</f>
        <v>798.5</v>
      </c>
      <c r="F44" s="99">
        <f t="shared" si="0"/>
        <v>100</v>
      </c>
      <c r="G44" s="108"/>
    </row>
    <row r="45" spans="1:7">
      <c r="A45" s="57" t="s">
        <v>559</v>
      </c>
      <c r="B45" s="21" t="s">
        <v>334</v>
      </c>
      <c r="C45" s="102" t="s">
        <v>333</v>
      </c>
      <c r="D45" s="99">
        <f>30+768.5</f>
        <v>798.5</v>
      </c>
      <c r="E45" s="99">
        <f>30+768.5</f>
        <v>798.5</v>
      </c>
      <c r="F45" s="99">
        <f t="shared" si="0"/>
        <v>100</v>
      </c>
      <c r="G45" s="108"/>
    </row>
    <row r="46" spans="1:7" ht="25.5">
      <c r="A46" s="21" t="s">
        <v>560</v>
      </c>
      <c r="B46" s="16"/>
      <c r="C46" s="102" t="s">
        <v>432</v>
      </c>
      <c r="D46" s="99">
        <f>D47</f>
        <v>96.699999999999989</v>
      </c>
      <c r="E46" s="99">
        <f t="shared" ref="E46" si="11">E47</f>
        <v>96.699999999999989</v>
      </c>
      <c r="F46" s="99">
        <f t="shared" si="0"/>
        <v>100</v>
      </c>
      <c r="G46" s="108"/>
    </row>
    <row r="47" spans="1:7" ht="25.5">
      <c r="A47" s="21" t="s">
        <v>560</v>
      </c>
      <c r="B47" s="85" t="s">
        <v>104</v>
      </c>
      <c r="C47" s="55" t="s">
        <v>179</v>
      </c>
      <c r="D47" s="99">
        <f>79.1+17.6</f>
        <v>96.699999999999989</v>
      </c>
      <c r="E47" s="99">
        <f>79.1+17.6</f>
        <v>96.699999999999989</v>
      </c>
      <c r="F47" s="99">
        <f t="shared" si="0"/>
        <v>100</v>
      </c>
      <c r="G47" s="108"/>
    </row>
    <row r="48" spans="1:7" ht="38.25">
      <c r="A48" s="57" t="s">
        <v>561</v>
      </c>
      <c r="B48" s="21"/>
      <c r="C48" s="102" t="s">
        <v>476</v>
      </c>
      <c r="D48" s="99">
        <f>D49</f>
        <v>4408.8</v>
      </c>
      <c r="E48" s="99">
        <f t="shared" ref="E48" si="12">E49</f>
        <v>3350.7</v>
      </c>
      <c r="F48" s="99">
        <f t="shared" si="0"/>
        <v>76</v>
      </c>
      <c r="G48" s="108"/>
    </row>
    <row r="49" spans="1:7">
      <c r="A49" s="57" t="s">
        <v>561</v>
      </c>
      <c r="B49" s="21" t="s">
        <v>334</v>
      </c>
      <c r="C49" s="102" t="s">
        <v>333</v>
      </c>
      <c r="D49" s="99">
        <f>4408.8-1058.1+1058.1</f>
        <v>4408.8</v>
      </c>
      <c r="E49" s="41">
        <v>3350.7</v>
      </c>
      <c r="F49" s="99">
        <f t="shared" si="0"/>
        <v>76</v>
      </c>
      <c r="G49" s="108"/>
    </row>
    <row r="50" spans="1:7" ht="38.25">
      <c r="A50" s="57" t="s">
        <v>749</v>
      </c>
      <c r="B50" s="21"/>
      <c r="C50" s="54" t="s">
        <v>750</v>
      </c>
      <c r="D50" s="99">
        <f>D51</f>
        <v>100</v>
      </c>
      <c r="E50" s="99">
        <f t="shared" ref="E50" si="13">E51</f>
        <v>100</v>
      </c>
      <c r="F50" s="99">
        <f t="shared" si="0"/>
        <v>100</v>
      </c>
      <c r="G50" s="108"/>
    </row>
    <row r="51" spans="1:7">
      <c r="A51" s="57" t="s">
        <v>749</v>
      </c>
      <c r="B51" s="21" t="s">
        <v>334</v>
      </c>
      <c r="C51" s="102" t="s">
        <v>333</v>
      </c>
      <c r="D51" s="99">
        <f>50+50</f>
        <v>100</v>
      </c>
      <c r="E51" s="99">
        <f>50+50</f>
        <v>100</v>
      </c>
      <c r="F51" s="99">
        <f t="shared" si="0"/>
        <v>100</v>
      </c>
      <c r="G51" s="108"/>
    </row>
    <row r="52" spans="1:7" ht="51">
      <c r="A52" s="57" t="s">
        <v>727</v>
      </c>
      <c r="B52" s="57"/>
      <c r="C52" s="160" t="s">
        <v>728</v>
      </c>
      <c r="D52" s="99">
        <f>D53</f>
        <v>655</v>
      </c>
      <c r="E52" s="99">
        <f t="shared" ref="E52" si="14">E53</f>
        <v>655</v>
      </c>
      <c r="F52" s="99">
        <f t="shared" si="0"/>
        <v>100</v>
      </c>
      <c r="G52" s="108"/>
    </row>
    <row r="53" spans="1:7">
      <c r="A53" s="57" t="s">
        <v>727</v>
      </c>
      <c r="B53" s="21" t="s">
        <v>334</v>
      </c>
      <c r="C53" s="102" t="s">
        <v>333</v>
      </c>
      <c r="D53" s="99">
        <f>205+450</f>
        <v>655</v>
      </c>
      <c r="E53" s="99">
        <f>205+450</f>
        <v>655</v>
      </c>
      <c r="F53" s="99">
        <f t="shared" si="0"/>
        <v>100</v>
      </c>
      <c r="G53" s="108"/>
    </row>
    <row r="54" spans="1:7" ht="51.75" customHeight="1">
      <c r="A54" s="57" t="s">
        <v>642</v>
      </c>
      <c r="B54" s="57"/>
      <c r="C54" s="102" t="s">
        <v>697</v>
      </c>
      <c r="D54" s="99">
        <f>D55</f>
        <v>576.4</v>
      </c>
      <c r="E54" s="99">
        <f t="shared" ref="E54" si="15">E55</f>
        <v>569.70000000000005</v>
      </c>
      <c r="F54" s="99">
        <f t="shared" si="0"/>
        <v>98.8</v>
      </c>
      <c r="G54" s="108"/>
    </row>
    <row r="55" spans="1:7">
      <c r="A55" s="57" t="s">
        <v>642</v>
      </c>
      <c r="B55" s="21" t="s">
        <v>334</v>
      </c>
      <c r="C55" s="102" t="s">
        <v>333</v>
      </c>
      <c r="D55" s="99">
        <f>50+120+240+166.4</f>
        <v>576.4</v>
      </c>
      <c r="E55" s="41">
        <v>569.70000000000005</v>
      </c>
      <c r="F55" s="99">
        <f t="shared" si="0"/>
        <v>98.8</v>
      </c>
      <c r="G55" s="108"/>
    </row>
    <row r="56" spans="1:7" ht="51">
      <c r="A56" s="57" t="s">
        <v>725</v>
      </c>
      <c r="B56" s="21"/>
      <c r="C56" s="160" t="s">
        <v>726</v>
      </c>
      <c r="D56" s="99">
        <f>D57</f>
        <v>473.2</v>
      </c>
      <c r="E56" s="99">
        <f t="shared" ref="E56" si="16">E57</f>
        <v>473.2</v>
      </c>
      <c r="F56" s="99">
        <f t="shared" si="0"/>
        <v>100</v>
      </c>
      <c r="G56" s="108"/>
    </row>
    <row r="57" spans="1:7">
      <c r="A57" s="57" t="s">
        <v>725</v>
      </c>
      <c r="B57" s="21" t="s">
        <v>334</v>
      </c>
      <c r="C57" s="102" t="s">
        <v>333</v>
      </c>
      <c r="D57" s="99">
        <f>280+84.9+108.3</f>
        <v>473.2</v>
      </c>
      <c r="E57" s="99">
        <f>280+84.9+108.3</f>
        <v>473.2</v>
      </c>
      <c r="F57" s="99">
        <f t="shared" si="0"/>
        <v>100</v>
      </c>
      <c r="G57" s="108"/>
    </row>
    <row r="58" spans="1:7" ht="38.25">
      <c r="A58" s="21" t="s">
        <v>744</v>
      </c>
      <c r="B58" s="35"/>
      <c r="C58" s="119" t="s">
        <v>745</v>
      </c>
      <c r="D58" s="99">
        <f>D59</f>
        <v>791.3</v>
      </c>
      <c r="E58" s="99">
        <f>E59</f>
        <v>0</v>
      </c>
      <c r="F58" s="99">
        <f t="shared" si="0"/>
        <v>0</v>
      </c>
      <c r="G58" s="108"/>
    </row>
    <row r="59" spans="1:7">
      <c r="A59" s="21" t="s">
        <v>744</v>
      </c>
      <c r="B59" s="21" t="s">
        <v>334</v>
      </c>
      <c r="C59" s="102" t="s">
        <v>333</v>
      </c>
      <c r="D59" s="99">
        <v>791.3</v>
      </c>
      <c r="E59" s="99">
        <v>0</v>
      </c>
      <c r="F59" s="99">
        <f t="shared" si="0"/>
        <v>0</v>
      </c>
      <c r="G59" s="108"/>
    </row>
    <row r="60" spans="1:7" ht="40.5" customHeight="1">
      <c r="A60" s="21" t="s">
        <v>786</v>
      </c>
      <c r="B60" s="21"/>
      <c r="C60" s="160" t="s">
        <v>787</v>
      </c>
      <c r="D60" s="99">
        <f>D61</f>
        <v>3165.1</v>
      </c>
      <c r="E60" s="99">
        <f>E61</f>
        <v>0</v>
      </c>
      <c r="F60" s="99">
        <f t="shared" si="0"/>
        <v>0</v>
      </c>
      <c r="G60" s="108"/>
    </row>
    <row r="61" spans="1:7">
      <c r="A61" s="21" t="s">
        <v>786</v>
      </c>
      <c r="B61" s="21" t="s">
        <v>334</v>
      </c>
      <c r="C61" s="102" t="s">
        <v>333</v>
      </c>
      <c r="D61" s="99">
        <v>3165.1</v>
      </c>
      <c r="E61" s="99">
        <v>0</v>
      </c>
      <c r="F61" s="99">
        <f t="shared" si="0"/>
        <v>0</v>
      </c>
      <c r="G61" s="108"/>
    </row>
    <row r="62" spans="1:7" ht="51">
      <c r="A62" s="57" t="s">
        <v>756</v>
      </c>
      <c r="B62" s="21"/>
      <c r="C62" s="119" t="s">
        <v>757</v>
      </c>
      <c r="D62" s="99">
        <f>D63</f>
        <v>150</v>
      </c>
      <c r="E62" s="99">
        <f t="shared" ref="E62" si="17">E63</f>
        <v>150</v>
      </c>
      <c r="F62" s="99">
        <f t="shared" si="0"/>
        <v>100</v>
      </c>
      <c r="G62" s="108"/>
    </row>
    <row r="63" spans="1:7">
      <c r="A63" s="57" t="s">
        <v>756</v>
      </c>
      <c r="B63" s="21" t="s">
        <v>334</v>
      </c>
      <c r="C63" s="102" t="s">
        <v>333</v>
      </c>
      <c r="D63" s="99">
        <v>150</v>
      </c>
      <c r="E63" s="99">
        <v>150</v>
      </c>
      <c r="F63" s="99">
        <f t="shared" si="0"/>
        <v>100</v>
      </c>
      <c r="G63" s="108"/>
    </row>
    <row r="64" spans="1:7" ht="25.5">
      <c r="A64" s="21" t="s">
        <v>420</v>
      </c>
      <c r="B64" s="16"/>
      <c r="C64" s="101" t="s">
        <v>433</v>
      </c>
      <c r="D64" s="41">
        <f>D65</f>
        <v>381.90000000000009</v>
      </c>
      <c r="E64" s="41">
        <f>E65</f>
        <v>381.90000000000009</v>
      </c>
      <c r="F64" s="99">
        <f t="shared" si="0"/>
        <v>100</v>
      </c>
      <c r="G64" s="108"/>
    </row>
    <row r="65" spans="1:7" ht="38.25">
      <c r="A65" s="21" t="s">
        <v>562</v>
      </c>
      <c r="B65" s="35"/>
      <c r="C65" s="102" t="s">
        <v>65</v>
      </c>
      <c r="D65" s="41">
        <f>SUM(D66:D67)</f>
        <v>381.90000000000009</v>
      </c>
      <c r="E65" s="41">
        <f>SUM(E66:E67)</f>
        <v>381.90000000000009</v>
      </c>
      <c r="F65" s="99">
        <f t="shared" si="0"/>
        <v>100</v>
      </c>
      <c r="G65" s="108"/>
    </row>
    <row r="66" spans="1:7" ht="25.5">
      <c r="A66" s="21" t="s">
        <v>562</v>
      </c>
      <c r="B66" s="85" t="s">
        <v>104</v>
      </c>
      <c r="C66" s="55" t="s">
        <v>179</v>
      </c>
      <c r="D66" s="41">
        <f>250+270-117.5+200-11.9-1.3-324.9</f>
        <v>264.40000000000009</v>
      </c>
      <c r="E66" s="41">
        <f>250+270-117.5+200-11.9-1.3-324.9</f>
        <v>264.40000000000009</v>
      </c>
      <c r="F66" s="99">
        <f t="shared" si="0"/>
        <v>100</v>
      </c>
      <c r="G66" s="108"/>
    </row>
    <row r="67" spans="1:7" ht="38.25">
      <c r="A67" s="21" t="s">
        <v>562</v>
      </c>
      <c r="B67" s="85" t="s">
        <v>314</v>
      </c>
      <c r="C67" s="102" t="s">
        <v>315</v>
      </c>
      <c r="D67" s="41">
        <f>117.5</f>
        <v>117.5</v>
      </c>
      <c r="E67" s="41">
        <f>117.5</f>
        <v>117.5</v>
      </c>
      <c r="F67" s="99">
        <f t="shared" si="0"/>
        <v>100</v>
      </c>
      <c r="G67" s="108"/>
    </row>
    <row r="68" spans="1:7" ht="51">
      <c r="A68" s="21" t="s">
        <v>435</v>
      </c>
      <c r="B68" s="16"/>
      <c r="C68" s="101" t="s">
        <v>434</v>
      </c>
      <c r="D68" s="41">
        <f>D69+D71+D73+D76+D78+D81+D83+D85</f>
        <v>14528.9</v>
      </c>
      <c r="E68" s="41">
        <f>E69+E71+E73+E76+E78+E81+E83+E85</f>
        <v>10762.3</v>
      </c>
      <c r="F68" s="99">
        <f t="shared" si="0"/>
        <v>74.099999999999994</v>
      </c>
      <c r="G68" s="108"/>
    </row>
    <row r="69" spans="1:7">
      <c r="A69" s="57" t="s">
        <v>563</v>
      </c>
      <c r="B69" s="21"/>
      <c r="C69" s="102" t="s">
        <v>66</v>
      </c>
      <c r="D69" s="41">
        <f>D70</f>
        <v>13.200000000000001</v>
      </c>
      <c r="E69" s="41">
        <f>E70</f>
        <v>13.200000000000001</v>
      </c>
      <c r="F69" s="99">
        <f t="shared" si="0"/>
        <v>100</v>
      </c>
      <c r="G69" s="108"/>
    </row>
    <row r="70" spans="1:7">
      <c r="A70" s="57" t="s">
        <v>563</v>
      </c>
      <c r="B70" s="21" t="s">
        <v>334</v>
      </c>
      <c r="C70" s="102" t="s">
        <v>333</v>
      </c>
      <c r="D70" s="41">
        <f>11.9+1.3</f>
        <v>13.200000000000001</v>
      </c>
      <c r="E70" s="41">
        <f>11.9+1.3</f>
        <v>13.200000000000001</v>
      </c>
      <c r="F70" s="99">
        <f t="shared" si="0"/>
        <v>100</v>
      </c>
      <c r="G70" s="108"/>
    </row>
    <row r="71" spans="1:7" ht="51">
      <c r="A71" s="57" t="s">
        <v>565</v>
      </c>
      <c r="B71" s="57"/>
      <c r="C71" s="102" t="s">
        <v>67</v>
      </c>
      <c r="D71" s="41">
        <f>D72</f>
        <v>1175.7999999999995</v>
      </c>
      <c r="E71" s="41">
        <f t="shared" ref="E71" si="18">E72</f>
        <v>1175.7999999999995</v>
      </c>
      <c r="F71" s="99">
        <f t="shared" si="0"/>
        <v>100</v>
      </c>
      <c r="G71" s="108"/>
    </row>
    <row r="72" spans="1:7">
      <c r="A72" s="57" t="s">
        <v>565</v>
      </c>
      <c r="B72" s="57" t="s">
        <v>334</v>
      </c>
      <c r="C72" s="102" t="s">
        <v>333</v>
      </c>
      <c r="D72" s="41">
        <f>4606.2-1381.4-654.2-1394.8</f>
        <v>1175.7999999999995</v>
      </c>
      <c r="E72" s="41">
        <f>4606.2-1381.4-654.2-1394.8</f>
        <v>1175.7999999999995</v>
      </c>
      <c r="F72" s="99">
        <f t="shared" si="0"/>
        <v>100</v>
      </c>
      <c r="G72" s="108"/>
    </row>
    <row r="73" spans="1:7" ht="25.5">
      <c r="A73" s="57" t="s">
        <v>566</v>
      </c>
      <c r="B73" s="21"/>
      <c r="C73" s="102" t="s">
        <v>183</v>
      </c>
      <c r="D73" s="41">
        <f>SUM(D74:D75)</f>
        <v>60</v>
      </c>
      <c r="E73" s="41">
        <f t="shared" ref="E73" si="19">SUM(E74:E75)</f>
        <v>60</v>
      </c>
      <c r="F73" s="99">
        <f t="shared" si="0"/>
        <v>100</v>
      </c>
      <c r="G73" s="108"/>
    </row>
    <row r="74" spans="1:7" ht="25.5">
      <c r="A74" s="57" t="s">
        <v>566</v>
      </c>
      <c r="B74" s="85" t="s">
        <v>104</v>
      </c>
      <c r="C74" s="55" t="s">
        <v>179</v>
      </c>
      <c r="D74" s="41">
        <f>54-14.5</f>
        <v>39.5</v>
      </c>
      <c r="E74" s="41">
        <f>54-14.5</f>
        <v>39.5</v>
      </c>
      <c r="F74" s="99">
        <f t="shared" si="0"/>
        <v>100</v>
      </c>
      <c r="G74" s="108"/>
    </row>
    <row r="75" spans="1:7" ht="38.25">
      <c r="A75" s="57" t="s">
        <v>566</v>
      </c>
      <c r="B75" s="21" t="s">
        <v>314</v>
      </c>
      <c r="C75" s="102" t="s">
        <v>315</v>
      </c>
      <c r="D75" s="41">
        <f>86-65.5</f>
        <v>20.5</v>
      </c>
      <c r="E75" s="41">
        <f>86-65.5</f>
        <v>20.5</v>
      </c>
      <c r="F75" s="99">
        <f t="shared" si="0"/>
        <v>100</v>
      </c>
      <c r="G75" s="108"/>
    </row>
    <row r="76" spans="1:7" ht="25.5">
      <c r="A76" s="57" t="s">
        <v>567</v>
      </c>
      <c r="B76" s="57"/>
      <c r="C76" s="102" t="s">
        <v>260</v>
      </c>
      <c r="D76" s="41">
        <f>D77</f>
        <v>250</v>
      </c>
      <c r="E76" s="41">
        <f t="shared" ref="E76" si="20">E77</f>
        <v>250</v>
      </c>
      <c r="F76" s="99">
        <f t="shared" si="0"/>
        <v>100</v>
      </c>
      <c r="G76" s="108"/>
    </row>
    <row r="77" spans="1:7">
      <c r="A77" s="57" t="s">
        <v>567</v>
      </c>
      <c r="B77" s="21" t="s">
        <v>334</v>
      </c>
      <c r="C77" s="102" t="s">
        <v>333</v>
      </c>
      <c r="D77" s="41">
        <v>250</v>
      </c>
      <c r="E77" s="41">
        <v>250</v>
      </c>
      <c r="F77" s="99">
        <f t="shared" si="0"/>
        <v>100</v>
      </c>
      <c r="G77" s="108"/>
    </row>
    <row r="78" spans="1:7" ht="38.25">
      <c r="A78" s="57" t="s">
        <v>564</v>
      </c>
      <c r="B78" s="225"/>
      <c r="C78" s="130" t="s">
        <v>493</v>
      </c>
      <c r="D78" s="226">
        <f>SUM(D79:D80)</f>
        <v>2787</v>
      </c>
      <c r="E78" s="226">
        <f>SUM(E79:E80)</f>
        <v>118.6</v>
      </c>
      <c r="F78" s="99">
        <f t="shared" si="0"/>
        <v>4.3</v>
      </c>
      <c r="G78" s="108"/>
    </row>
    <row r="79" spans="1:7">
      <c r="A79" s="57" t="s">
        <v>564</v>
      </c>
      <c r="B79" s="21" t="s">
        <v>334</v>
      </c>
      <c r="C79" s="102" t="s">
        <v>333</v>
      </c>
      <c r="D79" s="99">
        <v>1844.4</v>
      </c>
      <c r="E79" s="99">
        <v>0</v>
      </c>
      <c r="F79" s="99">
        <f t="shared" ref="F79:F140" si="21">ROUND((E79/D79*100),1)</f>
        <v>0</v>
      </c>
      <c r="G79" s="108"/>
    </row>
    <row r="80" spans="1:7" ht="51" customHeight="1">
      <c r="A80" s="57" t="s">
        <v>564</v>
      </c>
      <c r="B80" s="16" t="s">
        <v>15</v>
      </c>
      <c r="C80" s="102" t="s">
        <v>501</v>
      </c>
      <c r="D80" s="99">
        <f>118.6+824</f>
        <v>942.6</v>
      </c>
      <c r="E80" s="99">
        <v>118.6</v>
      </c>
      <c r="F80" s="99">
        <f t="shared" si="21"/>
        <v>12.6</v>
      </c>
      <c r="G80" s="108"/>
    </row>
    <row r="81" spans="1:7" ht="38.25">
      <c r="A81" s="57" t="s">
        <v>568</v>
      </c>
      <c r="B81" s="57"/>
      <c r="C81" s="102" t="s">
        <v>475</v>
      </c>
      <c r="D81" s="41">
        <f>D82</f>
        <v>2570.6999999999998</v>
      </c>
      <c r="E81" s="41">
        <f t="shared" ref="E81" si="22">E82</f>
        <v>2570.6</v>
      </c>
      <c r="F81" s="99">
        <f t="shared" si="21"/>
        <v>100</v>
      </c>
      <c r="G81" s="108"/>
    </row>
    <row r="82" spans="1:7">
      <c r="A82" s="57" t="s">
        <v>568</v>
      </c>
      <c r="B82" s="57" t="s">
        <v>334</v>
      </c>
      <c r="C82" s="102" t="s">
        <v>333</v>
      </c>
      <c r="D82" s="103">
        <f>3099.2-528.5</f>
        <v>2570.6999999999998</v>
      </c>
      <c r="E82" s="103">
        <v>2570.6</v>
      </c>
      <c r="F82" s="99">
        <f t="shared" si="21"/>
        <v>100</v>
      </c>
      <c r="G82" s="108"/>
    </row>
    <row r="83" spans="1:7" ht="38.25">
      <c r="A83" s="57" t="s">
        <v>659</v>
      </c>
      <c r="B83" s="21"/>
      <c r="C83" s="54" t="s">
        <v>660</v>
      </c>
      <c r="D83" s="99">
        <f>D84</f>
        <v>436.7</v>
      </c>
      <c r="E83" s="99">
        <f t="shared" ref="E83" si="23">E84</f>
        <v>347.3</v>
      </c>
      <c r="F83" s="99">
        <f t="shared" si="21"/>
        <v>79.5</v>
      </c>
      <c r="G83" s="108"/>
    </row>
    <row r="84" spans="1:7">
      <c r="A84" s="57" t="s">
        <v>659</v>
      </c>
      <c r="B84" s="21" t="s">
        <v>334</v>
      </c>
      <c r="C84" s="102" t="s">
        <v>333</v>
      </c>
      <c r="D84" s="99">
        <f>530-69.4+52.4-76.3</f>
        <v>436.7</v>
      </c>
      <c r="E84" s="99">
        <v>347.3</v>
      </c>
      <c r="F84" s="99">
        <f t="shared" si="21"/>
        <v>79.5</v>
      </c>
      <c r="G84" s="108"/>
    </row>
    <row r="85" spans="1:7" ht="51">
      <c r="A85" s="57" t="s">
        <v>791</v>
      </c>
      <c r="B85" s="57"/>
      <c r="C85" s="102" t="s">
        <v>792</v>
      </c>
      <c r="D85" s="103">
        <f>D86</f>
        <v>7235.5</v>
      </c>
      <c r="E85" s="103">
        <f t="shared" ref="E85" si="24">E86</f>
        <v>6226.8</v>
      </c>
      <c r="F85" s="99">
        <f t="shared" si="21"/>
        <v>86.1</v>
      </c>
      <c r="G85" s="108"/>
    </row>
    <row r="86" spans="1:7">
      <c r="A86" s="57" t="s">
        <v>791</v>
      </c>
      <c r="B86" s="57" t="s">
        <v>334</v>
      </c>
      <c r="C86" s="102" t="s">
        <v>333</v>
      </c>
      <c r="D86" s="103">
        <v>7235.5</v>
      </c>
      <c r="E86" s="41">
        <v>6226.8</v>
      </c>
      <c r="F86" s="99">
        <f t="shared" si="21"/>
        <v>86.1</v>
      </c>
      <c r="G86" s="108"/>
    </row>
    <row r="87" spans="1:7" ht="38.25">
      <c r="A87" s="21" t="s">
        <v>436</v>
      </c>
      <c r="B87" s="16"/>
      <c r="C87" s="101" t="s">
        <v>462</v>
      </c>
      <c r="D87" s="41">
        <f>D88+D100+D90+D94+D96+D98+D92</f>
        <v>31752.500000000004</v>
      </c>
      <c r="E87" s="41">
        <f>E88+E100+E90+E94+E96+E98+E92</f>
        <v>31752.500000000004</v>
      </c>
      <c r="F87" s="99">
        <f t="shared" si="21"/>
        <v>100</v>
      </c>
      <c r="G87" s="108"/>
    </row>
    <row r="88" spans="1:7" ht="52.5" customHeight="1">
      <c r="A88" s="57" t="s">
        <v>569</v>
      </c>
      <c r="B88" s="35"/>
      <c r="C88" s="102" t="s">
        <v>437</v>
      </c>
      <c r="D88" s="41">
        <f>D89</f>
        <v>25856.600000000002</v>
      </c>
      <c r="E88" s="41">
        <f t="shared" ref="E88" si="25">E89</f>
        <v>25856.600000000002</v>
      </c>
      <c r="F88" s="99">
        <f t="shared" si="21"/>
        <v>100</v>
      </c>
      <c r="G88" s="108"/>
    </row>
    <row r="89" spans="1:7">
      <c r="A89" s="57" t="s">
        <v>569</v>
      </c>
      <c r="B89" s="21" t="s">
        <v>334</v>
      </c>
      <c r="C89" s="102" t="s">
        <v>333</v>
      </c>
      <c r="D89" s="41">
        <f>24099.9+386.9+246+1123.8</f>
        <v>25856.600000000002</v>
      </c>
      <c r="E89" s="41">
        <f>24099.9+386.9+246+1123.8</f>
        <v>25856.600000000002</v>
      </c>
      <c r="F89" s="99">
        <f t="shared" si="21"/>
        <v>100</v>
      </c>
      <c r="G89" s="108"/>
    </row>
    <row r="90" spans="1:7" ht="59.25" customHeight="1">
      <c r="A90" s="57" t="s">
        <v>570</v>
      </c>
      <c r="B90" s="21"/>
      <c r="C90" s="102" t="s">
        <v>182</v>
      </c>
      <c r="D90" s="41">
        <f>D91</f>
        <v>308.59999999999997</v>
      </c>
      <c r="E90" s="41">
        <f t="shared" ref="E90" si="26">E91</f>
        <v>308.59999999999997</v>
      </c>
      <c r="F90" s="99">
        <f t="shared" si="21"/>
        <v>100</v>
      </c>
      <c r="G90" s="108"/>
    </row>
    <row r="91" spans="1:7" ht="38.25">
      <c r="A91" s="21" t="s">
        <v>570</v>
      </c>
      <c r="B91" s="85" t="s">
        <v>314</v>
      </c>
      <c r="C91" s="102" t="s">
        <v>315</v>
      </c>
      <c r="D91" s="41">
        <f>310.4-1.8</f>
        <v>308.59999999999997</v>
      </c>
      <c r="E91" s="41">
        <f>310.4-1.8</f>
        <v>308.59999999999997</v>
      </c>
      <c r="F91" s="99">
        <f t="shared" si="21"/>
        <v>100</v>
      </c>
      <c r="G91" s="108"/>
    </row>
    <row r="92" spans="1:7" ht="25.5">
      <c r="A92" s="21" t="s">
        <v>809</v>
      </c>
      <c r="B92" s="21"/>
      <c r="C92" s="102" t="s">
        <v>810</v>
      </c>
      <c r="D92" s="99">
        <v>76.3</v>
      </c>
      <c r="E92" s="99">
        <v>76.3</v>
      </c>
      <c r="F92" s="99">
        <f t="shared" si="21"/>
        <v>100</v>
      </c>
      <c r="G92" s="108"/>
    </row>
    <row r="93" spans="1:7">
      <c r="A93" s="21" t="s">
        <v>809</v>
      </c>
      <c r="B93" s="21" t="s">
        <v>334</v>
      </c>
      <c r="C93" s="102" t="s">
        <v>333</v>
      </c>
      <c r="D93" s="99">
        <v>76.3</v>
      </c>
      <c r="E93" s="99">
        <v>76.3</v>
      </c>
      <c r="F93" s="99">
        <f t="shared" si="21"/>
        <v>100</v>
      </c>
      <c r="G93" s="108"/>
    </row>
    <row r="94" spans="1:7" ht="51">
      <c r="A94" s="21" t="s">
        <v>613</v>
      </c>
      <c r="B94" s="72"/>
      <c r="C94" s="130" t="s">
        <v>614</v>
      </c>
      <c r="D94" s="118">
        <f>D95</f>
        <v>25.7</v>
      </c>
      <c r="E94" s="41">
        <f t="shared" ref="E94" si="27">E95</f>
        <v>25.7</v>
      </c>
      <c r="F94" s="99">
        <f t="shared" si="21"/>
        <v>100</v>
      </c>
      <c r="G94" s="108"/>
    </row>
    <row r="95" spans="1:7" ht="38.25">
      <c r="A95" s="57" t="s">
        <v>613</v>
      </c>
      <c r="B95" s="85" t="s">
        <v>314</v>
      </c>
      <c r="C95" s="102" t="s">
        <v>315</v>
      </c>
      <c r="D95" s="41">
        <v>25.7</v>
      </c>
      <c r="E95" s="41">
        <v>25.7</v>
      </c>
      <c r="F95" s="99">
        <f t="shared" si="21"/>
        <v>100</v>
      </c>
      <c r="G95" s="108"/>
    </row>
    <row r="96" spans="1:7" ht="25.5">
      <c r="A96" s="57" t="s">
        <v>615</v>
      </c>
      <c r="B96" s="21"/>
      <c r="C96" s="130" t="s">
        <v>616</v>
      </c>
      <c r="D96" s="99">
        <f>D97</f>
        <v>166.4</v>
      </c>
      <c r="E96" s="99">
        <f t="shared" ref="E96" si="28">E97</f>
        <v>166.4</v>
      </c>
      <c r="F96" s="99">
        <f t="shared" si="21"/>
        <v>100</v>
      </c>
      <c r="G96" s="108"/>
    </row>
    <row r="97" spans="1:7" ht="38.25">
      <c r="A97" s="57" t="s">
        <v>615</v>
      </c>
      <c r="B97" s="85" t="s">
        <v>314</v>
      </c>
      <c r="C97" s="102" t="s">
        <v>315</v>
      </c>
      <c r="D97" s="99">
        <v>166.4</v>
      </c>
      <c r="E97" s="99">
        <v>166.4</v>
      </c>
      <c r="F97" s="99">
        <f t="shared" si="21"/>
        <v>100</v>
      </c>
      <c r="G97" s="108"/>
    </row>
    <row r="98" spans="1:7" ht="76.5">
      <c r="A98" s="57" t="s">
        <v>571</v>
      </c>
      <c r="B98" s="21"/>
      <c r="C98" s="102" t="s">
        <v>494</v>
      </c>
      <c r="D98" s="41">
        <f>D99</f>
        <v>5264.9</v>
      </c>
      <c r="E98" s="41">
        <f t="shared" ref="E98" si="29">E99</f>
        <v>5264.9</v>
      </c>
      <c r="F98" s="99">
        <f t="shared" si="21"/>
        <v>100</v>
      </c>
      <c r="G98" s="108"/>
    </row>
    <row r="99" spans="1:7">
      <c r="A99" s="57" t="s">
        <v>571</v>
      </c>
      <c r="B99" s="21" t="s">
        <v>334</v>
      </c>
      <c r="C99" s="102" t="s">
        <v>333</v>
      </c>
      <c r="D99" s="41">
        <v>5264.9</v>
      </c>
      <c r="E99" s="41">
        <v>5264.9</v>
      </c>
      <c r="F99" s="99">
        <f t="shared" si="21"/>
        <v>100</v>
      </c>
      <c r="G99" s="108"/>
    </row>
    <row r="100" spans="1:7" ht="38.25">
      <c r="A100" s="131" t="s">
        <v>572</v>
      </c>
      <c r="B100" s="129"/>
      <c r="C100" s="102" t="s">
        <v>502</v>
      </c>
      <c r="D100" s="112">
        <f>D101</f>
        <v>54</v>
      </c>
      <c r="E100" s="112">
        <f t="shared" ref="E100" si="30">E101</f>
        <v>54</v>
      </c>
      <c r="F100" s="99">
        <f t="shared" si="21"/>
        <v>100</v>
      </c>
      <c r="G100" s="108"/>
    </row>
    <row r="101" spans="1:7">
      <c r="A101" s="131" t="s">
        <v>572</v>
      </c>
      <c r="B101" s="129" t="s">
        <v>334</v>
      </c>
      <c r="C101" s="102" t="s">
        <v>333</v>
      </c>
      <c r="D101" s="112">
        <f>300-246</f>
        <v>54</v>
      </c>
      <c r="E101" s="112">
        <f>300-246</f>
        <v>54</v>
      </c>
      <c r="F101" s="99">
        <f t="shared" si="21"/>
        <v>100</v>
      </c>
      <c r="G101" s="108"/>
    </row>
    <row r="102" spans="1:7" ht="25.5">
      <c r="A102" s="52" t="s">
        <v>120</v>
      </c>
      <c r="B102" s="16"/>
      <c r="C102" s="46" t="s">
        <v>125</v>
      </c>
      <c r="D102" s="98">
        <f>D103+D108</f>
        <v>409.20000000000005</v>
      </c>
      <c r="E102" s="98">
        <f>E103+E108</f>
        <v>409.20000000000005</v>
      </c>
      <c r="F102" s="99">
        <f t="shared" si="21"/>
        <v>100</v>
      </c>
      <c r="G102" s="108"/>
    </row>
    <row r="103" spans="1:7" ht="30" customHeight="1">
      <c r="A103" s="21" t="s">
        <v>438</v>
      </c>
      <c r="B103" s="16"/>
      <c r="C103" s="102" t="s">
        <v>439</v>
      </c>
      <c r="D103" s="41">
        <f>D104+D106</f>
        <v>356.1</v>
      </c>
      <c r="E103" s="41">
        <f>E104+E106</f>
        <v>356.1</v>
      </c>
      <c r="F103" s="99">
        <f t="shared" si="21"/>
        <v>100</v>
      </c>
      <c r="G103" s="108"/>
    </row>
    <row r="104" spans="1:7" ht="51">
      <c r="A104" s="57" t="s">
        <v>573</v>
      </c>
      <c r="B104" s="16"/>
      <c r="C104" s="102" t="s">
        <v>69</v>
      </c>
      <c r="D104" s="41">
        <f>D105</f>
        <v>244.5</v>
      </c>
      <c r="E104" s="41">
        <f>E105</f>
        <v>244.5</v>
      </c>
      <c r="F104" s="99">
        <f t="shared" si="21"/>
        <v>100</v>
      </c>
      <c r="G104" s="108"/>
    </row>
    <row r="105" spans="1:7" ht="38.25">
      <c r="A105" s="57" t="s">
        <v>573</v>
      </c>
      <c r="B105" s="85" t="s">
        <v>314</v>
      </c>
      <c r="C105" s="102" t="s">
        <v>315</v>
      </c>
      <c r="D105" s="41">
        <v>244.5</v>
      </c>
      <c r="E105" s="41">
        <v>244.5</v>
      </c>
      <c r="F105" s="99">
        <f t="shared" si="21"/>
        <v>100</v>
      </c>
      <c r="G105" s="108"/>
    </row>
    <row r="106" spans="1:7" ht="38.25">
      <c r="A106" s="57" t="s">
        <v>122</v>
      </c>
      <c r="B106" s="16"/>
      <c r="C106" s="102" t="s">
        <v>184</v>
      </c>
      <c r="D106" s="41">
        <f>D107</f>
        <v>111.6</v>
      </c>
      <c r="E106" s="41">
        <f>E107</f>
        <v>111.6</v>
      </c>
      <c r="F106" s="99">
        <f t="shared" si="21"/>
        <v>100</v>
      </c>
      <c r="G106" s="108"/>
    </row>
    <row r="107" spans="1:7">
      <c r="A107" s="57" t="s">
        <v>122</v>
      </c>
      <c r="B107" s="85" t="s">
        <v>643</v>
      </c>
      <c r="C107" s="55" t="s">
        <v>644</v>
      </c>
      <c r="D107" s="41">
        <v>111.6</v>
      </c>
      <c r="E107" s="41">
        <v>111.6</v>
      </c>
      <c r="F107" s="99">
        <f t="shared" si="21"/>
        <v>100</v>
      </c>
      <c r="G107" s="108"/>
    </row>
    <row r="108" spans="1:7" ht="38.25">
      <c r="A108" s="57" t="s">
        <v>799</v>
      </c>
      <c r="B108" s="85"/>
      <c r="C108" s="102" t="s">
        <v>800</v>
      </c>
      <c r="D108" s="41">
        <f>D109</f>
        <v>53.1</v>
      </c>
      <c r="E108" s="41">
        <f>E109</f>
        <v>53.1</v>
      </c>
      <c r="F108" s="99">
        <f t="shared" si="21"/>
        <v>100</v>
      </c>
      <c r="G108" s="108"/>
    </row>
    <row r="109" spans="1:7" ht="48.75" customHeight="1">
      <c r="A109" s="57" t="s">
        <v>751</v>
      </c>
      <c r="B109" s="21"/>
      <c r="C109" s="54" t="s">
        <v>752</v>
      </c>
      <c r="D109" s="99">
        <f>D110</f>
        <v>53.1</v>
      </c>
      <c r="E109" s="99">
        <f>E110</f>
        <v>53.1</v>
      </c>
      <c r="F109" s="58">
        <f t="shared" si="21"/>
        <v>100</v>
      </c>
      <c r="G109" s="108"/>
    </row>
    <row r="110" spans="1:7" ht="38.25">
      <c r="A110" s="57" t="s">
        <v>751</v>
      </c>
      <c r="B110" s="85" t="s">
        <v>314</v>
      </c>
      <c r="C110" s="102" t="s">
        <v>315</v>
      </c>
      <c r="D110" s="99">
        <f>30+23.1</f>
        <v>53.1</v>
      </c>
      <c r="E110" s="99">
        <f>30+23.1</f>
        <v>53.1</v>
      </c>
      <c r="F110" s="99">
        <f t="shared" si="21"/>
        <v>100</v>
      </c>
      <c r="G110" s="108"/>
    </row>
    <row r="111" spans="1:7">
      <c r="A111" s="120">
        <v>190000000</v>
      </c>
      <c r="B111" s="16"/>
      <c r="C111" s="66" t="s">
        <v>68</v>
      </c>
      <c r="D111" s="98">
        <f>D112</f>
        <v>6829.4000000000005</v>
      </c>
      <c r="E111" s="98">
        <f>E112</f>
        <v>6815.7000000000007</v>
      </c>
      <c r="F111" s="99">
        <f t="shared" si="21"/>
        <v>99.8</v>
      </c>
      <c r="G111" s="108"/>
    </row>
    <row r="112" spans="1:7" ht="51">
      <c r="A112" s="82" t="s">
        <v>123</v>
      </c>
      <c r="B112" s="16"/>
      <c r="C112" s="102" t="s">
        <v>440</v>
      </c>
      <c r="D112" s="41">
        <f>SUM(D113:D115)</f>
        <v>6829.4000000000005</v>
      </c>
      <c r="E112" s="41">
        <f>SUM(E113:E115)</f>
        <v>6815.7000000000007</v>
      </c>
      <c r="F112" s="99">
        <f t="shared" si="21"/>
        <v>99.8</v>
      </c>
      <c r="G112" s="108"/>
    </row>
    <row r="113" spans="1:7" ht="25.5">
      <c r="A113" s="82" t="s">
        <v>123</v>
      </c>
      <c r="B113" s="16" t="s">
        <v>102</v>
      </c>
      <c r="C113" s="55" t="s">
        <v>103</v>
      </c>
      <c r="D113" s="99">
        <f>6422.8+61.5</f>
        <v>6484.3</v>
      </c>
      <c r="E113" s="99">
        <f>6422.8+61.5</f>
        <v>6484.3</v>
      </c>
      <c r="F113" s="99">
        <f t="shared" si="21"/>
        <v>100</v>
      </c>
      <c r="G113" s="108"/>
    </row>
    <row r="114" spans="1:7" ht="38.25">
      <c r="A114" s="82" t="s">
        <v>123</v>
      </c>
      <c r="B114" s="85" t="s">
        <v>314</v>
      </c>
      <c r="C114" s="102" t="s">
        <v>315</v>
      </c>
      <c r="D114" s="41">
        <f>406.6-0.1-2-61.5</f>
        <v>343</v>
      </c>
      <c r="E114" s="41">
        <v>329.3</v>
      </c>
      <c r="F114" s="99">
        <f t="shared" si="21"/>
        <v>96</v>
      </c>
      <c r="G114" s="108"/>
    </row>
    <row r="115" spans="1:7">
      <c r="A115" s="82" t="s">
        <v>123</v>
      </c>
      <c r="B115" s="85" t="s">
        <v>180</v>
      </c>
      <c r="C115" s="102" t="s">
        <v>181</v>
      </c>
      <c r="D115" s="41">
        <f>0.1+2</f>
        <v>2.1</v>
      </c>
      <c r="E115" s="41">
        <f>0.1+2</f>
        <v>2.1</v>
      </c>
      <c r="F115" s="99">
        <f t="shared" si="21"/>
        <v>100</v>
      </c>
      <c r="G115" s="108"/>
    </row>
    <row r="116" spans="1:7" ht="51.75">
      <c r="A116" s="73" t="s">
        <v>98</v>
      </c>
      <c r="B116" s="35"/>
      <c r="C116" s="53" t="s">
        <v>547</v>
      </c>
      <c r="D116" s="65">
        <f>D117+D151+D158+D169+D175+D179</f>
        <v>79857.199999999983</v>
      </c>
      <c r="E116" s="65">
        <f>E117+E151+E158+E169+E175+E179</f>
        <v>79103.700000000012</v>
      </c>
      <c r="F116" s="65">
        <f t="shared" si="21"/>
        <v>99.1</v>
      </c>
      <c r="G116" s="108"/>
    </row>
    <row r="117" spans="1:7" ht="25.5">
      <c r="A117" s="21" t="s">
        <v>99</v>
      </c>
      <c r="B117" s="35"/>
      <c r="C117" s="48" t="s">
        <v>244</v>
      </c>
      <c r="D117" s="58">
        <f>D118+D139+D146</f>
        <v>70469.599999999991</v>
      </c>
      <c r="E117" s="58">
        <f>E118+E139+E146</f>
        <v>69728.900000000009</v>
      </c>
      <c r="F117" s="58">
        <f t="shared" si="21"/>
        <v>98.9</v>
      </c>
      <c r="G117" s="108"/>
    </row>
    <row r="118" spans="1:7" ht="25.5">
      <c r="A118" s="21" t="s">
        <v>310</v>
      </c>
      <c r="B118" s="35"/>
      <c r="C118" s="106" t="s">
        <v>316</v>
      </c>
      <c r="D118" s="58">
        <f>D119+D123+D125+D127+D129+D132+D135+D137</f>
        <v>68283.7</v>
      </c>
      <c r="E118" s="58">
        <f>E119+E123+E125+E127+E129+E132+E135+E137</f>
        <v>68161.100000000006</v>
      </c>
      <c r="F118" s="99">
        <f t="shared" si="21"/>
        <v>99.8</v>
      </c>
      <c r="G118" s="108"/>
    </row>
    <row r="119" spans="1:7" ht="25.5">
      <c r="A119" s="74" t="s">
        <v>100</v>
      </c>
      <c r="B119" s="16"/>
      <c r="C119" s="133" t="s">
        <v>243</v>
      </c>
      <c r="D119" s="39">
        <f>SUM(D120:D122)</f>
        <v>10410</v>
      </c>
      <c r="E119" s="39">
        <f>SUM(E120:E122)</f>
        <v>10303.600000000002</v>
      </c>
      <c r="F119" s="99">
        <f t="shared" si="21"/>
        <v>99</v>
      </c>
      <c r="G119" s="108"/>
    </row>
    <row r="120" spans="1:7" ht="25.5">
      <c r="A120" s="74" t="s">
        <v>100</v>
      </c>
      <c r="B120" s="85" t="s">
        <v>104</v>
      </c>
      <c r="C120" s="55" t="s">
        <v>179</v>
      </c>
      <c r="D120" s="39">
        <f>5915.5-239.7</f>
        <v>5675.8</v>
      </c>
      <c r="E120" s="39">
        <f>5915.5-239.7</f>
        <v>5675.8</v>
      </c>
      <c r="F120" s="99">
        <f t="shared" si="21"/>
        <v>100</v>
      </c>
      <c r="G120" s="108"/>
    </row>
    <row r="121" spans="1:7" ht="38.25">
      <c r="A121" s="74" t="s">
        <v>100</v>
      </c>
      <c r="B121" s="85" t="s">
        <v>314</v>
      </c>
      <c r="C121" s="102" t="s">
        <v>315</v>
      </c>
      <c r="D121" s="39">
        <f>4293.8+239.7-76+76+194.5</f>
        <v>4728</v>
      </c>
      <c r="E121" s="39">
        <v>4621.6000000000004</v>
      </c>
      <c r="F121" s="99">
        <f t="shared" si="21"/>
        <v>97.7</v>
      </c>
      <c r="G121" s="108"/>
    </row>
    <row r="122" spans="1:7">
      <c r="A122" s="74" t="s">
        <v>100</v>
      </c>
      <c r="B122" s="21" t="s">
        <v>180</v>
      </c>
      <c r="C122" s="102" t="s">
        <v>181</v>
      </c>
      <c r="D122" s="39">
        <v>6.2</v>
      </c>
      <c r="E122" s="39">
        <v>6.2</v>
      </c>
      <c r="F122" s="99">
        <f t="shared" si="21"/>
        <v>100</v>
      </c>
      <c r="G122" s="108"/>
    </row>
    <row r="123" spans="1:7" ht="38.25">
      <c r="A123" s="74" t="s">
        <v>60</v>
      </c>
      <c r="B123" s="16"/>
      <c r="C123" s="148" t="s">
        <v>245</v>
      </c>
      <c r="D123" s="39">
        <f>D124</f>
        <v>29625.1</v>
      </c>
      <c r="E123" s="39">
        <f t="shared" ref="E123" si="31">E124</f>
        <v>29625.1</v>
      </c>
      <c r="F123" s="99">
        <f t="shared" si="21"/>
        <v>100</v>
      </c>
      <c r="G123" s="108"/>
    </row>
    <row r="124" spans="1:7">
      <c r="A124" s="74" t="s">
        <v>60</v>
      </c>
      <c r="B124" s="21" t="s">
        <v>334</v>
      </c>
      <c r="C124" s="102" t="s">
        <v>333</v>
      </c>
      <c r="D124" s="39">
        <f>30168-22-200-320.9</f>
        <v>29625.1</v>
      </c>
      <c r="E124" s="39">
        <f>30168-22-200-320.9</f>
        <v>29625.1</v>
      </c>
      <c r="F124" s="99">
        <f t="shared" si="21"/>
        <v>100</v>
      </c>
      <c r="G124" s="108"/>
    </row>
    <row r="125" spans="1:7" ht="25.5">
      <c r="A125" s="74" t="s">
        <v>246</v>
      </c>
      <c r="B125" s="16"/>
      <c r="C125" s="133" t="s">
        <v>247</v>
      </c>
      <c r="D125" s="39">
        <f>D126</f>
        <v>10764.9</v>
      </c>
      <c r="E125" s="39">
        <f>E126</f>
        <v>10764.9</v>
      </c>
      <c r="F125" s="99">
        <f t="shared" si="21"/>
        <v>100</v>
      </c>
      <c r="G125" s="108"/>
    </row>
    <row r="126" spans="1:7">
      <c r="A126" s="74" t="s">
        <v>246</v>
      </c>
      <c r="B126" s="21" t="s">
        <v>334</v>
      </c>
      <c r="C126" s="102" t="s">
        <v>333</v>
      </c>
      <c r="D126" s="39">
        <f>10741.9+23</f>
        <v>10764.9</v>
      </c>
      <c r="E126" s="39">
        <f>10741.9+23</f>
        <v>10764.9</v>
      </c>
      <c r="F126" s="99">
        <f t="shared" si="21"/>
        <v>100</v>
      </c>
      <c r="G126" s="108"/>
    </row>
    <row r="127" spans="1:7" ht="50.25" customHeight="1">
      <c r="A127" s="74">
        <v>210110690</v>
      </c>
      <c r="B127" s="21"/>
      <c r="C127" s="102" t="s">
        <v>491</v>
      </c>
      <c r="D127" s="39">
        <f>D128</f>
        <v>2747.6</v>
      </c>
      <c r="E127" s="39">
        <f t="shared" ref="E127" si="32">E128</f>
        <v>2747.6</v>
      </c>
      <c r="F127" s="99">
        <f t="shared" si="21"/>
        <v>100</v>
      </c>
      <c r="G127" s="108"/>
    </row>
    <row r="128" spans="1:7">
      <c r="A128" s="74">
        <v>210110690</v>
      </c>
      <c r="B128" s="21" t="s">
        <v>334</v>
      </c>
      <c r="C128" s="102" t="s">
        <v>333</v>
      </c>
      <c r="D128" s="39">
        <v>2747.6</v>
      </c>
      <c r="E128" s="39">
        <v>2747.6</v>
      </c>
      <c r="F128" s="99">
        <f t="shared" si="21"/>
        <v>100</v>
      </c>
      <c r="G128" s="108"/>
    </row>
    <row r="129" spans="1:7" ht="38.25">
      <c r="A129" s="74" t="s">
        <v>496</v>
      </c>
      <c r="B129" s="85"/>
      <c r="C129" s="102" t="s">
        <v>490</v>
      </c>
      <c r="D129" s="39">
        <f>SUM(D130:D131)</f>
        <v>200</v>
      </c>
      <c r="E129" s="39">
        <f t="shared" ref="E129" si="33">SUM(E130:E131)</f>
        <v>200</v>
      </c>
      <c r="F129" s="99">
        <f t="shared" si="21"/>
        <v>100</v>
      </c>
      <c r="G129" s="108"/>
    </row>
    <row r="130" spans="1:7" ht="25.5">
      <c r="A130" s="74" t="s">
        <v>496</v>
      </c>
      <c r="B130" s="85" t="s">
        <v>104</v>
      </c>
      <c r="C130" s="55" t="s">
        <v>179</v>
      </c>
      <c r="D130" s="39">
        <v>50</v>
      </c>
      <c r="E130" s="39">
        <v>50</v>
      </c>
      <c r="F130" s="99">
        <f t="shared" si="21"/>
        <v>100</v>
      </c>
      <c r="G130" s="108"/>
    </row>
    <row r="131" spans="1:7">
      <c r="A131" s="74" t="s">
        <v>496</v>
      </c>
      <c r="B131" s="21" t="s">
        <v>334</v>
      </c>
      <c r="C131" s="102" t="s">
        <v>333</v>
      </c>
      <c r="D131" s="39">
        <v>150</v>
      </c>
      <c r="E131" s="39">
        <v>150</v>
      </c>
      <c r="F131" s="99">
        <f t="shared" si="21"/>
        <v>100</v>
      </c>
      <c r="G131" s="108"/>
    </row>
    <row r="132" spans="1:7" ht="41.25" customHeight="1">
      <c r="A132" s="74">
        <v>210110680</v>
      </c>
      <c r="B132" s="85"/>
      <c r="C132" s="102" t="s">
        <v>633</v>
      </c>
      <c r="D132" s="39">
        <f>SUM(D133:D134)</f>
        <v>14302.1</v>
      </c>
      <c r="E132" s="39">
        <f>SUM(E133:E134)</f>
        <v>14302.1</v>
      </c>
      <c r="F132" s="99">
        <f t="shared" si="21"/>
        <v>100</v>
      </c>
      <c r="G132" s="108"/>
    </row>
    <row r="133" spans="1:7" ht="25.5">
      <c r="A133" s="74">
        <v>210110680</v>
      </c>
      <c r="B133" s="85" t="s">
        <v>104</v>
      </c>
      <c r="C133" s="55" t="s">
        <v>179</v>
      </c>
      <c r="D133" s="39">
        <f>3974.6+23</f>
        <v>3997.6</v>
      </c>
      <c r="E133" s="39">
        <f>3974.6+23</f>
        <v>3997.6</v>
      </c>
      <c r="F133" s="99">
        <f t="shared" si="21"/>
        <v>100</v>
      </c>
      <c r="G133" s="108"/>
    </row>
    <row r="134" spans="1:7">
      <c r="A134" s="74">
        <v>210110680</v>
      </c>
      <c r="B134" s="21" t="s">
        <v>334</v>
      </c>
      <c r="C134" s="102" t="s">
        <v>333</v>
      </c>
      <c r="D134" s="39">
        <f>10327.5-23</f>
        <v>10304.5</v>
      </c>
      <c r="E134" s="39">
        <f>10327.5-23</f>
        <v>10304.5</v>
      </c>
      <c r="F134" s="99">
        <f t="shared" si="21"/>
        <v>100</v>
      </c>
      <c r="G134" s="108"/>
    </row>
    <row r="135" spans="1:7" ht="51">
      <c r="A135" s="74" t="s">
        <v>495</v>
      </c>
      <c r="B135" s="21"/>
      <c r="C135" s="102" t="s">
        <v>492</v>
      </c>
      <c r="D135" s="39">
        <f>D136</f>
        <v>27</v>
      </c>
      <c r="E135" s="39">
        <f t="shared" ref="E135" si="34">E136</f>
        <v>27</v>
      </c>
      <c r="F135" s="99">
        <f t="shared" si="21"/>
        <v>100</v>
      </c>
      <c r="G135" s="108"/>
    </row>
    <row r="136" spans="1:7">
      <c r="A136" s="74" t="s">
        <v>495</v>
      </c>
      <c r="B136" s="21" t="s">
        <v>334</v>
      </c>
      <c r="C136" s="102" t="s">
        <v>333</v>
      </c>
      <c r="D136" s="39">
        <f>50-23</f>
        <v>27</v>
      </c>
      <c r="E136" s="39">
        <f>50-23</f>
        <v>27</v>
      </c>
      <c r="F136" s="99">
        <f t="shared" si="21"/>
        <v>100</v>
      </c>
      <c r="G136" s="108"/>
    </row>
    <row r="137" spans="1:7" ht="38.25">
      <c r="A137" s="74" t="s">
        <v>737</v>
      </c>
      <c r="B137" s="72"/>
      <c r="C137" s="160" t="s">
        <v>736</v>
      </c>
      <c r="D137" s="39">
        <f>D138</f>
        <v>207</v>
      </c>
      <c r="E137" s="39">
        <f t="shared" ref="E137" si="35">E138</f>
        <v>190.8</v>
      </c>
      <c r="F137" s="99">
        <f t="shared" si="21"/>
        <v>92.2</v>
      </c>
      <c r="G137" s="108"/>
    </row>
    <row r="138" spans="1:7">
      <c r="A138" s="74" t="s">
        <v>737</v>
      </c>
      <c r="B138" s="21" t="s">
        <v>334</v>
      </c>
      <c r="C138" s="102" t="s">
        <v>333</v>
      </c>
      <c r="D138" s="39">
        <f>660-170-283</f>
        <v>207</v>
      </c>
      <c r="E138" s="39">
        <v>190.8</v>
      </c>
      <c r="F138" s="99">
        <f t="shared" si="21"/>
        <v>92.2</v>
      </c>
      <c r="G138" s="108"/>
    </row>
    <row r="139" spans="1:7" ht="51">
      <c r="A139" s="21" t="s">
        <v>378</v>
      </c>
      <c r="B139" s="35"/>
      <c r="C139" s="106" t="s">
        <v>379</v>
      </c>
      <c r="D139" s="41">
        <f>D140+D142+D144</f>
        <v>1945.8999999999999</v>
      </c>
      <c r="E139" s="41">
        <f>E140+E142+E144</f>
        <v>1327.8</v>
      </c>
      <c r="F139" s="99">
        <f t="shared" si="21"/>
        <v>68.2</v>
      </c>
      <c r="G139" s="108"/>
    </row>
    <row r="140" spans="1:7" ht="27.75" customHeight="1">
      <c r="A140" s="74">
        <v>210210920</v>
      </c>
      <c r="B140" s="85"/>
      <c r="C140" s="102" t="s">
        <v>753</v>
      </c>
      <c r="D140" s="39">
        <f>D141</f>
        <v>50</v>
      </c>
      <c r="E140" s="39">
        <f t="shared" ref="E140" si="36">E141</f>
        <v>50</v>
      </c>
      <c r="F140" s="99">
        <f t="shared" si="21"/>
        <v>100</v>
      </c>
      <c r="G140" s="108"/>
    </row>
    <row r="141" spans="1:7">
      <c r="A141" s="74">
        <v>210210920</v>
      </c>
      <c r="B141" s="21" t="s">
        <v>334</v>
      </c>
      <c r="C141" s="102" t="s">
        <v>333</v>
      </c>
      <c r="D141" s="39">
        <v>50</v>
      </c>
      <c r="E141" s="39">
        <v>50</v>
      </c>
      <c r="F141" s="99">
        <f t="shared" ref="F141:F198" si="37">ROUND((E141/D141*100),1)</f>
        <v>100</v>
      </c>
      <c r="G141" s="108"/>
    </row>
    <row r="142" spans="1:7" ht="25.5">
      <c r="A142" s="74" t="s">
        <v>738</v>
      </c>
      <c r="B142" s="21"/>
      <c r="C142" s="160" t="s">
        <v>739</v>
      </c>
      <c r="D142" s="39">
        <f>D143</f>
        <v>1484.6</v>
      </c>
      <c r="E142" s="39">
        <f t="shared" ref="E142" si="38">E143</f>
        <v>866.5</v>
      </c>
      <c r="F142" s="99">
        <f t="shared" si="37"/>
        <v>58.4</v>
      </c>
      <c r="G142" s="108"/>
    </row>
    <row r="143" spans="1:7">
      <c r="A143" s="74" t="s">
        <v>738</v>
      </c>
      <c r="B143" s="21" t="s">
        <v>334</v>
      </c>
      <c r="C143" s="102" t="s">
        <v>333</v>
      </c>
      <c r="D143" s="39">
        <f>900+370-128.3+342.9</f>
        <v>1484.6</v>
      </c>
      <c r="E143" s="39">
        <v>866.5</v>
      </c>
      <c r="F143" s="99">
        <f t="shared" si="37"/>
        <v>58.4</v>
      </c>
      <c r="G143" s="108"/>
    </row>
    <row r="144" spans="1:7" ht="38.25">
      <c r="A144" s="74" t="s">
        <v>795</v>
      </c>
      <c r="B144" s="21"/>
      <c r="C144" s="160" t="s">
        <v>796</v>
      </c>
      <c r="D144" s="39">
        <f>D145</f>
        <v>411.3</v>
      </c>
      <c r="E144" s="39">
        <f t="shared" ref="E144" si="39">E145</f>
        <v>411.3</v>
      </c>
      <c r="F144" s="99">
        <f t="shared" si="37"/>
        <v>100</v>
      </c>
      <c r="G144" s="108"/>
    </row>
    <row r="145" spans="1:7">
      <c r="A145" s="74" t="s">
        <v>795</v>
      </c>
      <c r="B145" s="21" t="s">
        <v>334</v>
      </c>
      <c r="C145" s="102" t="s">
        <v>333</v>
      </c>
      <c r="D145" s="39">
        <v>411.3</v>
      </c>
      <c r="E145" s="39">
        <v>411.3</v>
      </c>
      <c r="F145" s="58">
        <f t="shared" si="37"/>
        <v>100</v>
      </c>
      <c r="G145" s="108"/>
    </row>
    <row r="146" spans="1:7" ht="25.5">
      <c r="A146" s="21" t="s">
        <v>380</v>
      </c>
      <c r="B146" s="35"/>
      <c r="C146" s="106" t="s">
        <v>381</v>
      </c>
      <c r="D146" s="41">
        <f>D147+D149</f>
        <v>240</v>
      </c>
      <c r="E146" s="41">
        <f t="shared" ref="E146" si="40">E147+E149</f>
        <v>240</v>
      </c>
      <c r="F146" s="99">
        <f t="shared" si="37"/>
        <v>100</v>
      </c>
      <c r="G146" s="108"/>
    </row>
    <row r="147" spans="1:7" ht="38.25">
      <c r="A147" s="21" t="s">
        <v>325</v>
      </c>
      <c r="B147" s="16"/>
      <c r="C147" s="102" t="s">
        <v>248</v>
      </c>
      <c r="D147" s="41">
        <f>D148</f>
        <v>140</v>
      </c>
      <c r="E147" s="41">
        <f>E148</f>
        <v>140</v>
      </c>
      <c r="F147" s="99">
        <f t="shared" si="37"/>
        <v>100</v>
      </c>
      <c r="G147" s="108"/>
    </row>
    <row r="148" spans="1:7" ht="38.25">
      <c r="A148" s="21" t="s">
        <v>325</v>
      </c>
      <c r="B148" s="85" t="s">
        <v>314</v>
      </c>
      <c r="C148" s="102" t="s">
        <v>315</v>
      </c>
      <c r="D148" s="41">
        <v>140</v>
      </c>
      <c r="E148" s="41">
        <v>140</v>
      </c>
      <c r="F148" s="99">
        <f t="shared" si="37"/>
        <v>100</v>
      </c>
      <c r="G148" s="108"/>
    </row>
    <row r="149" spans="1:7" ht="25.5">
      <c r="A149" s="21" t="s">
        <v>754</v>
      </c>
      <c r="B149" s="85"/>
      <c r="C149" s="102" t="s">
        <v>755</v>
      </c>
      <c r="D149" s="41">
        <f>D150</f>
        <v>100</v>
      </c>
      <c r="E149" s="41">
        <f>E150</f>
        <v>100</v>
      </c>
      <c r="F149" s="99">
        <f t="shared" si="37"/>
        <v>100</v>
      </c>
      <c r="G149" s="108"/>
    </row>
    <row r="150" spans="1:7" ht="38.25">
      <c r="A150" s="21" t="s">
        <v>754</v>
      </c>
      <c r="B150" s="85" t="s">
        <v>314</v>
      </c>
      <c r="C150" s="102" t="s">
        <v>315</v>
      </c>
      <c r="D150" s="41">
        <v>100</v>
      </c>
      <c r="E150" s="41">
        <v>100</v>
      </c>
      <c r="F150" s="99">
        <f t="shared" si="37"/>
        <v>100</v>
      </c>
      <c r="G150" s="108"/>
    </row>
    <row r="151" spans="1:7" ht="25.5">
      <c r="A151" s="52" t="s">
        <v>62</v>
      </c>
      <c r="B151" s="35"/>
      <c r="C151" s="48" t="s">
        <v>298</v>
      </c>
      <c r="D151" s="58">
        <f>D152</f>
        <v>314.89999999999998</v>
      </c>
      <c r="E151" s="58">
        <f t="shared" ref="E151" si="41">E152</f>
        <v>304.09999999999997</v>
      </c>
      <c r="F151" s="58">
        <f t="shared" si="37"/>
        <v>96.6</v>
      </c>
      <c r="G151" s="108"/>
    </row>
    <row r="152" spans="1:7" ht="76.5">
      <c r="A152" s="21" t="s">
        <v>382</v>
      </c>
      <c r="B152" s="35"/>
      <c r="C152" s="104" t="s">
        <v>383</v>
      </c>
      <c r="D152" s="58">
        <f>D153+D155</f>
        <v>314.89999999999998</v>
      </c>
      <c r="E152" s="58">
        <f t="shared" ref="E152" si="42">E153+E155</f>
        <v>304.09999999999997</v>
      </c>
      <c r="F152" s="99">
        <f t="shared" si="37"/>
        <v>96.6</v>
      </c>
      <c r="G152" s="108"/>
    </row>
    <row r="153" spans="1:7" ht="63.75">
      <c r="A153" s="21" t="s">
        <v>63</v>
      </c>
      <c r="B153" s="21"/>
      <c r="C153" s="104" t="s">
        <v>250</v>
      </c>
      <c r="D153" s="39">
        <f>D154</f>
        <v>282.2</v>
      </c>
      <c r="E153" s="39">
        <f>E154</f>
        <v>282.2</v>
      </c>
      <c r="F153" s="99">
        <f t="shared" si="37"/>
        <v>100</v>
      </c>
      <c r="G153" s="108"/>
    </row>
    <row r="154" spans="1:7" ht="38.25">
      <c r="A154" s="21" t="s">
        <v>63</v>
      </c>
      <c r="B154" s="85" t="s">
        <v>314</v>
      </c>
      <c r="C154" s="102" t="s">
        <v>315</v>
      </c>
      <c r="D154" s="39">
        <v>282.2</v>
      </c>
      <c r="E154" s="39">
        <v>282.2</v>
      </c>
      <c r="F154" s="99">
        <f t="shared" si="37"/>
        <v>100</v>
      </c>
      <c r="G154" s="108"/>
    </row>
    <row r="155" spans="1:7" ht="51">
      <c r="A155" s="21" t="s">
        <v>64</v>
      </c>
      <c r="B155" s="21"/>
      <c r="C155" s="104" t="s">
        <v>101</v>
      </c>
      <c r="D155" s="39">
        <f>SUM(D156:D157)</f>
        <v>32.700000000000003</v>
      </c>
      <c r="E155" s="39">
        <f>SUM(E156:E157)</f>
        <v>21.9</v>
      </c>
      <c r="F155" s="99">
        <f t="shared" si="37"/>
        <v>67</v>
      </c>
      <c r="G155" s="108"/>
    </row>
    <row r="156" spans="1:7" ht="25.5">
      <c r="A156" s="21" t="s">
        <v>64</v>
      </c>
      <c r="B156" s="85" t="s">
        <v>104</v>
      </c>
      <c r="C156" s="55" t="s">
        <v>179</v>
      </c>
      <c r="D156" s="39">
        <v>27.4</v>
      </c>
      <c r="E156" s="39">
        <v>21.9</v>
      </c>
      <c r="F156" s="99">
        <f t="shared" si="37"/>
        <v>79.900000000000006</v>
      </c>
      <c r="G156" s="108"/>
    </row>
    <row r="157" spans="1:7" ht="38.25">
      <c r="A157" s="21" t="s">
        <v>64</v>
      </c>
      <c r="B157" s="85" t="s">
        <v>314</v>
      </c>
      <c r="C157" s="102" t="s">
        <v>315</v>
      </c>
      <c r="D157" s="39">
        <f>52.4-27.4-19.7</f>
        <v>5.3000000000000007</v>
      </c>
      <c r="E157" s="39">
        <v>0</v>
      </c>
      <c r="F157" s="58">
        <f t="shared" si="37"/>
        <v>0</v>
      </c>
      <c r="G157" s="108"/>
    </row>
    <row r="158" spans="1:7" ht="25.5">
      <c r="A158" s="52" t="s">
        <v>38</v>
      </c>
      <c r="B158" s="21"/>
      <c r="C158" s="48" t="s">
        <v>251</v>
      </c>
      <c r="D158" s="98">
        <f>D159+D164</f>
        <v>6159.3</v>
      </c>
      <c r="E158" s="98">
        <f>E159+E164</f>
        <v>6159.3</v>
      </c>
      <c r="F158" s="58">
        <f t="shared" si="37"/>
        <v>100</v>
      </c>
      <c r="G158" s="108"/>
    </row>
    <row r="159" spans="1:7" ht="25.5">
      <c r="A159" s="21" t="s">
        <v>311</v>
      </c>
      <c r="B159" s="16"/>
      <c r="C159" s="106" t="s">
        <v>478</v>
      </c>
      <c r="D159" s="41">
        <f>D160+D162</f>
        <v>150</v>
      </c>
      <c r="E159" s="41">
        <f>E160+E162</f>
        <v>150</v>
      </c>
      <c r="F159" s="99">
        <f t="shared" si="37"/>
        <v>100</v>
      </c>
      <c r="G159" s="108"/>
    </row>
    <row r="160" spans="1:7" ht="51">
      <c r="A160" s="81" t="s">
        <v>39</v>
      </c>
      <c r="B160" s="16"/>
      <c r="C160" s="105" t="s">
        <v>306</v>
      </c>
      <c r="D160" s="39">
        <f>D161</f>
        <v>5</v>
      </c>
      <c r="E160" s="39">
        <f t="shared" ref="E160" si="43">E161</f>
        <v>5</v>
      </c>
      <c r="F160" s="99">
        <f t="shared" si="37"/>
        <v>100</v>
      </c>
      <c r="G160" s="108"/>
    </row>
    <row r="161" spans="1:7" ht="38.25">
      <c r="A161" s="81" t="s">
        <v>39</v>
      </c>
      <c r="B161" s="85" t="s">
        <v>314</v>
      </c>
      <c r="C161" s="102" t="s">
        <v>315</v>
      </c>
      <c r="D161" s="41">
        <v>5</v>
      </c>
      <c r="E161" s="41">
        <v>5</v>
      </c>
      <c r="F161" s="99">
        <f t="shared" si="37"/>
        <v>100</v>
      </c>
      <c r="G161" s="108"/>
    </row>
    <row r="162" spans="1:7" ht="25.5">
      <c r="A162" s="81" t="s">
        <v>40</v>
      </c>
      <c r="B162" s="16"/>
      <c r="C162" s="102" t="s">
        <v>252</v>
      </c>
      <c r="D162" s="41">
        <f>D163</f>
        <v>145</v>
      </c>
      <c r="E162" s="41">
        <f t="shared" ref="E162" si="44">E163</f>
        <v>145</v>
      </c>
      <c r="F162" s="99">
        <f t="shared" si="37"/>
        <v>100</v>
      </c>
      <c r="G162" s="108"/>
    </row>
    <row r="163" spans="1:7" ht="38.25">
      <c r="A163" s="81" t="s">
        <v>40</v>
      </c>
      <c r="B163" s="85" t="s">
        <v>314</v>
      </c>
      <c r="C163" s="102" t="s">
        <v>315</v>
      </c>
      <c r="D163" s="41">
        <f>130+15</f>
        <v>145</v>
      </c>
      <c r="E163" s="41">
        <f>130+15</f>
        <v>145</v>
      </c>
      <c r="F163" s="99">
        <f t="shared" si="37"/>
        <v>100</v>
      </c>
      <c r="G163" s="108"/>
    </row>
    <row r="164" spans="1:7" ht="68.25" customHeight="1">
      <c r="A164" s="21" t="s">
        <v>385</v>
      </c>
      <c r="B164" s="16"/>
      <c r="C164" s="106" t="s">
        <v>386</v>
      </c>
      <c r="D164" s="41">
        <f>D165+D167</f>
        <v>6009.3</v>
      </c>
      <c r="E164" s="41">
        <f>E165+E167</f>
        <v>6009.3</v>
      </c>
      <c r="F164" s="99">
        <f t="shared" si="37"/>
        <v>100</v>
      </c>
      <c r="G164" s="108"/>
    </row>
    <row r="165" spans="1:7" ht="38.25">
      <c r="A165" s="74" t="s">
        <v>309</v>
      </c>
      <c r="B165" s="16"/>
      <c r="C165" s="102" t="s">
        <v>0</v>
      </c>
      <c r="D165" s="41">
        <f>D166</f>
        <v>5709.3</v>
      </c>
      <c r="E165" s="41">
        <f>E166</f>
        <v>5709.3</v>
      </c>
      <c r="F165" s="99">
        <f t="shared" si="37"/>
        <v>100</v>
      </c>
      <c r="G165" s="108"/>
    </row>
    <row r="166" spans="1:7">
      <c r="A166" s="74" t="s">
        <v>309</v>
      </c>
      <c r="B166" s="85" t="s">
        <v>334</v>
      </c>
      <c r="C166" s="102" t="s">
        <v>333</v>
      </c>
      <c r="D166" s="41">
        <v>5709.3</v>
      </c>
      <c r="E166" s="41">
        <v>5709.3</v>
      </c>
      <c r="F166" s="99">
        <f t="shared" si="37"/>
        <v>100</v>
      </c>
      <c r="G166" s="108"/>
    </row>
    <row r="167" spans="1:7" ht="51">
      <c r="A167" s="74" t="s">
        <v>317</v>
      </c>
      <c r="B167" s="16"/>
      <c r="C167" s="102" t="s">
        <v>253</v>
      </c>
      <c r="D167" s="41">
        <f>D168</f>
        <v>300</v>
      </c>
      <c r="E167" s="41">
        <f t="shared" ref="E167" si="45">E168</f>
        <v>300</v>
      </c>
      <c r="F167" s="99">
        <f t="shared" si="37"/>
        <v>100</v>
      </c>
      <c r="G167" s="108"/>
    </row>
    <row r="168" spans="1:7">
      <c r="A168" s="74" t="s">
        <v>317</v>
      </c>
      <c r="B168" s="85" t="s">
        <v>334</v>
      </c>
      <c r="C168" s="102" t="s">
        <v>333</v>
      </c>
      <c r="D168" s="41">
        <v>300</v>
      </c>
      <c r="E168" s="41">
        <v>300</v>
      </c>
      <c r="F168" s="99">
        <f t="shared" si="37"/>
        <v>100</v>
      </c>
      <c r="G168" s="108"/>
    </row>
    <row r="169" spans="1:7" ht="52.5" customHeight="1">
      <c r="A169" s="75">
        <v>240000000</v>
      </c>
      <c r="B169" s="16"/>
      <c r="C169" s="48" t="s">
        <v>254</v>
      </c>
      <c r="D169" s="98">
        <f>D170</f>
        <v>50</v>
      </c>
      <c r="E169" s="98">
        <f t="shared" ref="E169" si="46">E170</f>
        <v>50</v>
      </c>
      <c r="F169" s="58">
        <f t="shared" si="37"/>
        <v>100</v>
      </c>
      <c r="G169" s="108"/>
    </row>
    <row r="170" spans="1:7" ht="41.25" customHeight="1">
      <c r="A170" s="74">
        <v>240100000</v>
      </c>
      <c r="B170" s="16"/>
      <c r="C170" s="111" t="s">
        <v>487</v>
      </c>
      <c r="D170" s="103">
        <f>D171+D173</f>
        <v>50</v>
      </c>
      <c r="E170" s="103">
        <f t="shared" ref="E170" si="47">E171+E173</f>
        <v>50</v>
      </c>
      <c r="F170" s="99">
        <f t="shared" si="37"/>
        <v>100</v>
      </c>
      <c r="G170" s="108"/>
    </row>
    <row r="171" spans="1:7" ht="76.5">
      <c r="A171" s="74" t="s">
        <v>587</v>
      </c>
      <c r="B171" s="16"/>
      <c r="C171" s="102" t="s">
        <v>256</v>
      </c>
      <c r="D171" s="41">
        <f>D172</f>
        <v>5</v>
      </c>
      <c r="E171" s="41">
        <f t="shared" ref="E171" si="48">E172</f>
        <v>5</v>
      </c>
      <c r="F171" s="58">
        <f t="shared" si="37"/>
        <v>100</v>
      </c>
      <c r="G171" s="108"/>
    </row>
    <row r="172" spans="1:7" ht="38.25">
      <c r="A172" s="74" t="s">
        <v>587</v>
      </c>
      <c r="B172" s="85" t="s">
        <v>314</v>
      </c>
      <c r="C172" s="102" t="s">
        <v>315</v>
      </c>
      <c r="D172" s="41">
        <v>5</v>
      </c>
      <c r="E172" s="41">
        <v>5</v>
      </c>
      <c r="F172" s="99">
        <f t="shared" si="37"/>
        <v>100</v>
      </c>
      <c r="G172" s="108"/>
    </row>
    <row r="173" spans="1:7">
      <c r="A173" s="74" t="s">
        <v>588</v>
      </c>
      <c r="B173" s="16"/>
      <c r="C173" s="102" t="s">
        <v>258</v>
      </c>
      <c r="D173" s="41">
        <f>D174</f>
        <v>45</v>
      </c>
      <c r="E173" s="41">
        <f t="shared" ref="E173" si="49">E174</f>
        <v>45</v>
      </c>
      <c r="F173" s="99">
        <f t="shared" si="37"/>
        <v>100</v>
      </c>
      <c r="G173" s="108"/>
    </row>
    <row r="174" spans="1:7" ht="38.25">
      <c r="A174" s="74" t="s">
        <v>588</v>
      </c>
      <c r="B174" s="85" t="s">
        <v>314</v>
      </c>
      <c r="C174" s="102" t="s">
        <v>315</v>
      </c>
      <c r="D174" s="41">
        <v>45</v>
      </c>
      <c r="E174" s="41">
        <v>45</v>
      </c>
      <c r="F174" s="99">
        <f t="shared" si="37"/>
        <v>100</v>
      </c>
      <c r="G174" s="108"/>
    </row>
    <row r="175" spans="1:7" ht="25.5">
      <c r="A175" s="75">
        <v>250000000</v>
      </c>
      <c r="B175" s="85"/>
      <c r="C175" s="48" t="s">
        <v>450</v>
      </c>
      <c r="D175" s="98">
        <f>D176</f>
        <v>159.69999999999999</v>
      </c>
      <c r="E175" s="98">
        <f t="shared" ref="E175:E177" si="50">E176</f>
        <v>159.69999999999999</v>
      </c>
      <c r="F175" s="58">
        <f t="shared" si="37"/>
        <v>100</v>
      </c>
      <c r="G175" s="108"/>
    </row>
    <row r="176" spans="1:7" ht="25.5">
      <c r="A176" s="74">
        <v>250100000</v>
      </c>
      <c r="B176" s="85"/>
      <c r="C176" s="111" t="s">
        <v>448</v>
      </c>
      <c r="D176" s="103">
        <f>D177</f>
        <v>159.69999999999999</v>
      </c>
      <c r="E176" s="103">
        <f t="shared" si="50"/>
        <v>159.69999999999999</v>
      </c>
      <c r="F176" s="99">
        <f t="shared" si="37"/>
        <v>100</v>
      </c>
      <c r="G176" s="108"/>
    </row>
    <row r="177" spans="1:8" ht="25.5">
      <c r="A177" s="74" t="s">
        <v>255</v>
      </c>
      <c r="B177" s="85"/>
      <c r="C177" s="102" t="s">
        <v>449</v>
      </c>
      <c r="D177" s="41">
        <f>D178</f>
        <v>159.69999999999999</v>
      </c>
      <c r="E177" s="41">
        <f t="shared" si="50"/>
        <v>159.69999999999999</v>
      </c>
      <c r="F177" s="99">
        <f t="shared" si="37"/>
        <v>100</v>
      </c>
      <c r="G177" s="108"/>
    </row>
    <row r="178" spans="1:8" ht="38.25">
      <c r="A178" s="74" t="s">
        <v>255</v>
      </c>
      <c r="B178" s="85" t="s">
        <v>314</v>
      </c>
      <c r="C178" s="102" t="s">
        <v>315</v>
      </c>
      <c r="D178" s="41">
        <f>140+19.7</f>
        <v>159.69999999999999</v>
      </c>
      <c r="E178" s="41">
        <f>140+19.7</f>
        <v>159.69999999999999</v>
      </c>
      <c r="F178" s="99">
        <f t="shared" si="37"/>
        <v>100</v>
      </c>
      <c r="G178" s="108"/>
    </row>
    <row r="179" spans="1:8">
      <c r="A179" s="52" t="s">
        <v>41</v>
      </c>
      <c r="B179" s="21"/>
      <c r="C179" s="66" t="s">
        <v>68</v>
      </c>
      <c r="D179" s="58">
        <f>D180</f>
        <v>2703.7000000000003</v>
      </c>
      <c r="E179" s="58">
        <f t="shared" ref="E179" si="51">E180</f>
        <v>2701.7000000000003</v>
      </c>
      <c r="F179" s="99">
        <f t="shared" si="37"/>
        <v>99.9</v>
      </c>
      <c r="G179" s="108"/>
    </row>
    <row r="180" spans="1:8" ht="54.75" customHeight="1">
      <c r="A180" s="82" t="s">
        <v>257</v>
      </c>
      <c r="B180" s="21"/>
      <c r="C180" s="102" t="s">
        <v>388</v>
      </c>
      <c r="D180" s="99">
        <f>SUM(D181:D183)</f>
        <v>2703.7000000000003</v>
      </c>
      <c r="E180" s="99">
        <f>SUM(E181:E183)</f>
        <v>2701.7000000000003</v>
      </c>
      <c r="F180" s="99">
        <f t="shared" si="37"/>
        <v>99.9</v>
      </c>
      <c r="G180" s="108"/>
    </row>
    <row r="181" spans="1:8" ht="25.5">
      <c r="A181" s="82" t="s">
        <v>257</v>
      </c>
      <c r="B181" s="16" t="s">
        <v>102</v>
      </c>
      <c r="C181" s="55" t="s">
        <v>103</v>
      </c>
      <c r="D181" s="99">
        <f>2675.9-12.5-0.8</f>
        <v>2662.6</v>
      </c>
      <c r="E181" s="99">
        <f>2675.9-12.5-0.8</f>
        <v>2662.6</v>
      </c>
      <c r="F181" s="99">
        <f t="shared" si="37"/>
        <v>100</v>
      </c>
      <c r="G181" s="108"/>
    </row>
    <row r="182" spans="1:8" ht="38.25">
      <c r="A182" s="82" t="s">
        <v>257</v>
      </c>
      <c r="B182" s="85" t="s">
        <v>314</v>
      </c>
      <c r="C182" s="102" t="s">
        <v>315</v>
      </c>
      <c r="D182" s="41">
        <f>27.8+12.5</f>
        <v>40.299999999999997</v>
      </c>
      <c r="E182" s="41">
        <v>38.299999999999997</v>
      </c>
      <c r="F182" s="99">
        <f t="shared" si="37"/>
        <v>95</v>
      </c>
      <c r="G182" s="108"/>
    </row>
    <row r="183" spans="1:8">
      <c r="A183" s="82" t="s">
        <v>257</v>
      </c>
      <c r="B183" s="21" t="s">
        <v>180</v>
      </c>
      <c r="C183" s="102" t="s">
        <v>181</v>
      </c>
      <c r="D183" s="41">
        <v>0.8</v>
      </c>
      <c r="E183" s="41">
        <v>0.8</v>
      </c>
      <c r="F183" s="99">
        <f t="shared" si="37"/>
        <v>100</v>
      </c>
    </row>
    <row r="184" spans="1:8" ht="51">
      <c r="A184" s="73" t="s">
        <v>111</v>
      </c>
      <c r="B184" s="16"/>
      <c r="C184" s="53" t="s">
        <v>544</v>
      </c>
      <c r="D184" s="100">
        <f>D185+D199</f>
        <v>14890.400000000001</v>
      </c>
      <c r="E184" s="100">
        <f>E185+E199</f>
        <v>12899.8</v>
      </c>
      <c r="F184" s="62">
        <f t="shared" si="37"/>
        <v>86.6</v>
      </c>
    </row>
    <row r="185" spans="1:8" ht="25.5">
      <c r="A185" s="52" t="s">
        <v>112</v>
      </c>
      <c r="B185" s="16"/>
      <c r="C185" s="48" t="s">
        <v>219</v>
      </c>
      <c r="D185" s="98">
        <f>D186+D189</f>
        <v>14698.800000000001</v>
      </c>
      <c r="E185" s="98">
        <f>E186+E189</f>
        <v>12708.199999999999</v>
      </c>
      <c r="F185" s="58">
        <f t="shared" si="37"/>
        <v>86.5</v>
      </c>
      <c r="H185" s="108"/>
    </row>
    <row r="186" spans="1:8" ht="25.5">
      <c r="A186" s="21" t="s">
        <v>366</v>
      </c>
      <c r="B186" s="16"/>
      <c r="C186" s="104" t="s">
        <v>367</v>
      </c>
      <c r="D186" s="103">
        <f>D187</f>
        <v>245.3</v>
      </c>
      <c r="E186" s="103">
        <f>E187</f>
        <v>245.3</v>
      </c>
      <c r="F186" s="99">
        <f t="shared" si="37"/>
        <v>100</v>
      </c>
    </row>
    <row r="187" spans="1:8" ht="25.5">
      <c r="A187" s="85" t="s">
        <v>221</v>
      </c>
      <c r="B187" s="16"/>
      <c r="C187" s="101" t="s">
        <v>220</v>
      </c>
      <c r="D187" s="41">
        <f>D188</f>
        <v>245.3</v>
      </c>
      <c r="E187" s="41">
        <f>E188</f>
        <v>245.3</v>
      </c>
      <c r="F187" s="99">
        <f t="shared" si="37"/>
        <v>100</v>
      </c>
    </row>
    <row r="188" spans="1:8" ht="38.25">
      <c r="A188" s="85" t="s">
        <v>221</v>
      </c>
      <c r="B188" s="85" t="s">
        <v>314</v>
      </c>
      <c r="C188" s="102" t="s">
        <v>315</v>
      </c>
      <c r="D188" s="41">
        <f>250-4.7</f>
        <v>245.3</v>
      </c>
      <c r="E188" s="41">
        <f>250-4.7</f>
        <v>245.3</v>
      </c>
      <c r="F188" s="99">
        <f t="shared" si="37"/>
        <v>100</v>
      </c>
    </row>
    <row r="189" spans="1:8" ht="51">
      <c r="A189" s="21" t="s">
        <v>368</v>
      </c>
      <c r="B189" s="85"/>
      <c r="C189" s="104" t="s">
        <v>369</v>
      </c>
      <c r="D189" s="41">
        <f>D190+D192+D194+D197</f>
        <v>14453.500000000002</v>
      </c>
      <c r="E189" s="41">
        <f t="shared" ref="E189" si="52">E190+E192+E194+E197</f>
        <v>12462.9</v>
      </c>
      <c r="F189" s="99">
        <f t="shared" si="37"/>
        <v>86.2</v>
      </c>
    </row>
    <row r="190" spans="1:8" ht="38.25">
      <c r="A190" s="74" t="s">
        <v>113</v>
      </c>
      <c r="B190" s="16"/>
      <c r="C190" s="101" t="s">
        <v>222</v>
      </c>
      <c r="D190" s="41">
        <f>D191</f>
        <v>194.5</v>
      </c>
      <c r="E190" s="41">
        <f t="shared" ref="E190" si="53">E191</f>
        <v>194.5</v>
      </c>
      <c r="F190" s="99">
        <f t="shared" si="37"/>
        <v>100</v>
      </c>
    </row>
    <row r="191" spans="1:8" ht="38.25">
      <c r="A191" s="74" t="s">
        <v>113</v>
      </c>
      <c r="B191" s="85" t="s">
        <v>314</v>
      </c>
      <c r="C191" s="102" t="s">
        <v>315</v>
      </c>
      <c r="D191" s="41">
        <f>100+54.1+40.4</f>
        <v>194.5</v>
      </c>
      <c r="E191" s="41">
        <f>100+54.1+40.4</f>
        <v>194.5</v>
      </c>
      <c r="F191" s="99">
        <f t="shared" si="37"/>
        <v>100</v>
      </c>
    </row>
    <row r="192" spans="1:8" ht="63.75">
      <c r="A192" s="74" t="s">
        <v>114</v>
      </c>
      <c r="B192" s="16"/>
      <c r="C192" s="101" t="s">
        <v>223</v>
      </c>
      <c r="D192" s="41">
        <f>D193</f>
        <v>309.5</v>
      </c>
      <c r="E192" s="41">
        <f t="shared" ref="E192" si="54">E193</f>
        <v>278</v>
      </c>
      <c r="F192" s="99">
        <f t="shared" si="37"/>
        <v>89.8</v>
      </c>
    </row>
    <row r="193" spans="1:6" ht="38.25">
      <c r="A193" s="74" t="s">
        <v>114</v>
      </c>
      <c r="B193" s="85" t="s">
        <v>314</v>
      </c>
      <c r="C193" s="102" t="s">
        <v>315</v>
      </c>
      <c r="D193" s="41">
        <f>310-0.5</f>
        <v>309.5</v>
      </c>
      <c r="E193" s="41">
        <v>278</v>
      </c>
      <c r="F193" s="99">
        <f t="shared" si="37"/>
        <v>89.8</v>
      </c>
    </row>
    <row r="194" spans="1:6" ht="38.25">
      <c r="A194" s="74" t="s">
        <v>115</v>
      </c>
      <c r="B194" s="16"/>
      <c r="C194" s="101" t="s">
        <v>224</v>
      </c>
      <c r="D194" s="41">
        <f>SUM(D195:D196)</f>
        <v>11449.500000000002</v>
      </c>
      <c r="E194" s="41">
        <f t="shared" ref="E194" si="55">SUM(E195:E196)</f>
        <v>9490.4</v>
      </c>
      <c r="F194" s="99">
        <f t="shared" si="37"/>
        <v>82.9</v>
      </c>
    </row>
    <row r="195" spans="1:6" ht="38.25">
      <c r="A195" s="74" t="s">
        <v>115</v>
      </c>
      <c r="B195" s="85" t="s">
        <v>314</v>
      </c>
      <c r="C195" s="102" t="s">
        <v>315</v>
      </c>
      <c r="D195" s="41">
        <f>3928+123.9-99.2+577+1749.2+1560-98.2-22.4+300+1188.7-37.8+2257.9</f>
        <v>11427.100000000002</v>
      </c>
      <c r="E195" s="41">
        <v>9468</v>
      </c>
      <c r="F195" s="99">
        <f t="shared" si="37"/>
        <v>82.9</v>
      </c>
    </row>
    <row r="196" spans="1:6">
      <c r="A196" s="74" t="s">
        <v>115</v>
      </c>
      <c r="B196" s="84" t="s">
        <v>180</v>
      </c>
      <c r="C196" s="102" t="s">
        <v>181</v>
      </c>
      <c r="D196" s="41">
        <v>22.4</v>
      </c>
      <c r="E196" s="41">
        <v>22.4</v>
      </c>
      <c r="F196" s="99">
        <f t="shared" si="37"/>
        <v>100</v>
      </c>
    </row>
    <row r="197" spans="1:6" ht="38.25">
      <c r="A197" s="74" t="s">
        <v>805</v>
      </c>
      <c r="B197" s="84"/>
      <c r="C197" s="102" t="s">
        <v>806</v>
      </c>
      <c r="D197" s="41">
        <f>D198</f>
        <v>2500</v>
      </c>
      <c r="E197" s="41">
        <f t="shared" ref="E197" si="56">E198</f>
        <v>2500</v>
      </c>
      <c r="F197" s="99">
        <f t="shared" si="37"/>
        <v>100</v>
      </c>
    </row>
    <row r="198" spans="1:6" ht="54" customHeight="1">
      <c r="A198" s="74" t="s">
        <v>805</v>
      </c>
      <c r="B198" s="84" t="s">
        <v>15</v>
      </c>
      <c r="C198" s="102" t="s">
        <v>696</v>
      </c>
      <c r="D198" s="41">
        <v>2500</v>
      </c>
      <c r="E198" s="41">
        <v>2500</v>
      </c>
      <c r="F198" s="99">
        <f t="shared" si="37"/>
        <v>100</v>
      </c>
    </row>
    <row r="199" spans="1:6" ht="25.5">
      <c r="A199" s="52" t="s">
        <v>226</v>
      </c>
      <c r="B199" s="16"/>
      <c r="C199" s="48" t="s">
        <v>225</v>
      </c>
      <c r="D199" s="98">
        <f>D200+D203</f>
        <v>191.6</v>
      </c>
      <c r="E199" s="98">
        <f>E200+E203</f>
        <v>191.6</v>
      </c>
      <c r="F199" s="58">
        <f t="shared" ref="F199:F257" si="57">ROUND((E199/D199*100),1)</f>
        <v>100</v>
      </c>
    </row>
    <row r="200" spans="1:6" ht="63.75">
      <c r="A200" s="21" t="s">
        <v>370</v>
      </c>
      <c r="B200" s="16"/>
      <c r="C200" s="104" t="s">
        <v>479</v>
      </c>
      <c r="D200" s="41">
        <f>D201</f>
        <v>161</v>
      </c>
      <c r="E200" s="41">
        <f t="shared" ref="E200" si="58">E201</f>
        <v>161</v>
      </c>
      <c r="F200" s="99">
        <f t="shared" si="57"/>
        <v>100</v>
      </c>
    </row>
    <row r="201" spans="1:6" ht="38.25">
      <c r="A201" s="21" t="s">
        <v>228</v>
      </c>
      <c r="B201" s="30"/>
      <c r="C201" s="101" t="s">
        <v>227</v>
      </c>
      <c r="D201" s="41">
        <f>D202</f>
        <v>161</v>
      </c>
      <c r="E201" s="41">
        <f t="shared" ref="E201" si="59">E202</f>
        <v>161</v>
      </c>
      <c r="F201" s="99">
        <f t="shared" si="57"/>
        <v>100</v>
      </c>
    </row>
    <row r="202" spans="1:6" ht="38.25">
      <c r="A202" s="21" t="s">
        <v>228</v>
      </c>
      <c r="B202" s="85" t="s">
        <v>314</v>
      </c>
      <c r="C202" s="102" t="s">
        <v>315</v>
      </c>
      <c r="D202" s="41">
        <f>166.7-5.7</f>
        <v>161</v>
      </c>
      <c r="E202" s="41">
        <f>166.7-5.7</f>
        <v>161</v>
      </c>
      <c r="F202" s="99">
        <f t="shared" si="57"/>
        <v>100</v>
      </c>
    </row>
    <row r="203" spans="1:6" ht="25.5">
      <c r="A203" s="21" t="s">
        <v>612</v>
      </c>
      <c r="B203" s="85"/>
      <c r="C203" s="104" t="s">
        <v>608</v>
      </c>
      <c r="D203" s="41">
        <f>D204</f>
        <v>30.6</v>
      </c>
      <c r="E203" s="41">
        <f t="shared" ref="E203" si="60">E204</f>
        <v>30.6</v>
      </c>
      <c r="F203" s="99">
        <f t="shared" si="57"/>
        <v>100</v>
      </c>
    </row>
    <row r="204" spans="1:6" ht="38.25">
      <c r="A204" s="85" t="s">
        <v>607</v>
      </c>
      <c r="B204" s="30"/>
      <c r="C204" s="101" t="s">
        <v>236</v>
      </c>
      <c r="D204" s="41">
        <f>D205</f>
        <v>30.6</v>
      </c>
      <c r="E204" s="41">
        <f t="shared" ref="E204" si="61">E205</f>
        <v>30.6</v>
      </c>
      <c r="F204" s="99">
        <f t="shared" si="57"/>
        <v>100</v>
      </c>
    </row>
    <row r="205" spans="1:6" ht="38.25">
      <c r="A205" s="85" t="s">
        <v>607</v>
      </c>
      <c r="B205" s="85" t="s">
        <v>314</v>
      </c>
      <c r="C205" s="102" t="s">
        <v>315</v>
      </c>
      <c r="D205" s="41">
        <f>36-5.4</f>
        <v>30.6</v>
      </c>
      <c r="E205" s="41">
        <f>36-5.4</f>
        <v>30.6</v>
      </c>
      <c r="F205" s="99">
        <f t="shared" si="57"/>
        <v>100</v>
      </c>
    </row>
    <row r="206" spans="1:6" ht="51">
      <c r="A206" s="76">
        <v>400000000</v>
      </c>
      <c r="B206" s="30"/>
      <c r="C206" s="64" t="s">
        <v>520</v>
      </c>
      <c r="D206" s="100">
        <f>D207+D217+D233+D240</f>
        <v>9770.1999999999989</v>
      </c>
      <c r="E206" s="100">
        <f>E207+E217+E233+E240</f>
        <v>9759.3000000000011</v>
      </c>
      <c r="F206" s="62">
        <f t="shared" si="57"/>
        <v>99.9</v>
      </c>
    </row>
    <row r="207" spans="1:6" ht="38.25">
      <c r="A207" s="75">
        <v>410000000</v>
      </c>
      <c r="B207" s="30"/>
      <c r="C207" s="46" t="s">
        <v>230</v>
      </c>
      <c r="D207" s="98">
        <f>D208</f>
        <v>1503.9</v>
      </c>
      <c r="E207" s="98">
        <f>E208</f>
        <v>1503.8</v>
      </c>
      <c r="F207" s="58">
        <f t="shared" si="57"/>
        <v>100</v>
      </c>
    </row>
    <row r="208" spans="1:6" ht="25.5">
      <c r="A208" s="74">
        <v>410100000</v>
      </c>
      <c r="B208" s="30"/>
      <c r="C208" s="101" t="s">
        <v>343</v>
      </c>
      <c r="D208" s="98">
        <f>D209+D211+D213+D215</f>
        <v>1503.9</v>
      </c>
      <c r="E208" s="98">
        <f>E209+E211+E213+E215</f>
        <v>1503.8</v>
      </c>
      <c r="F208" s="99">
        <f t="shared" si="57"/>
        <v>100</v>
      </c>
    </row>
    <row r="209" spans="1:6" ht="38.25">
      <c r="A209" s="74" t="s">
        <v>231</v>
      </c>
      <c r="B209" s="16"/>
      <c r="C209" s="22" t="s">
        <v>70</v>
      </c>
      <c r="D209" s="39">
        <f>D210</f>
        <v>100</v>
      </c>
      <c r="E209" s="39">
        <f>E210</f>
        <v>100</v>
      </c>
      <c r="F209" s="99">
        <f t="shared" si="57"/>
        <v>100</v>
      </c>
    </row>
    <row r="210" spans="1:6" ht="56.25" customHeight="1">
      <c r="A210" s="74" t="s">
        <v>231</v>
      </c>
      <c r="B210" s="16" t="s">
        <v>15</v>
      </c>
      <c r="C210" s="102" t="s">
        <v>501</v>
      </c>
      <c r="D210" s="39">
        <v>100</v>
      </c>
      <c r="E210" s="39">
        <v>100</v>
      </c>
      <c r="F210" s="99">
        <f t="shared" si="57"/>
        <v>100</v>
      </c>
    </row>
    <row r="211" spans="1:6" ht="25.5">
      <c r="A211" s="74" t="s">
        <v>458</v>
      </c>
      <c r="B211" s="16"/>
      <c r="C211" s="104" t="s">
        <v>240</v>
      </c>
      <c r="D211" s="39">
        <f t="shared" ref="D211:E211" si="62">D212</f>
        <v>408.9</v>
      </c>
      <c r="E211" s="39">
        <f t="shared" si="62"/>
        <v>408.9</v>
      </c>
      <c r="F211" s="99">
        <f t="shared" si="57"/>
        <v>100</v>
      </c>
    </row>
    <row r="212" spans="1:6" ht="38.25">
      <c r="A212" s="74" t="s">
        <v>458</v>
      </c>
      <c r="B212" s="85" t="s">
        <v>314</v>
      </c>
      <c r="C212" s="102" t="s">
        <v>315</v>
      </c>
      <c r="D212" s="39">
        <f>463.5-10-44.6</f>
        <v>408.9</v>
      </c>
      <c r="E212" s="39">
        <f>463.5-10-44.6</f>
        <v>408.9</v>
      </c>
      <c r="F212" s="99">
        <f t="shared" si="57"/>
        <v>100</v>
      </c>
    </row>
    <row r="213" spans="1:6" ht="51">
      <c r="A213" s="74" t="s">
        <v>307</v>
      </c>
      <c r="B213" s="16"/>
      <c r="C213" s="102" t="s">
        <v>318</v>
      </c>
      <c r="D213" s="39">
        <f>D214</f>
        <v>500</v>
      </c>
      <c r="E213" s="39">
        <f t="shared" ref="E213" si="63">E214</f>
        <v>499.9</v>
      </c>
      <c r="F213" s="99">
        <f t="shared" si="57"/>
        <v>100</v>
      </c>
    </row>
    <row r="214" spans="1:6" ht="54" customHeight="1">
      <c r="A214" s="74" t="s">
        <v>307</v>
      </c>
      <c r="B214" s="16" t="s">
        <v>15</v>
      </c>
      <c r="C214" s="102" t="s">
        <v>501</v>
      </c>
      <c r="D214" s="39">
        <v>500</v>
      </c>
      <c r="E214" s="39">
        <v>499.9</v>
      </c>
      <c r="F214" s="99">
        <f t="shared" si="57"/>
        <v>100</v>
      </c>
    </row>
    <row r="215" spans="1:6" ht="51">
      <c r="A215" s="74" t="s">
        <v>784</v>
      </c>
      <c r="B215" s="85"/>
      <c r="C215" s="102" t="s">
        <v>785</v>
      </c>
      <c r="D215" s="41">
        <f>D216</f>
        <v>495</v>
      </c>
      <c r="E215" s="41">
        <f t="shared" ref="E215" si="64">E216</f>
        <v>495</v>
      </c>
      <c r="F215" s="99">
        <f t="shared" si="57"/>
        <v>100</v>
      </c>
    </row>
    <row r="216" spans="1:6" ht="51.75" customHeight="1">
      <c r="A216" s="74" t="s">
        <v>784</v>
      </c>
      <c r="B216" s="16" t="s">
        <v>15</v>
      </c>
      <c r="C216" s="102" t="s">
        <v>696</v>
      </c>
      <c r="D216" s="41">
        <f>500-5</f>
        <v>495</v>
      </c>
      <c r="E216" s="41">
        <f>500-5</f>
        <v>495</v>
      </c>
      <c r="F216" s="99">
        <f t="shared" si="57"/>
        <v>100</v>
      </c>
    </row>
    <row r="217" spans="1:6" ht="38.25">
      <c r="A217" s="75">
        <v>420000000</v>
      </c>
      <c r="B217" s="30"/>
      <c r="C217" s="46" t="s">
        <v>344</v>
      </c>
      <c r="D217" s="98">
        <f>D218</f>
        <v>3054.5</v>
      </c>
      <c r="E217" s="98">
        <f>E218</f>
        <v>3044</v>
      </c>
      <c r="F217" s="58">
        <f t="shared" si="57"/>
        <v>99.7</v>
      </c>
    </row>
    <row r="218" spans="1:6" ht="89.25">
      <c r="A218" s="74">
        <v>420100000</v>
      </c>
      <c r="B218" s="16"/>
      <c r="C218" s="101" t="s">
        <v>345</v>
      </c>
      <c r="D218" s="41">
        <f>D219+D221+D223+D225+D227+D229+D231</f>
        <v>3054.5</v>
      </c>
      <c r="E218" s="41">
        <f>E219+E221+E223+E225+E227+E229+E231</f>
        <v>3044</v>
      </c>
      <c r="F218" s="99">
        <f t="shared" si="57"/>
        <v>99.7</v>
      </c>
    </row>
    <row r="219" spans="1:6" ht="38.25">
      <c r="A219" s="74" t="s">
        <v>473</v>
      </c>
      <c r="B219" s="16"/>
      <c r="C219" s="102" t="s">
        <v>634</v>
      </c>
      <c r="D219" s="41">
        <f>D220</f>
        <v>300</v>
      </c>
      <c r="E219" s="41">
        <f t="shared" ref="E219" si="65">E220</f>
        <v>300</v>
      </c>
      <c r="F219" s="99">
        <f t="shared" si="57"/>
        <v>100</v>
      </c>
    </row>
    <row r="220" spans="1:6" ht="51" customHeight="1">
      <c r="A220" s="74" t="s">
        <v>473</v>
      </c>
      <c r="B220" s="16" t="s">
        <v>24</v>
      </c>
      <c r="C220" s="104" t="s">
        <v>666</v>
      </c>
      <c r="D220" s="41">
        <v>300</v>
      </c>
      <c r="E220" s="41">
        <v>300</v>
      </c>
      <c r="F220" s="99">
        <f t="shared" si="57"/>
        <v>100</v>
      </c>
    </row>
    <row r="221" spans="1:6" ht="63.75">
      <c r="A221" s="74" t="s">
        <v>124</v>
      </c>
      <c r="B221" s="30"/>
      <c r="C221" s="102" t="s">
        <v>241</v>
      </c>
      <c r="D221" s="41">
        <f>D222</f>
        <v>300</v>
      </c>
      <c r="E221" s="41">
        <f t="shared" ref="E221" si="66">E222</f>
        <v>299.60000000000002</v>
      </c>
      <c r="F221" s="99">
        <f t="shared" si="57"/>
        <v>99.9</v>
      </c>
    </row>
    <row r="222" spans="1:6" ht="38.25">
      <c r="A222" s="74" t="s">
        <v>124</v>
      </c>
      <c r="B222" s="85" t="s">
        <v>314</v>
      </c>
      <c r="C222" s="102" t="s">
        <v>315</v>
      </c>
      <c r="D222" s="41">
        <v>300</v>
      </c>
      <c r="E222" s="41">
        <v>299.60000000000002</v>
      </c>
      <c r="F222" s="99">
        <f t="shared" si="57"/>
        <v>99.9</v>
      </c>
    </row>
    <row r="223" spans="1:6" ht="63.75">
      <c r="A223" s="74" t="s">
        <v>233</v>
      </c>
      <c r="B223" s="30"/>
      <c r="C223" s="102" t="s">
        <v>303</v>
      </c>
      <c r="D223" s="41">
        <f>D224</f>
        <v>240</v>
      </c>
      <c r="E223" s="41">
        <f t="shared" ref="E223" si="67">E224</f>
        <v>229.9</v>
      </c>
      <c r="F223" s="99">
        <f t="shared" si="57"/>
        <v>95.8</v>
      </c>
    </row>
    <row r="224" spans="1:6" ht="38.25">
      <c r="A224" s="74" t="s">
        <v>233</v>
      </c>
      <c r="B224" s="85" t="s">
        <v>314</v>
      </c>
      <c r="C224" s="102" t="s">
        <v>315</v>
      </c>
      <c r="D224" s="41">
        <v>240</v>
      </c>
      <c r="E224" s="41">
        <v>229.9</v>
      </c>
      <c r="F224" s="99">
        <f t="shared" si="57"/>
        <v>95.8</v>
      </c>
    </row>
    <row r="225" spans="1:6" ht="52.5" customHeight="1">
      <c r="A225" s="74" t="s">
        <v>234</v>
      </c>
      <c r="B225" s="16"/>
      <c r="C225" s="102" t="s">
        <v>61</v>
      </c>
      <c r="D225" s="41">
        <f>D226</f>
        <v>1251.5999999999999</v>
      </c>
      <c r="E225" s="41">
        <f t="shared" ref="E225" si="68">E226</f>
        <v>1251.5999999999999</v>
      </c>
      <c r="F225" s="58">
        <f t="shared" si="57"/>
        <v>100</v>
      </c>
    </row>
    <row r="226" spans="1:6" ht="38.25">
      <c r="A226" s="74" t="s">
        <v>234</v>
      </c>
      <c r="B226" s="85" t="s">
        <v>314</v>
      </c>
      <c r="C226" s="102" t="s">
        <v>315</v>
      </c>
      <c r="D226" s="41">
        <f>951.6+300</f>
        <v>1251.5999999999999</v>
      </c>
      <c r="E226" s="41">
        <f>951.6+300</f>
        <v>1251.5999999999999</v>
      </c>
      <c r="F226" s="99">
        <f t="shared" si="57"/>
        <v>100</v>
      </c>
    </row>
    <row r="227" spans="1:6" ht="38.25">
      <c r="A227" s="74">
        <v>420110320</v>
      </c>
      <c r="B227" s="16"/>
      <c r="C227" s="102" t="s">
        <v>658</v>
      </c>
      <c r="D227" s="41">
        <f>D228</f>
        <v>877.9</v>
      </c>
      <c r="E227" s="41">
        <f t="shared" ref="E227" si="69">E228</f>
        <v>877.9</v>
      </c>
      <c r="F227" s="99">
        <f t="shared" si="57"/>
        <v>100</v>
      </c>
    </row>
    <row r="228" spans="1:6" ht="49.5" customHeight="1">
      <c r="A228" s="74">
        <v>420110320</v>
      </c>
      <c r="B228" s="16" t="s">
        <v>24</v>
      </c>
      <c r="C228" s="104" t="s">
        <v>666</v>
      </c>
      <c r="D228" s="41">
        <f>873.1+4.8</f>
        <v>877.9</v>
      </c>
      <c r="E228" s="41">
        <f>873.1+4.8</f>
        <v>877.9</v>
      </c>
      <c r="F228" s="99">
        <f t="shared" si="57"/>
        <v>100</v>
      </c>
    </row>
    <row r="229" spans="1:6" ht="38.25">
      <c r="A229" s="74" t="s">
        <v>742</v>
      </c>
      <c r="B229" s="16"/>
      <c r="C229" s="102" t="s">
        <v>743</v>
      </c>
      <c r="D229" s="41">
        <f>D230</f>
        <v>10</v>
      </c>
      <c r="E229" s="41">
        <f t="shared" ref="E229" si="70">E230</f>
        <v>10</v>
      </c>
      <c r="F229" s="99">
        <f t="shared" si="57"/>
        <v>100</v>
      </c>
    </row>
    <row r="230" spans="1:6" ht="51.75" customHeight="1">
      <c r="A230" s="74" t="s">
        <v>742</v>
      </c>
      <c r="B230" s="16" t="s">
        <v>24</v>
      </c>
      <c r="C230" s="104" t="s">
        <v>666</v>
      </c>
      <c r="D230" s="41">
        <v>10</v>
      </c>
      <c r="E230" s="41">
        <v>10</v>
      </c>
      <c r="F230" s="99">
        <f t="shared" si="57"/>
        <v>100</v>
      </c>
    </row>
    <row r="231" spans="1:6" ht="51">
      <c r="A231" s="74">
        <v>420110490</v>
      </c>
      <c r="B231" s="16"/>
      <c r="C231" s="160" t="s">
        <v>788</v>
      </c>
      <c r="D231" s="41">
        <f>D232</f>
        <v>75</v>
      </c>
      <c r="E231" s="41">
        <f t="shared" ref="E231" si="71">E232</f>
        <v>75</v>
      </c>
      <c r="F231" s="99">
        <f t="shared" si="57"/>
        <v>100</v>
      </c>
    </row>
    <row r="232" spans="1:6" ht="49.5" customHeight="1">
      <c r="A232" s="74">
        <v>420110490</v>
      </c>
      <c r="B232" s="16" t="s">
        <v>24</v>
      </c>
      <c r="C232" s="104" t="s">
        <v>666</v>
      </c>
      <c r="D232" s="41">
        <v>75</v>
      </c>
      <c r="E232" s="41">
        <v>75</v>
      </c>
      <c r="F232" s="99">
        <f t="shared" si="57"/>
        <v>100</v>
      </c>
    </row>
    <row r="233" spans="1:6" ht="102">
      <c r="A233" s="75">
        <v>430000000</v>
      </c>
      <c r="B233" s="16"/>
      <c r="C233" s="46" t="s">
        <v>459</v>
      </c>
      <c r="D233" s="39">
        <f>D234+D237</f>
        <v>5142.2</v>
      </c>
      <c r="E233" s="39">
        <f>E234+E237</f>
        <v>5141.8999999999996</v>
      </c>
      <c r="F233" s="58">
        <f t="shared" si="57"/>
        <v>100</v>
      </c>
    </row>
    <row r="234" spans="1:6" s="110" customFormat="1" ht="51">
      <c r="A234" s="74">
        <v>430100000</v>
      </c>
      <c r="B234" s="30"/>
      <c r="C234" s="101" t="s">
        <v>346</v>
      </c>
      <c r="D234" s="103">
        <f>D235</f>
        <v>1060</v>
      </c>
      <c r="E234" s="103">
        <f t="shared" ref="E234:E235" si="72">E235</f>
        <v>1060</v>
      </c>
      <c r="F234" s="99">
        <f t="shared" si="57"/>
        <v>100</v>
      </c>
    </row>
    <row r="235" spans="1:6" ht="76.5">
      <c r="A235" s="80" t="s">
        <v>235</v>
      </c>
      <c r="B235" s="16"/>
      <c r="C235" s="102" t="s">
        <v>521</v>
      </c>
      <c r="D235" s="41">
        <f>D236</f>
        <v>1060</v>
      </c>
      <c r="E235" s="41">
        <f t="shared" si="72"/>
        <v>1060</v>
      </c>
      <c r="F235" s="99">
        <f t="shared" si="57"/>
        <v>100</v>
      </c>
    </row>
    <row r="236" spans="1:6" ht="54.75" customHeight="1">
      <c r="A236" s="80" t="s">
        <v>235</v>
      </c>
      <c r="B236" s="16" t="s">
        <v>15</v>
      </c>
      <c r="C236" s="102" t="s">
        <v>501</v>
      </c>
      <c r="D236" s="41">
        <f>600+300+160</f>
        <v>1060</v>
      </c>
      <c r="E236" s="41">
        <f>600+300+160</f>
        <v>1060</v>
      </c>
      <c r="F236" s="99">
        <f t="shared" si="57"/>
        <v>100</v>
      </c>
    </row>
    <row r="237" spans="1:6" ht="25.5">
      <c r="A237" s="74">
        <v>430200000</v>
      </c>
      <c r="B237" s="85"/>
      <c r="C237" s="101" t="s">
        <v>447</v>
      </c>
      <c r="D237" s="41">
        <f>D238</f>
        <v>4082.2</v>
      </c>
      <c r="E237" s="41">
        <f t="shared" ref="E237:E238" si="73">E238</f>
        <v>4081.9</v>
      </c>
      <c r="F237" s="99">
        <f t="shared" si="57"/>
        <v>100</v>
      </c>
    </row>
    <row r="238" spans="1:6" ht="51">
      <c r="A238" s="74" t="s">
        <v>237</v>
      </c>
      <c r="B238" s="16"/>
      <c r="C238" s="102" t="s">
        <v>242</v>
      </c>
      <c r="D238" s="41">
        <f>D239</f>
        <v>4082.2</v>
      </c>
      <c r="E238" s="41">
        <f t="shared" si="73"/>
        <v>4081.9</v>
      </c>
      <c r="F238" s="99">
        <f t="shared" si="57"/>
        <v>100</v>
      </c>
    </row>
    <row r="239" spans="1:6" ht="49.5" customHeight="1">
      <c r="A239" s="74" t="s">
        <v>237</v>
      </c>
      <c r="B239" s="16" t="s">
        <v>15</v>
      </c>
      <c r="C239" s="102" t="s">
        <v>501</v>
      </c>
      <c r="D239" s="41">
        <f>2800+1100+182.2</f>
        <v>4082.2</v>
      </c>
      <c r="E239" s="39">
        <v>4081.9</v>
      </c>
      <c r="F239" s="99">
        <f t="shared" si="57"/>
        <v>100</v>
      </c>
    </row>
    <row r="240" spans="1:6" ht="38.25">
      <c r="A240" s="75">
        <v>440000000</v>
      </c>
      <c r="B240" s="16"/>
      <c r="C240" s="48" t="s">
        <v>363</v>
      </c>
      <c r="D240" s="98">
        <f>D241+D244</f>
        <v>69.599999999999994</v>
      </c>
      <c r="E240" s="98">
        <f>E241+E244</f>
        <v>69.599999999999994</v>
      </c>
      <c r="F240" s="58">
        <f t="shared" si="57"/>
        <v>100</v>
      </c>
    </row>
    <row r="241" spans="1:6" ht="25.5">
      <c r="A241" s="74">
        <v>440100000</v>
      </c>
      <c r="B241" s="16"/>
      <c r="C241" s="102" t="s">
        <v>763</v>
      </c>
      <c r="D241" s="103">
        <f t="shared" ref="D241:E242" si="74">D242</f>
        <v>49.6</v>
      </c>
      <c r="E241" s="103">
        <f t="shared" si="74"/>
        <v>49.6</v>
      </c>
      <c r="F241" s="99">
        <f t="shared" si="57"/>
        <v>100</v>
      </c>
    </row>
    <row r="242" spans="1:6" ht="63.75">
      <c r="A242" s="74" t="s">
        <v>762</v>
      </c>
      <c r="B242" s="16"/>
      <c r="C242" s="104" t="s">
        <v>765</v>
      </c>
      <c r="D242" s="103">
        <f t="shared" si="74"/>
        <v>49.6</v>
      </c>
      <c r="E242" s="103">
        <f t="shared" si="74"/>
        <v>49.6</v>
      </c>
      <c r="F242" s="99">
        <f t="shared" si="57"/>
        <v>100</v>
      </c>
    </row>
    <row r="243" spans="1:6" ht="38.25">
      <c r="A243" s="74" t="s">
        <v>762</v>
      </c>
      <c r="B243" s="85" t="s">
        <v>314</v>
      </c>
      <c r="C243" s="102" t="s">
        <v>315</v>
      </c>
      <c r="D243" s="103">
        <f>44.6+5</f>
        <v>49.6</v>
      </c>
      <c r="E243" s="103">
        <f>44.6+5</f>
        <v>49.6</v>
      </c>
      <c r="F243" s="99">
        <f t="shared" si="57"/>
        <v>100</v>
      </c>
    </row>
    <row r="244" spans="1:6" ht="51">
      <c r="A244" s="74">
        <v>440200000</v>
      </c>
      <c r="B244" s="85"/>
      <c r="C244" s="102" t="s">
        <v>347</v>
      </c>
      <c r="D244" s="41">
        <f>D245</f>
        <v>20</v>
      </c>
      <c r="E244" s="41">
        <f>E245</f>
        <v>20</v>
      </c>
      <c r="F244" s="99">
        <f t="shared" si="57"/>
        <v>100</v>
      </c>
    </row>
    <row r="245" spans="1:6" ht="25.5">
      <c r="A245" s="74" t="s">
        <v>645</v>
      </c>
      <c r="B245" s="85"/>
      <c r="C245" s="102" t="s">
        <v>321</v>
      </c>
      <c r="D245" s="41">
        <f>D246</f>
        <v>20</v>
      </c>
      <c r="E245" s="41">
        <f t="shared" ref="E245" si="75">E246</f>
        <v>20</v>
      </c>
      <c r="F245" s="99">
        <f t="shared" si="57"/>
        <v>100</v>
      </c>
    </row>
    <row r="246" spans="1:6" ht="38.25">
      <c r="A246" s="74" t="s">
        <v>645</v>
      </c>
      <c r="B246" s="85" t="s">
        <v>314</v>
      </c>
      <c r="C246" s="102" t="s">
        <v>315</v>
      </c>
      <c r="D246" s="41">
        <v>20</v>
      </c>
      <c r="E246" s="41">
        <v>20</v>
      </c>
      <c r="F246" s="99">
        <f t="shared" si="57"/>
        <v>100</v>
      </c>
    </row>
    <row r="247" spans="1:6" ht="38.25">
      <c r="A247" s="73" t="s">
        <v>212</v>
      </c>
      <c r="B247" s="16"/>
      <c r="C247" s="53" t="s">
        <v>525</v>
      </c>
      <c r="D247" s="100">
        <f>D248+D255+D268</f>
        <v>21821.8</v>
      </c>
      <c r="E247" s="100">
        <f>E248+E255+E268</f>
        <v>21310.9</v>
      </c>
      <c r="F247" s="62">
        <f t="shared" si="57"/>
        <v>97.7</v>
      </c>
    </row>
    <row r="248" spans="1:6" ht="38.25">
      <c r="A248" s="52" t="s">
        <v>206</v>
      </c>
      <c r="B248" s="16"/>
      <c r="C248" s="48" t="s">
        <v>455</v>
      </c>
      <c r="D248" s="98">
        <f>D249+D252</f>
        <v>2101.9</v>
      </c>
      <c r="E248" s="98">
        <f t="shared" ref="E248" si="76">E249+E252</f>
        <v>2091.5</v>
      </c>
      <c r="F248" s="58">
        <f t="shared" si="57"/>
        <v>99.5</v>
      </c>
    </row>
    <row r="249" spans="1:6" ht="28.5" customHeight="1">
      <c r="A249" s="21" t="s">
        <v>389</v>
      </c>
      <c r="B249" s="16"/>
      <c r="C249" s="104" t="s">
        <v>391</v>
      </c>
      <c r="D249" s="98">
        <f>D250</f>
        <v>196.3</v>
      </c>
      <c r="E249" s="98">
        <f t="shared" ref="E249" si="77">E250</f>
        <v>190.3</v>
      </c>
      <c r="F249" s="99">
        <f t="shared" si="57"/>
        <v>96.9</v>
      </c>
    </row>
    <row r="250" spans="1:6" ht="38.25">
      <c r="A250" s="80" t="s">
        <v>201</v>
      </c>
      <c r="B250" s="3"/>
      <c r="C250" s="102" t="s">
        <v>390</v>
      </c>
      <c r="D250" s="41">
        <f>SUM(D251:D251)</f>
        <v>196.3</v>
      </c>
      <c r="E250" s="41">
        <f>SUM(E251:E251)</f>
        <v>190.3</v>
      </c>
      <c r="F250" s="99">
        <f t="shared" si="57"/>
        <v>96.9</v>
      </c>
    </row>
    <row r="251" spans="1:6" ht="38.25">
      <c r="A251" s="80" t="s">
        <v>201</v>
      </c>
      <c r="B251" s="85" t="s">
        <v>314</v>
      </c>
      <c r="C251" s="102" t="s">
        <v>315</v>
      </c>
      <c r="D251" s="41">
        <f>100+96.3</f>
        <v>196.3</v>
      </c>
      <c r="E251" s="41">
        <v>190.3</v>
      </c>
      <c r="F251" s="99">
        <f t="shared" si="57"/>
        <v>96.9</v>
      </c>
    </row>
    <row r="252" spans="1:6" ht="25.5">
      <c r="A252" s="21" t="s">
        <v>456</v>
      </c>
      <c r="B252" s="16"/>
      <c r="C252" s="104" t="s">
        <v>392</v>
      </c>
      <c r="D252" s="98">
        <f>D253</f>
        <v>1905.6000000000001</v>
      </c>
      <c r="E252" s="98">
        <f t="shared" ref="E252:E253" si="78">E253</f>
        <v>1901.2</v>
      </c>
      <c r="F252" s="99">
        <f t="shared" si="57"/>
        <v>99.8</v>
      </c>
    </row>
    <row r="253" spans="1:6" ht="25.5">
      <c r="A253" s="80" t="s">
        <v>202</v>
      </c>
      <c r="B253" s="3"/>
      <c r="C253" s="102" t="s">
        <v>593</v>
      </c>
      <c r="D253" s="41">
        <f>D254</f>
        <v>1905.6000000000001</v>
      </c>
      <c r="E253" s="41">
        <f t="shared" si="78"/>
        <v>1901.2</v>
      </c>
      <c r="F253" s="99">
        <f t="shared" si="57"/>
        <v>99.8</v>
      </c>
    </row>
    <row r="254" spans="1:6" ht="38.25">
      <c r="A254" s="80" t="s">
        <v>202</v>
      </c>
      <c r="B254" s="85" t="s">
        <v>314</v>
      </c>
      <c r="C254" s="102" t="s">
        <v>315</v>
      </c>
      <c r="D254" s="41">
        <f>1259.8+500-170+1150-222-612.2</f>
        <v>1905.6000000000001</v>
      </c>
      <c r="E254" s="41">
        <v>1901.2</v>
      </c>
      <c r="F254" s="99">
        <f t="shared" si="57"/>
        <v>99.8</v>
      </c>
    </row>
    <row r="255" spans="1:6" ht="38.25">
      <c r="A255" s="52" t="s">
        <v>207</v>
      </c>
      <c r="B255" s="16"/>
      <c r="C255" s="48" t="s">
        <v>203</v>
      </c>
      <c r="D255" s="98">
        <f>D256+D263</f>
        <v>2801.3999999999996</v>
      </c>
      <c r="E255" s="98">
        <f>E256+E263</f>
        <v>2310.9</v>
      </c>
      <c r="F255" s="58">
        <f t="shared" si="57"/>
        <v>82.5</v>
      </c>
    </row>
    <row r="256" spans="1:6" ht="25.5">
      <c r="A256" s="21" t="s">
        <v>393</v>
      </c>
      <c r="B256" s="85"/>
      <c r="C256" s="104" t="s">
        <v>394</v>
      </c>
      <c r="D256" s="98">
        <f>D257+D259+D261</f>
        <v>668.2</v>
      </c>
      <c r="E256" s="98">
        <f>E257+E259+E261</f>
        <v>657.2</v>
      </c>
      <c r="F256" s="99">
        <f t="shared" si="57"/>
        <v>98.4</v>
      </c>
    </row>
    <row r="257" spans="1:6" ht="102">
      <c r="A257" s="80" t="s">
        <v>586</v>
      </c>
      <c r="B257" s="3"/>
      <c r="C257" s="102" t="s">
        <v>395</v>
      </c>
      <c r="D257" s="41">
        <f>D258</f>
        <v>248.2</v>
      </c>
      <c r="E257" s="41">
        <f>E258</f>
        <v>248.2</v>
      </c>
      <c r="F257" s="99">
        <f t="shared" si="57"/>
        <v>100</v>
      </c>
    </row>
    <row r="258" spans="1:6" ht="38.25">
      <c r="A258" s="80" t="s">
        <v>586</v>
      </c>
      <c r="B258" s="85" t="s">
        <v>314</v>
      </c>
      <c r="C258" s="102" t="s">
        <v>315</v>
      </c>
      <c r="D258" s="41">
        <f>100+222+78.7-152.5</f>
        <v>248.2</v>
      </c>
      <c r="E258" s="41">
        <f>100+222+78.7-152.5</f>
        <v>248.2</v>
      </c>
      <c r="F258" s="99">
        <f t="shared" ref="F258:F317" si="79">ROUND((E258/D258*100),1)</f>
        <v>100</v>
      </c>
    </row>
    <row r="259" spans="1:6" ht="38.25">
      <c r="A259" s="80" t="s">
        <v>204</v>
      </c>
      <c r="B259" s="16"/>
      <c r="C259" s="102" t="s">
        <v>457</v>
      </c>
      <c r="D259" s="41">
        <f>D260</f>
        <v>20</v>
      </c>
      <c r="E259" s="41">
        <f t="shared" ref="E259" si="80">E260</f>
        <v>9</v>
      </c>
      <c r="F259" s="99">
        <f t="shared" si="79"/>
        <v>45</v>
      </c>
    </row>
    <row r="260" spans="1:6" ht="38.25">
      <c r="A260" s="80" t="s">
        <v>204</v>
      </c>
      <c r="B260" s="85" t="s">
        <v>314</v>
      </c>
      <c r="C260" s="102" t="s">
        <v>315</v>
      </c>
      <c r="D260" s="41">
        <v>20</v>
      </c>
      <c r="E260" s="41">
        <v>9</v>
      </c>
      <c r="F260" s="99">
        <f t="shared" si="79"/>
        <v>45</v>
      </c>
    </row>
    <row r="261" spans="1:6">
      <c r="A261" s="80" t="s">
        <v>641</v>
      </c>
      <c r="B261" s="16"/>
      <c r="C261" s="102" t="s">
        <v>629</v>
      </c>
      <c r="D261" s="41">
        <f>D262</f>
        <v>400</v>
      </c>
      <c r="E261" s="41">
        <f t="shared" ref="E261" si="81">E262</f>
        <v>400</v>
      </c>
      <c r="F261" s="99">
        <f t="shared" si="79"/>
        <v>100</v>
      </c>
    </row>
    <row r="262" spans="1:6" ht="38.25">
      <c r="A262" s="80" t="s">
        <v>641</v>
      </c>
      <c r="B262" s="85" t="s">
        <v>314</v>
      </c>
      <c r="C262" s="102" t="s">
        <v>315</v>
      </c>
      <c r="D262" s="41">
        <f>100+540-240</f>
        <v>400</v>
      </c>
      <c r="E262" s="41">
        <f>100+540-240</f>
        <v>400</v>
      </c>
      <c r="F262" s="99">
        <f t="shared" si="79"/>
        <v>100</v>
      </c>
    </row>
    <row r="263" spans="1:6" ht="25.5">
      <c r="A263" s="21" t="s">
        <v>396</v>
      </c>
      <c r="B263" s="85"/>
      <c r="C263" s="104" t="s">
        <v>397</v>
      </c>
      <c r="D263" s="41">
        <f>D264+D266</f>
        <v>2133.1999999999998</v>
      </c>
      <c r="E263" s="41">
        <f>E264+E266</f>
        <v>1653.7</v>
      </c>
      <c r="F263" s="99">
        <f t="shared" si="79"/>
        <v>77.5</v>
      </c>
    </row>
    <row r="264" spans="1:6" ht="38.25">
      <c r="A264" s="21" t="s">
        <v>526</v>
      </c>
      <c r="B264" s="85"/>
      <c r="C264" s="104" t="s">
        <v>399</v>
      </c>
      <c r="D264" s="41">
        <f>D265</f>
        <v>479.5</v>
      </c>
      <c r="E264" s="41">
        <f t="shared" ref="E264" si="82">E265</f>
        <v>0</v>
      </c>
      <c r="F264" s="99">
        <f t="shared" si="79"/>
        <v>0</v>
      </c>
    </row>
    <row r="265" spans="1:6">
      <c r="A265" s="21" t="s">
        <v>526</v>
      </c>
      <c r="B265" s="84" t="s">
        <v>180</v>
      </c>
      <c r="C265" s="102" t="s">
        <v>181</v>
      </c>
      <c r="D265" s="112">
        <f>600-120.5</f>
        <v>479.5</v>
      </c>
      <c r="E265" s="41">
        <v>0</v>
      </c>
      <c r="F265" s="99">
        <f t="shared" si="79"/>
        <v>0</v>
      </c>
    </row>
    <row r="266" spans="1:6" ht="51">
      <c r="A266" s="21" t="s">
        <v>398</v>
      </c>
      <c r="B266" s="85"/>
      <c r="C266" s="104" t="s">
        <v>486</v>
      </c>
      <c r="D266" s="41">
        <f>D267</f>
        <v>1653.7</v>
      </c>
      <c r="E266" s="41">
        <f t="shared" ref="E266" si="83">E267</f>
        <v>1653.7</v>
      </c>
      <c r="F266" s="99">
        <f t="shared" si="79"/>
        <v>100</v>
      </c>
    </row>
    <row r="267" spans="1:6">
      <c r="A267" s="21" t="s">
        <v>398</v>
      </c>
      <c r="B267" s="114" t="s">
        <v>372</v>
      </c>
      <c r="C267" s="111" t="s">
        <v>401</v>
      </c>
      <c r="D267" s="112">
        <f>1803.7-78.7-71.3</f>
        <v>1653.7</v>
      </c>
      <c r="E267" s="112">
        <f>1803.7-78.7-71.3</f>
        <v>1653.7</v>
      </c>
      <c r="F267" s="99">
        <f t="shared" si="79"/>
        <v>100</v>
      </c>
    </row>
    <row r="268" spans="1:6" ht="38.25">
      <c r="A268" s="52" t="s">
        <v>208</v>
      </c>
      <c r="B268" s="16"/>
      <c r="C268" s="48" t="s">
        <v>205</v>
      </c>
      <c r="D268" s="98">
        <f>D269+D272</f>
        <v>16918.5</v>
      </c>
      <c r="E268" s="98">
        <f t="shared" ref="E268" si="84">E269+E272</f>
        <v>16908.5</v>
      </c>
      <c r="F268" s="58">
        <f t="shared" si="79"/>
        <v>99.9</v>
      </c>
    </row>
    <row r="269" spans="1:6" ht="63.75">
      <c r="A269" s="21" t="s">
        <v>402</v>
      </c>
      <c r="B269" s="85"/>
      <c r="C269" s="104" t="s">
        <v>480</v>
      </c>
      <c r="D269" s="103">
        <f>D270</f>
        <v>1487.8000000000002</v>
      </c>
      <c r="E269" s="103">
        <f t="shared" ref="E269:E270" si="85">E270</f>
        <v>1477.8</v>
      </c>
      <c r="F269" s="99">
        <f t="shared" si="79"/>
        <v>99.3</v>
      </c>
    </row>
    <row r="270" spans="1:6" ht="51">
      <c r="A270" s="80" t="s">
        <v>210</v>
      </c>
      <c r="B270" s="16"/>
      <c r="C270" s="102" t="s">
        <v>209</v>
      </c>
      <c r="D270" s="41">
        <f>D271</f>
        <v>1487.8000000000002</v>
      </c>
      <c r="E270" s="41">
        <f t="shared" si="85"/>
        <v>1477.8</v>
      </c>
      <c r="F270" s="99">
        <f t="shared" si="79"/>
        <v>99.3</v>
      </c>
    </row>
    <row r="271" spans="1:6" ht="38.25">
      <c r="A271" s="80" t="s">
        <v>210</v>
      </c>
      <c r="B271" s="85" t="s">
        <v>314</v>
      </c>
      <c r="C271" s="102" t="s">
        <v>315</v>
      </c>
      <c r="D271" s="41">
        <f>2926.9-209.1-1230</f>
        <v>1487.8000000000002</v>
      </c>
      <c r="E271" s="153">
        <v>1477.8</v>
      </c>
      <c r="F271" s="99">
        <f t="shared" si="79"/>
        <v>99.3</v>
      </c>
    </row>
    <row r="272" spans="1:6" ht="51">
      <c r="A272" s="21" t="s">
        <v>404</v>
      </c>
      <c r="B272" s="16"/>
      <c r="C272" s="104" t="s">
        <v>405</v>
      </c>
      <c r="D272" s="41">
        <f>D273+D275</f>
        <v>15430.7</v>
      </c>
      <c r="E272" s="41">
        <f t="shared" ref="E272" si="86">E273+E275</f>
        <v>15430.7</v>
      </c>
      <c r="F272" s="99">
        <f t="shared" si="79"/>
        <v>100</v>
      </c>
    </row>
    <row r="273" spans="1:7" ht="51">
      <c r="A273" s="80" t="s">
        <v>211</v>
      </c>
      <c r="B273" s="16"/>
      <c r="C273" s="102" t="s">
        <v>465</v>
      </c>
      <c r="D273" s="41">
        <f>D274</f>
        <v>2279.1</v>
      </c>
      <c r="E273" s="41">
        <f t="shared" ref="E273" si="87">E274</f>
        <v>2279.1</v>
      </c>
      <c r="F273" s="58">
        <f t="shared" si="79"/>
        <v>100</v>
      </c>
    </row>
    <row r="274" spans="1:7" ht="38.25">
      <c r="A274" s="80" t="s">
        <v>211</v>
      </c>
      <c r="B274" s="85" t="s">
        <v>314</v>
      </c>
      <c r="C274" s="102" t="s">
        <v>315</v>
      </c>
      <c r="D274" s="41">
        <f>2800-520.9</f>
        <v>2279.1</v>
      </c>
      <c r="E274" s="41">
        <f>2800-520.9</f>
        <v>2279.1</v>
      </c>
      <c r="F274" s="99">
        <f t="shared" si="79"/>
        <v>100</v>
      </c>
    </row>
    <row r="275" spans="1:7" ht="51">
      <c r="A275" s="80" t="s">
        <v>618</v>
      </c>
      <c r="B275" s="16"/>
      <c r="C275" s="54" t="s">
        <v>631</v>
      </c>
      <c r="D275" s="41">
        <f>D276</f>
        <v>13151.6</v>
      </c>
      <c r="E275" s="41">
        <f t="shared" ref="E275" si="88">E276</f>
        <v>13151.6</v>
      </c>
      <c r="F275" s="58">
        <f t="shared" si="79"/>
        <v>100</v>
      </c>
    </row>
    <row r="276" spans="1:7" ht="38.25">
      <c r="A276" s="80" t="s">
        <v>618</v>
      </c>
      <c r="B276" s="85" t="s">
        <v>314</v>
      </c>
      <c r="C276" s="102" t="s">
        <v>315</v>
      </c>
      <c r="D276" s="41">
        <f>8233.5+4918.1</f>
        <v>13151.6</v>
      </c>
      <c r="E276" s="41">
        <f>8233.5+4918.1</f>
        <v>13151.6</v>
      </c>
      <c r="F276" s="99">
        <f t="shared" si="79"/>
        <v>100</v>
      </c>
    </row>
    <row r="277" spans="1:7" ht="38.25">
      <c r="A277" s="78" t="s">
        <v>106</v>
      </c>
      <c r="B277" s="16"/>
      <c r="C277" s="63" t="s">
        <v>516</v>
      </c>
      <c r="D277" s="100">
        <f>D278</f>
        <v>70.599999999999994</v>
      </c>
      <c r="E277" s="100">
        <f t="shared" ref="E277:E279" si="89">E278</f>
        <v>70.599999999999994</v>
      </c>
      <c r="F277" s="62">
        <f t="shared" si="79"/>
        <v>100</v>
      </c>
    </row>
    <row r="278" spans="1:7" ht="25.5">
      <c r="A278" s="77" t="s">
        <v>107</v>
      </c>
      <c r="B278" s="16"/>
      <c r="C278" s="60" t="s">
        <v>105</v>
      </c>
      <c r="D278" s="98">
        <f>D279</f>
        <v>70.599999999999994</v>
      </c>
      <c r="E278" s="98">
        <f t="shared" si="89"/>
        <v>70.599999999999994</v>
      </c>
      <c r="F278" s="58">
        <f t="shared" si="79"/>
        <v>100</v>
      </c>
    </row>
    <row r="279" spans="1:7" ht="25.5">
      <c r="A279" s="74">
        <v>610100000</v>
      </c>
      <c r="B279" s="16"/>
      <c r="C279" s="102" t="s">
        <v>348</v>
      </c>
      <c r="D279" s="103">
        <f>D280</f>
        <v>70.599999999999994</v>
      </c>
      <c r="E279" s="103">
        <f t="shared" si="89"/>
        <v>70.599999999999994</v>
      </c>
      <c r="F279" s="99">
        <f t="shared" si="79"/>
        <v>100</v>
      </c>
    </row>
    <row r="280" spans="1:7" ht="38.25">
      <c r="A280" s="74" t="s">
        <v>199</v>
      </c>
      <c r="B280" s="16"/>
      <c r="C280" s="102" t="s">
        <v>200</v>
      </c>
      <c r="D280" s="41">
        <f>D281</f>
        <v>70.599999999999994</v>
      </c>
      <c r="E280" s="41">
        <f t="shared" ref="E280" si="90">E281</f>
        <v>70.599999999999994</v>
      </c>
      <c r="F280" s="99">
        <f t="shared" si="79"/>
        <v>100</v>
      </c>
    </row>
    <row r="281" spans="1:7" ht="38.25">
      <c r="A281" s="74" t="s">
        <v>199</v>
      </c>
      <c r="B281" s="85" t="s">
        <v>314</v>
      </c>
      <c r="C281" s="102" t="s">
        <v>315</v>
      </c>
      <c r="D281" s="41">
        <f>76-5.4</f>
        <v>70.599999999999994</v>
      </c>
      <c r="E281" s="41">
        <f>76-5.4</f>
        <v>70.599999999999994</v>
      </c>
      <c r="F281" s="99">
        <f t="shared" si="79"/>
        <v>100</v>
      </c>
    </row>
    <row r="282" spans="1:7" ht="63.75">
      <c r="A282" s="83" t="s">
        <v>42</v>
      </c>
      <c r="B282" s="16"/>
      <c r="C282" s="53" t="s">
        <v>534</v>
      </c>
      <c r="D282" s="100">
        <f>D283+D292+D296+D311+D317</f>
        <v>62967.6</v>
      </c>
      <c r="E282" s="100">
        <f>E283+E292+E296+E311+E317</f>
        <v>55104.800000000003</v>
      </c>
      <c r="F282" s="62">
        <f t="shared" si="79"/>
        <v>87.5</v>
      </c>
    </row>
    <row r="283" spans="1:7" ht="25.5">
      <c r="A283" s="52" t="s">
        <v>43</v>
      </c>
      <c r="B283" s="16"/>
      <c r="C283" s="48" t="s">
        <v>267</v>
      </c>
      <c r="D283" s="98">
        <f>D284+D287</f>
        <v>492</v>
      </c>
      <c r="E283" s="98">
        <f t="shared" ref="E283" si="91">E284+E287</f>
        <v>456.5</v>
      </c>
      <c r="F283" s="58">
        <f t="shared" si="79"/>
        <v>92.8</v>
      </c>
      <c r="G283" s="108"/>
    </row>
    <row r="284" spans="1:7" ht="38.25">
      <c r="A284" s="21" t="s">
        <v>350</v>
      </c>
      <c r="B284" s="16"/>
      <c r="C284" s="104" t="s">
        <v>349</v>
      </c>
      <c r="D284" s="98">
        <f>D285</f>
        <v>400</v>
      </c>
      <c r="E284" s="98">
        <f t="shared" ref="E284" si="92">E285</f>
        <v>391.3</v>
      </c>
      <c r="F284" s="99">
        <f t="shared" si="79"/>
        <v>97.8</v>
      </c>
    </row>
    <row r="285" spans="1:7" ht="25.5">
      <c r="A285" s="21" t="s">
        <v>295</v>
      </c>
      <c r="B285" s="3"/>
      <c r="C285" s="102" t="s">
        <v>268</v>
      </c>
      <c r="D285" s="41">
        <f>D286</f>
        <v>400</v>
      </c>
      <c r="E285" s="41">
        <f t="shared" ref="E285" si="93">E286</f>
        <v>391.3</v>
      </c>
      <c r="F285" s="99">
        <f t="shared" si="79"/>
        <v>97.8</v>
      </c>
    </row>
    <row r="286" spans="1:7" ht="38.25">
      <c r="A286" s="21" t="s">
        <v>295</v>
      </c>
      <c r="B286" s="85" t="s">
        <v>314</v>
      </c>
      <c r="C286" s="102" t="s">
        <v>315</v>
      </c>
      <c r="D286" s="41">
        <v>400</v>
      </c>
      <c r="E286" s="39">
        <v>391.3</v>
      </c>
      <c r="F286" s="99">
        <f t="shared" si="79"/>
        <v>97.8</v>
      </c>
      <c r="G286" s="108"/>
    </row>
    <row r="287" spans="1:7" ht="38.25">
      <c r="A287" s="21" t="s">
        <v>577</v>
      </c>
      <c r="B287" s="85"/>
      <c r="C287" s="104" t="s">
        <v>576</v>
      </c>
      <c r="D287" s="41">
        <f>D288+D290</f>
        <v>92</v>
      </c>
      <c r="E287" s="41">
        <f t="shared" ref="E287" si="94">E288+E290</f>
        <v>65.2</v>
      </c>
      <c r="F287" s="99">
        <f t="shared" si="79"/>
        <v>70.900000000000006</v>
      </c>
      <c r="G287" s="108"/>
    </row>
    <row r="288" spans="1:7" ht="25.5">
      <c r="A288" s="21" t="s">
        <v>574</v>
      </c>
      <c r="B288" s="16"/>
      <c r="C288" s="102" t="s">
        <v>575</v>
      </c>
      <c r="D288" s="41">
        <f>D289</f>
        <v>40</v>
      </c>
      <c r="E288" s="41">
        <f>E289</f>
        <v>13.2</v>
      </c>
      <c r="F288" s="99">
        <f t="shared" si="79"/>
        <v>33</v>
      </c>
      <c r="G288" s="108"/>
    </row>
    <row r="289" spans="1:7" ht="38.25">
      <c r="A289" s="21" t="s">
        <v>574</v>
      </c>
      <c r="B289" s="85" t="s">
        <v>314</v>
      </c>
      <c r="C289" s="102" t="s">
        <v>315</v>
      </c>
      <c r="D289" s="41">
        <v>40</v>
      </c>
      <c r="E289" s="41">
        <v>13.2</v>
      </c>
      <c r="F289" s="99">
        <f t="shared" si="79"/>
        <v>33</v>
      </c>
      <c r="G289" s="108"/>
    </row>
    <row r="290" spans="1:7" ht="30" customHeight="1">
      <c r="A290" s="21" t="s">
        <v>648</v>
      </c>
      <c r="B290" s="85"/>
      <c r="C290" s="102" t="s">
        <v>649</v>
      </c>
      <c r="D290" s="41">
        <f>D291</f>
        <v>52</v>
      </c>
      <c r="E290" s="41">
        <f>E291</f>
        <v>52</v>
      </c>
      <c r="F290" s="99">
        <f t="shared" si="79"/>
        <v>100</v>
      </c>
      <c r="G290" s="108"/>
    </row>
    <row r="291" spans="1:7" ht="38.25">
      <c r="A291" s="21" t="s">
        <v>648</v>
      </c>
      <c r="B291" s="85" t="s">
        <v>314</v>
      </c>
      <c r="C291" s="102" t="s">
        <v>315</v>
      </c>
      <c r="D291" s="41">
        <f>60-8</f>
        <v>52</v>
      </c>
      <c r="E291" s="41">
        <v>52</v>
      </c>
      <c r="F291" s="99">
        <f t="shared" si="79"/>
        <v>100</v>
      </c>
      <c r="G291" s="108"/>
    </row>
    <row r="292" spans="1:7" ht="25.5">
      <c r="A292" s="52" t="s">
        <v>712</v>
      </c>
      <c r="B292" s="16"/>
      <c r="C292" s="60" t="s">
        <v>713</v>
      </c>
      <c r="D292" s="98">
        <f>D293</f>
        <v>8154.3</v>
      </c>
      <c r="E292" s="98">
        <f t="shared" ref="E292:E294" si="95">E293</f>
        <v>8128.8</v>
      </c>
      <c r="F292" s="58">
        <f t="shared" si="79"/>
        <v>99.7</v>
      </c>
      <c r="G292" s="108"/>
    </row>
    <row r="293" spans="1:7" ht="38.25">
      <c r="A293" s="21" t="s">
        <v>714</v>
      </c>
      <c r="B293" s="16"/>
      <c r="C293" s="104" t="s">
        <v>715</v>
      </c>
      <c r="D293" s="41">
        <f>D294</f>
        <v>8154.3</v>
      </c>
      <c r="E293" s="41">
        <f t="shared" si="95"/>
        <v>8128.8</v>
      </c>
      <c r="F293" s="58">
        <f t="shared" si="79"/>
        <v>99.7</v>
      </c>
      <c r="G293" s="108"/>
    </row>
    <row r="294" spans="1:7" ht="25.5">
      <c r="A294" s="21" t="s">
        <v>714</v>
      </c>
      <c r="B294" s="16"/>
      <c r="C294" s="102" t="s">
        <v>716</v>
      </c>
      <c r="D294" s="41">
        <f>D295</f>
        <v>8154.3</v>
      </c>
      <c r="E294" s="41">
        <f t="shared" si="95"/>
        <v>8128.8</v>
      </c>
      <c r="F294" s="99">
        <f t="shared" si="79"/>
        <v>99.7</v>
      </c>
      <c r="G294" s="108"/>
    </row>
    <row r="295" spans="1:7" ht="38.25">
      <c r="A295" s="21" t="s">
        <v>714</v>
      </c>
      <c r="B295" s="85" t="s">
        <v>314</v>
      </c>
      <c r="C295" s="102" t="s">
        <v>315</v>
      </c>
      <c r="D295" s="41">
        <f>5500+640+1751.1+263.2</f>
        <v>8154.3</v>
      </c>
      <c r="E295" s="41">
        <v>8128.8</v>
      </c>
      <c r="F295" s="99">
        <f t="shared" si="79"/>
        <v>99.7</v>
      </c>
      <c r="G295" s="108"/>
    </row>
    <row r="296" spans="1:7" ht="25.5">
      <c r="A296" s="52" t="s">
        <v>44</v>
      </c>
      <c r="B296" s="16"/>
      <c r="C296" s="46" t="s">
        <v>617</v>
      </c>
      <c r="D296" s="98">
        <f>D297+D300+D305+D308</f>
        <v>23884.6</v>
      </c>
      <c r="E296" s="98">
        <f>E297+E300+E305+E308</f>
        <v>16906.7</v>
      </c>
      <c r="F296" s="58">
        <f t="shared" si="79"/>
        <v>70.8</v>
      </c>
      <c r="G296" s="108"/>
    </row>
    <row r="297" spans="1:7" ht="38.25">
      <c r="A297" s="21" t="s">
        <v>351</v>
      </c>
      <c r="B297" s="16"/>
      <c r="C297" s="104" t="s">
        <v>464</v>
      </c>
      <c r="D297" s="103">
        <f>D298</f>
        <v>7352.5999999999985</v>
      </c>
      <c r="E297" s="103">
        <f>E298</f>
        <v>3155.6</v>
      </c>
      <c r="F297" s="99">
        <f t="shared" si="79"/>
        <v>42.9</v>
      </c>
    </row>
    <row r="298" spans="1:7" ht="25.5">
      <c r="A298" s="21" t="s">
        <v>441</v>
      </c>
      <c r="B298" s="16"/>
      <c r="C298" s="102" t="s">
        <v>322</v>
      </c>
      <c r="D298" s="41">
        <f>D299</f>
        <v>7352.5999999999985</v>
      </c>
      <c r="E298" s="41">
        <f t="shared" ref="E298" si="96">E299</f>
        <v>3155.6</v>
      </c>
      <c r="F298" s="99">
        <f t="shared" si="79"/>
        <v>42.9</v>
      </c>
    </row>
    <row r="299" spans="1:7" ht="38.25">
      <c r="A299" s="21" t="s">
        <v>441</v>
      </c>
      <c r="B299" s="85" t="s">
        <v>314</v>
      </c>
      <c r="C299" s="102" t="s">
        <v>315</v>
      </c>
      <c r="D299" s="41">
        <f>265+1800-550+2663.4+3569.9-100-1560-71.3-740.1+185+2190.7-300</f>
        <v>7352.5999999999985</v>
      </c>
      <c r="E299" s="39">
        <v>3155.6</v>
      </c>
      <c r="F299" s="99">
        <f t="shared" si="79"/>
        <v>42.9</v>
      </c>
    </row>
    <row r="300" spans="1:7" ht="25.5">
      <c r="A300" s="21" t="s">
        <v>708</v>
      </c>
      <c r="B300" s="85"/>
      <c r="C300" s="104" t="s">
        <v>709</v>
      </c>
      <c r="D300" s="41">
        <f>D301+D303</f>
        <v>10737.5</v>
      </c>
      <c r="E300" s="41">
        <f t="shared" ref="E300" si="97">E301+E303</f>
        <v>7996.6</v>
      </c>
      <c r="F300" s="99">
        <f t="shared" si="79"/>
        <v>74.5</v>
      </c>
    </row>
    <row r="301" spans="1:7" ht="25.5">
      <c r="A301" s="21" t="s">
        <v>710</v>
      </c>
      <c r="B301" s="16"/>
      <c r="C301" s="102" t="s">
        <v>711</v>
      </c>
      <c r="D301" s="41">
        <f>D302</f>
        <v>1614.6</v>
      </c>
      <c r="E301" s="41">
        <f>E302</f>
        <v>1614.6</v>
      </c>
      <c r="F301" s="99">
        <f t="shared" si="79"/>
        <v>100</v>
      </c>
    </row>
    <row r="302" spans="1:7" ht="38.25">
      <c r="A302" s="21" t="s">
        <v>710</v>
      </c>
      <c r="B302" s="85" t="s">
        <v>314</v>
      </c>
      <c r="C302" s="102" t="s">
        <v>315</v>
      </c>
      <c r="D302" s="41">
        <f>4926.7-2646-666.1</f>
        <v>1614.6</v>
      </c>
      <c r="E302" s="41">
        <f>4926.7-2646-666.1</f>
        <v>1614.6</v>
      </c>
      <c r="F302" s="99">
        <f t="shared" si="79"/>
        <v>100</v>
      </c>
    </row>
    <row r="303" spans="1:7" ht="38.25">
      <c r="A303" s="21" t="s">
        <v>740</v>
      </c>
      <c r="B303" s="16"/>
      <c r="C303" s="102" t="s">
        <v>741</v>
      </c>
      <c r="D303" s="41">
        <f>D304</f>
        <v>9122.9</v>
      </c>
      <c r="E303" s="41">
        <f>E304</f>
        <v>6382</v>
      </c>
      <c r="F303" s="99">
        <f t="shared" si="79"/>
        <v>70</v>
      </c>
    </row>
    <row r="304" spans="1:7" ht="38.25">
      <c r="A304" s="21" t="s">
        <v>740</v>
      </c>
      <c r="B304" s="85" t="s">
        <v>314</v>
      </c>
      <c r="C304" s="102" t="s">
        <v>315</v>
      </c>
      <c r="D304" s="41">
        <v>9122.9</v>
      </c>
      <c r="E304" s="41">
        <v>6382</v>
      </c>
      <c r="F304" s="99">
        <f t="shared" si="79"/>
        <v>70</v>
      </c>
    </row>
    <row r="305" spans="1:7" ht="25.5">
      <c r="A305" s="21" t="s">
        <v>669</v>
      </c>
      <c r="B305" s="85"/>
      <c r="C305" s="102" t="s">
        <v>670</v>
      </c>
      <c r="D305" s="41">
        <f>D306</f>
        <v>210</v>
      </c>
      <c r="E305" s="41">
        <f t="shared" ref="E305" si="98">E306</f>
        <v>170</v>
      </c>
      <c r="F305" s="99">
        <f t="shared" si="79"/>
        <v>81</v>
      </c>
    </row>
    <row r="306" spans="1:7" ht="51">
      <c r="A306" s="21" t="s">
        <v>667</v>
      </c>
      <c r="B306" s="85"/>
      <c r="C306" s="102" t="s">
        <v>668</v>
      </c>
      <c r="D306" s="41">
        <f>D307</f>
        <v>210</v>
      </c>
      <c r="E306" s="41">
        <f t="shared" ref="E306" si="99">E307</f>
        <v>170</v>
      </c>
      <c r="F306" s="99">
        <f t="shared" si="79"/>
        <v>81</v>
      </c>
    </row>
    <row r="307" spans="1:7" ht="38.25">
      <c r="A307" s="21" t="s">
        <v>667</v>
      </c>
      <c r="B307" s="85" t="s">
        <v>314</v>
      </c>
      <c r="C307" s="102" t="s">
        <v>315</v>
      </c>
      <c r="D307" s="41">
        <f>210+300+773.2-1073.2</f>
        <v>210</v>
      </c>
      <c r="E307" s="41">
        <v>170</v>
      </c>
      <c r="F307" s="99">
        <f t="shared" si="79"/>
        <v>81</v>
      </c>
    </row>
    <row r="308" spans="1:7" ht="25.5">
      <c r="A308" s="21" t="s">
        <v>723</v>
      </c>
      <c r="B308" s="85"/>
      <c r="C308" s="102" t="s">
        <v>724</v>
      </c>
      <c r="D308" s="41">
        <f>D309</f>
        <v>5584.5</v>
      </c>
      <c r="E308" s="41">
        <f t="shared" ref="E308:E309" si="100">E309</f>
        <v>5584.5</v>
      </c>
      <c r="F308" s="99">
        <f t="shared" si="79"/>
        <v>100</v>
      </c>
    </row>
    <row r="309" spans="1:7" ht="25.5">
      <c r="A309" s="162" t="s">
        <v>721</v>
      </c>
      <c r="B309" s="85"/>
      <c r="C309" s="161" t="s">
        <v>722</v>
      </c>
      <c r="D309" s="41">
        <f>D310</f>
        <v>5584.5</v>
      </c>
      <c r="E309" s="41">
        <f t="shared" si="100"/>
        <v>5584.5</v>
      </c>
      <c r="F309" s="99">
        <f t="shared" si="79"/>
        <v>100</v>
      </c>
    </row>
    <row r="310" spans="1:7">
      <c r="A310" s="51" t="s">
        <v>721</v>
      </c>
      <c r="B310" s="114" t="s">
        <v>372</v>
      </c>
      <c r="C310" s="111" t="s">
        <v>401</v>
      </c>
      <c r="D310" s="41">
        <f>5584.6-0.1</f>
        <v>5584.5</v>
      </c>
      <c r="E310" s="41">
        <f>5584.6-0.1</f>
        <v>5584.5</v>
      </c>
      <c r="F310" s="99">
        <f t="shared" si="79"/>
        <v>100</v>
      </c>
    </row>
    <row r="311" spans="1:7" ht="38.25">
      <c r="A311" s="52" t="s">
        <v>269</v>
      </c>
      <c r="B311" s="16"/>
      <c r="C311" s="60" t="s">
        <v>296</v>
      </c>
      <c r="D311" s="98">
        <f>D312</f>
        <v>17065.3</v>
      </c>
      <c r="E311" s="98">
        <f t="shared" ref="E311" si="101">E312</f>
        <v>16346.8</v>
      </c>
      <c r="F311" s="58">
        <f t="shared" si="79"/>
        <v>95.8</v>
      </c>
      <c r="G311" s="108"/>
    </row>
    <row r="312" spans="1:7" ht="51">
      <c r="A312" s="21" t="s">
        <v>353</v>
      </c>
      <c r="B312" s="16"/>
      <c r="C312" s="104" t="s">
        <v>352</v>
      </c>
      <c r="D312" s="98">
        <f>D313+D315</f>
        <v>17065.3</v>
      </c>
      <c r="E312" s="98">
        <f t="shared" ref="E312" si="102">E313+E315</f>
        <v>16346.8</v>
      </c>
      <c r="F312" s="99">
        <f t="shared" si="79"/>
        <v>95.8</v>
      </c>
    </row>
    <row r="313" spans="1:7" ht="38.25">
      <c r="A313" s="21" t="s">
        <v>272</v>
      </c>
      <c r="B313" s="85"/>
      <c r="C313" s="102" t="s">
        <v>606</v>
      </c>
      <c r="D313" s="41">
        <f>D314</f>
        <v>7586.4000000000005</v>
      </c>
      <c r="E313" s="41">
        <f t="shared" ref="E313" si="103">E314</f>
        <v>7512.8</v>
      </c>
      <c r="F313" s="99">
        <f t="shared" si="79"/>
        <v>99</v>
      </c>
    </row>
    <row r="314" spans="1:7" ht="38.25">
      <c r="A314" s="21" t="s">
        <v>272</v>
      </c>
      <c r="B314" s="85" t="s">
        <v>314</v>
      </c>
      <c r="C314" s="102" t="s">
        <v>315</v>
      </c>
      <c r="D314" s="41">
        <f>7778.2-53.4-12.5-125.9</f>
        <v>7586.4000000000005</v>
      </c>
      <c r="E314" s="41">
        <v>7512.8</v>
      </c>
      <c r="F314" s="99">
        <f t="shared" si="79"/>
        <v>99</v>
      </c>
    </row>
    <row r="315" spans="1:7" ht="18.75" customHeight="1">
      <c r="A315" s="21" t="s">
        <v>605</v>
      </c>
      <c r="B315" s="16"/>
      <c r="C315" s="102" t="s">
        <v>273</v>
      </c>
      <c r="D315" s="41">
        <f>D316</f>
        <v>9478.9</v>
      </c>
      <c r="E315" s="41">
        <f t="shared" ref="E315" si="104">E316</f>
        <v>8834</v>
      </c>
      <c r="F315" s="99">
        <f t="shared" si="79"/>
        <v>93.2</v>
      </c>
    </row>
    <row r="316" spans="1:7" ht="38.25">
      <c r="A316" s="21" t="s">
        <v>605</v>
      </c>
      <c r="B316" s="85" t="s">
        <v>314</v>
      </c>
      <c r="C316" s="102" t="s">
        <v>315</v>
      </c>
      <c r="D316" s="41">
        <f>8470.4+300+300+508.5+400-800+300</f>
        <v>9478.9</v>
      </c>
      <c r="E316" s="41">
        <v>8834</v>
      </c>
      <c r="F316" s="99">
        <f t="shared" si="79"/>
        <v>93.2</v>
      </c>
    </row>
    <row r="317" spans="1:7" ht="25.5">
      <c r="A317" s="52" t="s">
        <v>270</v>
      </c>
      <c r="B317" s="16"/>
      <c r="C317" s="60" t="s">
        <v>597</v>
      </c>
      <c r="D317" s="98">
        <f>D318+D323</f>
        <v>13371.4</v>
      </c>
      <c r="E317" s="98">
        <f>E318+E323</f>
        <v>13265.999999999998</v>
      </c>
      <c r="F317" s="58">
        <f t="shared" si="79"/>
        <v>99.2</v>
      </c>
    </row>
    <row r="318" spans="1:7" ht="12.75" customHeight="1">
      <c r="A318" s="21" t="s">
        <v>354</v>
      </c>
      <c r="B318" s="16"/>
      <c r="C318" s="102" t="s">
        <v>578</v>
      </c>
      <c r="D318" s="41">
        <f>D319+D321</f>
        <v>11292</v>
      </c>
      <c r="E318" s="41">
        <f t="shared" ref="E318" si="105">E319+E321</f>
        <v>11186.599999999999</v>
      </c>
      <c r="F318" s="99">
        <f t="shared" ref="F318:F370" si="106">ROUND((E318/D318*100),1)</f>
        <v>99.1</v>
      </c>
    </row>
    <row r="319" spans="1:7" ht="25.5">
      <c r="A319" s="21" t="s">
        <v>271</v>
      </c>
      <c r="B319" s="85"/>
      <c r="C319" s="102" t="s">
        <v>598</v>
      </c>
      <c r="D319" s="41">
        <f>D320</f>
        <v>8479.1</v>
      </c>
      <c r="E319" s="41">
        <f t="shared" ref="E319" si="107">E320</f>
        <v>8444.2999999999993</v>
      </c>
      <c r="F319" s="99">
        <f t="shared" si="106"/>
        <v>99.6</v>
      </c>
    </row>
    <row r="320" spans="1:7" ht="38.25">
      <c r="A320" s="21" t="s">
        <v>271</v>
      </c>
      <c r="B320" s="85" t="s">
        <v>314</v>
      </c>
      <c r="C320" s="102" t="s">
        <v>315</v>
      </c>
      <c r="D320" s="41">
        <f>13000-1700-2000-820.9</f>
        <v>8479.1</v>
      </c>
      <c r="E320" s="41">
        <v>8444.2999999999993</v>
      </c>
      <c r="F320" s="58">
        <f t="shared" si="106"/>
        <v>99.6</v>
      </c>
    </row>
    <row r="321" spans="1:7" ht="25.5">
      <c r="A321" s="21" t="s">
        <v>579</v>
      </c>
      <c r="B321" s="85"/>
      <c r="C321" s="102" t="s">
        <v>584</v>
      </c>
      <c r="D321" s="41">
        <f>D322</f>
        <v>2812.9</v>
      </c>
      <c r="E321" s="41">
        <f t="shared" ref="E321" si="108">E322</f>
        <v>2742.3</v>
      </c>
      <c r="F321" s="99">
        <f t="shared" si="106"/>
        <v>97.5</v>
      </c>
    </row>
    <row r="322" spans="1:7" ht="38.25">
      <c r="A322" s="21" t="s">
        <v>579</v>
      </c>
      <c r="B322" s="85" t="s">
        <v>314</v>
      </c>
      <c r="C322" s="102" t="s">
        <v>315</v>
      </c>
      <c r="D322" s="41">
        <f>3000-300-287.1+400</f>
        <v>2812.9</v>
      </c>
      <c r="E322" s="41">
        <v>2742.3</v>
      </c>
      <c r="F322" s="99">
        <f t="shared" si="106"/>
        <v>97.5</v>
      </c>
    </row>
    <row r="323" spans="1:7" ht="40.5" customHeight="1">
      <c r="A323" s="52" t="s">
        <v>580</v>
      </c>
      <c r="B323" s="16"/>
      <c r="C323" s="60" t="s">
        <v>581</v>
      </c>
      <c r="D323" s="98">
        <f>D324+D326</f>
        <v>2079.4</v>
      </c>
      <c r="E323" s="98">
        <f t="shared" ref="E323" si="109">E324+E326</f>
        <v>2079.4</v>
      </c>
      <c r="F323" s="58">
        <f t="shared" si="106"/>
        <v>100</v>
      </c>
      <c r="G323" s="108"/>
    </row>
    <row r="324" spans="1:7" ht="38.25">
      <c r="A324" s="21" t="s">
        <v>582</v>
      </c>
      <c r="B324" s="16"/>
      <c r="C324" s="102" t="s">
        <v>599</v>
      </c>
      <c r="D324" s="103">
        <f>D325</f>
        <v>1300</v>
      </c>
      <c r="E324" s="103">
        <f t="shared" ref="E324" si="110">E325</f>
        <v>1300</v>
      </c>
      <c r="F324" s="99">
        <f t="shared" si="106"/>
        <v>100</v>
      </c>
    </row>
    <row r="325" spans="1:7" ht="38.25">
      <c r="A325" s="21" t="s">
        <v>582</v>
      </c>
      <c r="B325" s="85" t="s">
        <v>314</v>
      </c>
      <c r="C325" s="102" t="s">
        <v>315</v>
      </c>
      <c r="D325" s="41">
        <v>1300</v>
      </c>
      <c r="E325" s="41">
        <v>1300</v>
      </c>
      <c r="F325" s="99">
        <f t="shared" si="106"/>
        <v>100</v>
      </c>
    </row>
    <row r="326" spans="1:7" ht="39.75" customHeight="1">
      <c r="A326" s="21" t="s">
        <v>583</v>
      </c>
      <c r="B326" s="16"/>
      <c r="C326" s="102" t="s">
        <v>585</v>
      </c>
      <c r="D326" s="41">
        <f>D327</f>
        <v>779.4</v>
      </c>
      <c r="E326" s="41">
        <f t="shared" ref="E326" si="111">E327</f>
        <v>779.4</v>
      </c>
      <c r="F326" s="99">
        <f t="shared" si="106"/>
        <v>100</v>
      </c>
    </row>
    <row r="327" spans="1:7" ht="38.25">
      <c r="A327" s="21" t="s">
        <v>583</v>
      </c>
      <c r="B327" s="85" t="s">
        <v>314</v>
      </c>
      <c r="C327" s="102" t="s">
        <v>315</v>
      </c>
      <c r="D327" s="41">
        <f>500+200+79.4</f>
        <v>779.4</v>
      </c>
      <c r="E327" s="41">
        <f>500+200+79.4</f>
        <v>779.4</v>
      </c>
      <c r="F327" s="99">
        <f t="shared" si="106"/>
        <v>100</v>
      </c>
    </row>
    <row r="328" spans="1:7" ht="51">
      <c r="A328" s="73" t="s">
        <v>196</v>
      </c>
      <c r="B328" s="16"/>
      <c r="C328" s="63" t="s">
        <v>533</v>
      </c>
      <c r="D328" s="100">
        <f>D330</f>
        <v>1023</v>
      </c>
      <c r="E328" s="100">
        <f>E330</f>
        <v>813</v>
      </c>
      <c r="F328" s="62">
        <f t="shared" si="106"/>
        <v>79.5</v>
      </c>
    </row>
    <row r="329" spans="1:7" ht="38.25">
      <c r="A329" s="21" t="s">
        <v>197</v>
      </c>
      <c r="B329" s="16"/>
      <c r="C329" s="48" t="s">
        <v>198</v>
      </c>
      <c r="D329" s="98">
        <f>D330</f>
        <v>1023</v>
      </c>
      <c r="E329" s="98">
        <f t="shared" ref="E329" si="112">E330</f>
        <v>813</v>
      </c>
      <c r="F329" s="58">
        <f t="shared" si="106"/>
        <v>79.5</v>
      </c>
    </row>
    <row r="330" spans="1:7" ht="38.25">
      <c r="A330" s="21" t="s">
        <v>312</v>
      </c>
      <c r="B330" s="16"/>
      <c r="C330" s="104" t="s">
        <v>594</v>
      </c>
      <c r="D330" s="103">
        <f>D331+D333+D335+D337+D339</f>
        <v>1023</v>
      </c>
      <c r="E330" s="103">
        <f t="shared" ref="E330" si="113">E331+E333+E335+E337+E339</f>
        <v>813</v>
      </c>
      <c r="F330" s="99">
        <f t="shared" si="106"/>
        <v>79.5</v>
      </c>
    </row>
    <row r="331" spans="1:7" ht="38.25">
      <c r="A331" s="74" t="s">
        <v>313</v>
      </c>
      <c r="B331" s="16"/>
      <c r="C331" s="104" t="s">
        <v>527</v>
      </c>
      <c r="D331" s="39">
        <f>D332</f>
        <v>99</v>
      </c>
      <c r="E331" s="39">
        <f t="shared" ref="E331:E337" si="114">E332</f>
        <v>99</v>
      </c>
      <c r="F331" s="99">
        <f t="shared" si="106"/>
        <v>100</v>
      </c>
    </row>
    <row r="332" spans="1:7" ht="38.25">
      <c r="A332" s="74" t="s">
        <v>313</v>
      </c>
      <c r="B332" s="85" t="s">
        <v>314</v>
      </c>
      <c r="C332" s="102" t="s">
        <v>315</v>
      </c>
      <c r="D332" s="39">
        <v>99</v>
      </c>
      <c r="E332" s="39">
        <v>99</v>
      </c>
      <c r="F332" s="99">
        <f t="shared" si="106"/>
        <v>100</v>
      </c>
    </row>
    <row r="333" spans="1:7" ht="51">
      <c r="A333" s="74" t="s">
        <v>528</v>
      </c>
      <c r="B333" s="16"/>
      <c r="C333" s="104" t="s">
        <v>595</v>
      </c>
      <c r="D333" s="39">
        <f>D334</f>
        <v>510</v>
      </c>
      <c r="E333" s="39">
        <f t="shared" si="114"/>
        <v>510</v>
      </c>
      <c r="F333" s="99">
        <f t="shared" si="106"/>
        <v>100</v>
      </c>
    </row>
    <row r="334" spans="1:7" ht="38.25">
      <c r="A334" s="74" t="s">
        <v>528</v>
      </c>
      <c r="B334" s="85" t="s">
        <v>314</v>
      </c>
      <c r="C334" s="102" t="s">
        <v>315</v>
      </c>
      <c r="D334" s="39">
        <f>300+210</f>
        <v>510</v>
      </c>
      <c r="E334" s="39">
        <f>300+210</f>
        <v>510</v>
      </c>
      <c r="F334" s="99">
        <f t="shared" si="106"/>
        <v>100</v>
      </c>
    </row>
    <row r="335" spans="1:7" ht="38.25">
      <c r="A335" s="74" t="s">
        <v>530</v>
      </c>
      <c r="B335" s="16"/>
      <c r="C335" s="104" t="s">
        <v>529</v>
      </c>
      <c r="D335" s="39">
        <f>D336</f>
        <v>99</v>
      </c>
      <c r="E335" s="39">
        <f t="shared" si="114"/>
        <v>99</v>
      </c>
      <c r="F335" s="99">
        <f t="shared" si="106"/>
        <v>100</v>
      </c>
    </row>
    <row r="336" spans="1:7" ht="38.25">
      <c r="A336" s="74" t="s">
        <v>530</v>
      </c>
      <c r="B336" s="85" t="s">
        <v>314</v>
      </c>
      <c r="C336" s="102" t="s">
        <v>315</v>
      </c>
      <c r="D336" s="39">
        <v>99</v>
      </c>
      <c r="E336" s="39">
        <v>99</v>
      </c>
      <c r="F336" s="99">
        <f t="shared" si="106"/>
        <v>100</v>
      </c>
    </row>
    <row r="337" spans="1:7" ht="63.75">
      <c r="A337" s="74" t="s">
        <v>531</v>
      </c>
      <c r="B337" s="16"/>
      <c r="C337" s="104" t="s">
        <v>596</v>
      </c>
      <c r="D337" s="39">
        <f>D338</f>
        <v>210</v>
      </c>
      <c r="E337" s="39">
        <f t="shared" si="114"/>
        <v>0</v>
      </c>
      <c r="F337" s="99">
        <f t="shared" si="106"/>
        <v>0</v>
      </c>
    </row>
    <row r="338" spans="1:7" ht="38.25">
      <c r="A338" s="74" t="s">
        <v>531</v>
      </c>
      <c r="B338" s="85" t="s">
        <v>314</v>
      </c>
      <c r="C338" s="102" t="s">
        <v>315</v>
      </c>
      <c r="D338" s="39">
        <f>1950.9-1740.9</f>
        <v>210</v>
      </c>
      <c r="E338" s="39">
        <v>0</v>
      </c>
      <c r="F338" s="99">
        <f t="shared" si="106"/>
        <v>0</v>
      </c>
    </row>
    <row r="339" spans="1:7" ht="38.25">
      <c r="A339" s="74" t="s">
        <v>646</v>
      </c>
      <c r="B339" s="16"/>
      <c r="C339" s="102" t="s">
        <v>647</v>
      </c>
      <c r="D339" s="41">
        <f>D340</f>
        <v>105</v>
      </c>
      <c r="E339" s="41">
        <f t="shared" ref="E339" si="115">E340</f>
        <v>105</v>
      </c>
      <c r="F339" s="58">
        <f t="shared" si="106"/>
        <v>100</v>
      </c>
    </row>
    <row r="340" spans="1:7" ht="38.25">
      <c r="A340" s="74" t="s">
        <v>646</v>
      </c>
      <c r="B340" s="85" t="s">
        <v>314</v>
      </c>
      <c r="C340" s="102" t="s">
        <v>315</v>
      </c>
      <c r="D340" s="41">
        <v>105</v>
      </c>
      <c r="E340" s="41">
        <v>105</v>
      </c>
      <c r="F340" s="99">
        <f t="shared" si="106"/>
        <v>100</v>
      </c>
    </row>
    <row r="341" spans="1:7" ht="49.5" customHeight="1">
      <c r="A341" s="121" t="s">
        <v>108</v>
      </c>
      <c r="B341" s="122"/>
      <c r="C341" s="123" t="s">
        <v>522</v>
      </c>
      <c r="D341" s="124">
        <f>D342+D366</f>
        <v>154120.79999999999</v>
      </c>
      <c r="E341" s="124">
        <f t="shared" ref="E341" si="116">E342+E366</f>
        <v>141270.70000000001</v>
      </c>
      <c r="F341" s="62">
        <f t="shared" si="106"/>
        <v>91.7</v>
      </c>
      <c r="G341" s="108"/>
    </row>
    <row r="342" spans="1:7" ht="53.25" customHeight="1">
      <c r="A342" s="125" t="s">
        <v>109</v>
      </c>
      <c r="B342" s="122"/>
      <c r="C342" s="126" t="s">
        <v>229</v>
      </c>
      <c r="D342" s="127">
        <f>D343</f>
        <v>129498.7</v>
      </c>
      <c r="E342" s="127">
        <f t="shared" ref="E342" si="117">E343</f>
        <v>121344.1</v>
      </c>
      <c r="F342" s="58">
        <f t="shared" si="106"/>
        <v>93.7</v>
      </c>
      <c r="G342" s="108"/>
    </row>
    <row r="343" spans="1:7" ht="39" customHeight="1">
      <c r="A343" s="129" t="s">
        <v>452</v>
      </c>
      <c r="B343" s="122"/>
      <c r="C343" s="119" t="s">
        <v>474</v>
      </c>
      <c r="D343" s="127">
        <f>D344+D346+D348+D350+D352+D354+D356+D358+D360+D362+D364</f>
        <v>129498.7</v>
      </c>
      <c r="E343" s="127">
        <f t="shared" ref="E343" si="118">E344+E346+E348+E350+E352+E354+E356+E358+E360+E362+E364</f>
        <v>121344.1</v>
      </c>
      <c r="F343" s="99">
        <f t="shared" si="106"/>
        <v>93.7</v>
      </c>
      <c r="G343" s="108"/>
    </row>
    <row r="344" spans="1:7" ht="60.75" customHeight="1">
      <c r="A344" s="79" t="s">
        <v>110</v>
      </c>
      <c r="B344" s="122"/>
      <c r="C344" s="119" t="s">
        <v>451</v>
      </c>
      <c r="D344" s="113">
        <f>D345</f>
        <v>8763.2999999999993</v>
      </c>
      <c r="E344" s="113">
        <f t="shared" ref="E344" si="119">E345</f>
        <v>8763.2999999999993</v>
      </c>
      <c r="F344" s="99">
        <f t="shared" si="106"/>
        <v>100</v>
      </c>
      <c r="G344" s="108"/>
    </row>
    <row r="345" spans="1:7" ht="36" customHeight="1">
      <c r="A345" s="79" t="s">
        <v>110</v>
      </c>
      <c r="B345" s="85" t="s">
        <v>314</v>
      </c>
      <c r="C345" s="102" t="s">
        <v>315</v>
      </c>
      <c r="D345" s="113">
        <f>11023-300-300-1659.7</f>
        <v>8763.2999999999993</v>
      </c>
      <c r="E345" s="113">
        <f>11023-300-300-1659.7</f>
        <v>8763.2999999999993</v>
      </c>
      <c r="F345" s="99">
        <f t="shared" si="106"/>
        <v>100</v>
      </c>
    </row>
    <row r="346" spans="1:7" ht="64.5" customHeight="1">
      <c r="A346" s="79">
        <v>910110520</v>
      </c>
      <c r="B346" s="122"/>
      <c r="C346" s="119" t="s">
        <v>261</v>
      </c>
      <c r="D346" s="113">
        <f>D347</f>
        <v>11938.8</v>
      </c>
      <c r="E346" s="113">
        <f t="shared" ref="E346" si="120">E347</f>
        <v>11938.8</v>
      </c>
      <c r="F346" s="99">
        <f t="shared" si="106"/>
        <v>100</v>
      </c>
      <c r="G346" s="108"/>
    </row>
    <row r="347" spans="1:7" ht="39" customHeight="1">
      <c r="A347" s="79">
        <v>910110520</v>
      </c>
      <c r="B347" s="85" t="s">
        <v>314</v>
      </c>
      <c r="C347" s="102" t="s">
        <v>315</v>
      </c>
      <c r="D347" s="113">
        <f>12096.8-158</f>
        <v>11938.8</v>
      </c>
      <c r="E347" s="113">
        <f>12096.8-158</f>
        <v>11938.8</v>
      </c>
      <c r="F347" s="99">
        <f t="shared" si="106"/>
        <v>100</v>
      </c>
      <c r="G347" s="108"/>
    </row>
    <row r="348" spans="1:7" ht="28.5" customHeight="1">
      <c r="A348" s="79" t="s">
        <v>263</v>
      </c>
      <c r="B348" s="128"/>
      <c r="C348" s="102" t="s">
        <v>262</v>
      </c>
      <c r="D348" s="113">
        <f>D349</f>
        <v>15736.2</v>
      </c>
      <c r="E348" s="113">
        <f t="shared" ref="E348" si="121">E349</f>
        <v>14705</v>
      </c>
      <c r="F348" s="99">
        <f t="shared" si="106"/>
        <v>93.4</v>
      </c>
      <c r="G348" s="108"/>
    </row>
    <row r="349" spans="1:7" ht="37.5" customHeight="1">
      <c r="A349" s="79" t="s">
        <v>263</v>
      </c>
      <c r="B349" s="85" t="s">
        <v>314</v>
      </c>
      <c r="C349" s="102" t="s">
        <v>315</v>
      </c>
      <c r="D349" s="113">
        <f>15436.2+300+500-500</f>
        <v>15736.2</v>
      </c>
      <c r="E349" s="41">
        <v>14705</v>
      </c>
      <c r="F349" s="99">
        <f t="shared" si="106"/>
        <v>93.4</v>
      </c>
    </row>
    <row r="350" spans="1:7" ht="78.75" customHeight="1">
      <c r="A350" s="79" t="s">
        <v>591</v>
      </c>
      <c r="B350" s="128"/>
      <c r="C350" s="102" t="s">
        <v>592</v>
      </c>
      <c r="D350" s="113">
        <f>D351</f>
        <v>1545.8000000000002</v>
      </c>
      <c r="E350" s="113">
        <f t="shared" ref="E350" si="122">E351</f>
        <v>1526</v>
      </c>
      <c r="F350" s="58">
        <f t="shared" si="106"/>
        <v>98.7</v>
      </c>
    </row>
    <row r="351" spans="1:7" ht="39.75" customHeight="1">
      <c r="A351" s="79" t="s">
        <v>591</v>
      </c>
      <c r="B351" s="85" t="s">
        <v>314</v>
      </c>
      <c r="C351" s="215" t="s">
        <v>315</v>
      </c>
      <c r="D351" s="113">
        <f>320+300+27.9+1539.4-102-2.5-13+1656-1700-480</f>
        <v>1545.8000000000002</v>
      </c>
      <c r="E351" s="113">
        <v>1526</v>
      </c>
      <c r="F351" s="99">
        <f t="shared" si="106"/>
        <v>98.7</v>
      </c>
    </row>
    <row r="352" spans="1:7" ht="30.75" customHeight="1">
      <c r="A352" s="79" t="s">
        <v>707</v>
      </c>
      <c r="B352" s="85"/>
      <c r="C352" s="161" t="s">
        <v>706</v>
      </c>
      <c r="D352" s="113">
        <f>D353</f>
        <v>99.2</v>
      </c>
      <c r="E352" s="113">
        <f t="shared" ref="E352" si="123">E353</f>
        <v>99.2</v>
      </c>
      <c r="F352" s="99">
        <f t="shared" si="106"/>
        <v>100</v>
      </c>
    </row>
    <row r="353" spans="1:7" ht="37.5" customHeight="1">
      <c r="A353" s="79" t="s">
        <v>707</v>
      </c>
      <c r="B353" s="85" t="s">
        <v>314</v>
      </c>
      <c r="C353" s="102" t="s">
        <v>315</v>
      </c>
      <c r="D353" s="113">
        <v>99.2</v>
      </c>
      <c r="E353" s="113">
        <v>99.2</v>
      </c>
      <c r="F353" s="99">
        <f t="shared" si="106"/>
        <v>100</v>
      </c>
    </row>
    <row r="354" spans="1:7" ht="38.25">
      <c r="A354" s="79" t="s">
        <v>624</v>
      </c>
      <c r="B354" s="85"/>
      <c r="C354" s="152" t="s">
        <v>623</v>
      </c>
      <c r="D354" s="113">
        <f>D355</f>
        <v>1288.3000000000002</v>
      </c>
      <c r="E354" s="113">
        <f t="shared" ref="E354" si="124">E355</f>
        <v>878.6</v>
      </c>
      <c r="F354" s="99">
        <f t="shared" si="106"/>
        <v>68.2</v>
      </c>
    </row>
    <row r="355" spans="1:7" ht="38.25">
      <c r="A355" s="79" t="s">
        <v>624</v>
      </c>
      <c r="B355" s="85" t="s">
        <v>314</v>
      </c>
      <c r="C355" s="102" t="s">
        <v>315</v>
      </c>
      <c r="D355" s="113">
        <f>2320.3-251.1-780.9</f>
        <v>1288.3000000000002</v>
      </c>
      <c r="E355" s="113">
        <v>878.6</v>
      </c>
      <c r="F355" s="99">
        <f t="shared" si="106"/>
        <v>68.2</v>
      </c>
    </row>
    <row r="356" spans="1:7" ht="51">
      <c r="A356" s="79">
        <v>910111020</v>
      </c>
      <c r="B356" s="85"/>
      <c r="C356" s="152" t="s">
        <v>625</v>
      </c>
      <c r="D356" s="113">
        <f>D357</f>
        <v>4731.8</v>
      </c>
      <c r="E356" s="113">
        <f t="shared" ref="E356" si="125">E357</f>
        <v>3392.2</v>
      </c>
      <c r="F356" s="58">
        <f t="shared" si="106"/>
        <v>71.7</v>
      </c>
    </row>
    <row r="357" spans="1:7" ht="38.25">
      <c r="A357" s="79">
        <v>910111020</v>
      </c>
      <c r="B357" s="85" t="s">
        <v>314</v>
      </c>
      <c r="C357" s="102" t="s">
        <v>315</v>
      </c>
      <c r="D357" s="113">
        <v>4731.8</v>
      </c>
      <c r="E357" s="103">
        <v>3392.2</v>
      </c>
      <c r="F357" s="99">
        <f t="shared" si="106"/>
        <v>71.7</v>
      </c>
    </row>
    <row r="358" spans="1:7" ht="25.5">
      <c r="A358" s="79" t="s">
        <v>619</v>
      </c>
      <c r="B358" s="85"/>
      <c r="C358" s="102" t="s">
        <v>620</v>
      </c>
      <c r="D358" s="113">
        <f>D359</f>
        <v>38078.1</v>
      </c>
      <c r="E358" s="113">
        <f t="shared" ref="E358" si="126">E359</f>
        <v>33140.800000000003</v>
      </c>
      <c r="F358" s="99">
        <f t="shared" si="106"/>
        <v>87</v>
      </c>
    </row>
    <row r="359" spans="1:7" ht="38.25">
      <c r="A359" s="79" t="s">
        <v>619</v>
      </c>
      <c r="B359" s="85" t="s">
        <v>314</v>
      </c>
      <c r="C359" s="102" t="s">
        <v>315</v>
      </c>
      <c r="D359" s="113">
        <f>10097.7+98.7+18501.8+9142.9-1656+1893</f>
        <v>38078.1</v>
      </c>
      <c r="E359" s="41">
        <v>33140.800000000003</v>
      </c>
      <c r="F359" s="99">
        <f t="shared" si="106"/>
        <v>87</v>
      </c>
    </row>
    <row r="360" spans="1:7" ht="25.5">
      <c r="A360" s="79">
        <v>910111050</v>
      </c>
      <c r="B360" s="85"/>
      <c r="C360" s="102" t="s">
        <v>621</v>
      </c>
      <c r="D360" s="113">
        <f>D361</f>
        <v>41082.5</v>
      </c>
      <c r="E360" s="113">
        <f t="shared" ref="E360" si="127">E361</f>
        <v>41082.5</v>
      </c>
      <c r="F360" s="99">
        <f t="shared" si="106"/>
        <v>100</v>
      </c>
    </row>
    <row r="361" spans="1:7" ht="38.25">
      <c r="A361" s="79">
        <v>910111050</v>
      </c>
      <c r="B361" s="85" t="s">
        <v>314</v>
      </c>
      <c r="C361" s="102" t="s">
        <v>315</v>
      </c>
      <c r="D361" s="113">
        <f>40390.6+691.9</f>
        <v>41082.5</v>
      </c>
      <c r="E361" s="41">
        <v>41082.5</v>
      </c>
      <c r="F361" s="99">
        <f t="shared" si="106"/>
        <v>100</v>
      </c>
    </row>
    <row r="362" spans="1:7" ht="25.5">
      <c r="A362" s="79" t="s">
        <v>717</v>
      </c>
      <c r="B362" s="85"/>
      <c r="C362" s="102" t="s">
        <v>718</v>
      </c>
      <c r="D362" s="113">
        <f>D363</f>
        <v>5606.7</v>
      </c>
      <c r="E362" s="113">
        <f t="shared" ref="E362" si="128">E363</f>
        <v>5606.6</v>
      </c>
      <c r="F362" s="99">
        <f t="shared" si="106"/>
        <v>100</v>
      </c>
    </row>
    <row r="363" spans="1:7" ht="38.25">
      <c r="A363" s="79" t="s">
        <v>717</v>
      </c>
      <c r="B363" s="85" t="s">
        <v>314</v>
      </c>
      <c r="C363" s="102" t="s">
        <v>315</v>
      </c>
      <c r="D363" s="113">
        <f>5200+351.4+500-444.7</f>
        <v>5606.7</v>
      </c>
      <c r="E363" s="113">
        <v>5606.6</v>
      </c>
      <c r="F363" s="99">
        <f t="shared" si="106"/>
        <v>100</v>
      </c>
    </row>
    <row r="364" spans="1:7" ht="38.25">
      <c r="A364" s="79" t="s">
        <v>661</v>
      </c>
      <c r="B364" s="85"/>
      <c r="C364" s="102" t="s">
        <v>662</v>
      </c>
      <c r="D364" s="113">
        <f>D365</f>
        <v>628</v>
      </c>
      <c r="E364" s="113">
        <f t="shared" ref="E364" si="129">E365</f>
        <v>211.1</v>
      </c>
      <c r="F364" s="99">
        <f t="shared" si="106"/>
        <v>33.6</v>
      </c>
    </row>
    <row r="365" spans="1:7" ht="38.25">
      <c r="A365" s="79" t="s">
        <v>661</v>
      </c>
      <c r="B365" s="85" t="s">
        <v>314</v>
      </c>
      <c r="C365" s="102" t="s">
        <v>315</v>
      </c>
      <c r="D365" s="113">
        <f>700-72</f>
        <v>628</v>
      </c>
      <c r="E365" s="41">
        <v>211.1</v>
      </c>
      <c r="F365" s="99">
        <f t="shared" si="106"/>
        <v>33.6</v>
      </c>
    </row>
    <row r="366" spans="1:7" ht="51">
      <c r="A366" s="52" t="s">
        <v>319</v>
      </c>
      <c r="B366" s="30"/>
      <c r="C366" s="46" t="s">
        <v>264</v>
      </c>
      <c r="D366" s="98">
        <f>D367</f>
        <v>24622.1</v>
      </c>
      <c r="E366" s="98">
        <f t="shared" ref="E366" si="130">E367</f>
        <v>19926.599999999999</v>
      </c>
      <c r="F366" s="58">
        <f t="shared" ref="F366:F423" si="131">ROUND((E366/D366*100),1)</f>
        <v>80.900000000000006</v>
      </c>
    </row>
    <row r="367" spans="1:7" ht="14.25">
      <c r="A367" s="74">
        <v>920100000</v>
      </c>
      <c r="B367" s="30"/>
      <c r="C367" s="101" t="s">
        <v>454</v>
      </c>
      <c r="D367" s="103">
        <f>D368+D370+D372+D374+D376</f>
        <v>24622.1</v>
      </c>
      <c r="E367" s="103">
        <f t="shared" ref="E367" si="132">E368+E370+E372+E374+E376</f>
        <v>19926.599999999999</v>
      </c>
      <c r="F367" s="99">
        <f t="shared" si="106"/>
        <v>80.900000000000006</v>
      </c>
    </row>
    <row r="368" spans="1:7" ht="48.75" customHeight="1">
      <c r="A368" s="74" t="s">
        <v>471</v>
      </c>
      <c r="B368" s="30"/>
      <c r="C368" s="101" t="s">
        <v>320</v>
      </c>
      <c r="D368" s="39">
        <f>D369</f>
        <v>4689.2</v>
      </c>
      <c r="E368" s="39">
        <f>E369</f>
        <v>4078.6</v>
      </c>
      <c r="F368" s="99">
        <f t="shared" si="106"/>
        <v>87</v>
      </c>
      <c r="G368" s="108"/>
    </row>
    <row r="369" spans="1:7" ht="38.25">
      <c r="A369" s="74" t="s">
        <v>471</v>
      </c>
      <c r="B369" s="85" t="s">
        <v>314</v>
      </c>
      <c r="C369" s="102" t="s">
        <v>315</v>
      </c>
      <c r="D369" s="39">
        <v>4689.2</v>
      </c>
      <c r="E369" s="113">
        <v>4078.6</v>
      </c>
      <c r="F369" s="99">
        <f t="shared" si="106"/>
        <v>87</v>
      </c>
    </row>
    <row r="370" spans="1:7" ht="51">
      <c r="A370" s="74" t="s">
        <v>523</v>
      </c>
      <c r="B370" s="16"/>
      <c r="C370" s="130" t="s">
        <v>524</v>
      </c>
      <c r="D370" s="39">
        <f>D371</f>
        <v>53</v>
      </c>
      <c r="E370" s="39">
        <f>E371</f>
        <v>53</v>
      </c>
      <c r="F370" s="99">
        <f t="shared" si="106"/>
        <v>100</v>
      </c>
      <c r="G370" s="108"/>
    </row>
    <row r="371" spans="1:7" ht="38.25">
      <c r="A371" s="74" t="s">
        <v>523</v>
      </c>
      <c r="B371" s="85" t="s">
        <v>314</v>
      </c>
      <c r="C371" s="102" t="s">
        <v>315</v>
      </c>
      <c r="D371" s="39">
        <f>80-27</f>
        <v>53</v>
      </c>
      <c r="E371" s="39">
        <f>80-27</f>
        <v>53</v>
      </c>
      <c r="F371" s="99">
        <f t="shared" si="131"/>
        <v>100</v>
      </c>
    </row>
    <row r="372" spans="1:7" ht="63.75">
      <c r="A372" s="74" t="s">
        <v>477</v>
      </c>
      <c r="B372" s="16"/>
      <c r="C372" s="130" t="s">
        <v>481</v>
      </c>
      <c r="D372" s="39">
        <f>D373</f>
        <v>1021.1</v>
      </c>
      <c r="E372" s="39">
        <f>E373</f>
        <v>981.2</v>
      </c>
      <c r="F372" s="99">
        <f t="shared" si="131"/>
        <v>96.1</v>
      </c>
    </row>
    <row r="373" spans="1:7" ht="38.25">
      <c r="A373" s="74" t="s">
        <v>477</v>
      </c>
      <c r="B373" s="85" t="s">
        <v>314</v>
      </c>
      <c r="C373" s="102" t="s">
        <v>315</v>
      </c>
      <c r="D373" s="39">
        <f>855.5+13+80.6+72</f>
        <v>1021.1</v>
      </c>
      <c r="E373" s="113">
        <v>981.2</v>
      </c>
      <c r="F373" s="99">
        <f t="shared" si="131"/>
        <v>96.1</v>
      </c>
    </row>
    <row r="374" spans="1:7" ht="63.75">
      <c r="A374" s="74">
        <v>920110300</v>
      </c>
      <c r="B374" s="85"/>
      <c r="C374" s="54" t="s">
        <v>622</v>
      </c>
      <c r="D374" s="39">
        <f>D375</f>
        <v>18756.8</v>
      </c>
      <c r="E374" s="39">
        <f>E375</f>
        <v>14711.8</v>
      </c>
      <c r="F374" s="99">
        <f t="shared" si="131"/>
        <v>78.400000000000006</v>
      </c>
    </row>
    <row r="375" spans="1:7" ht="38.25">
      <c r="A375" s="74">
        <v>920110300</v>
      </c>
      <c r="B375" s="85" t="s">
        <v>314</v>
      </c>
      <c r="C375" s="102" t="s">
        <v>315</v>
      </c>
      <c r="D375" s="39">
        <v>18756.8</v>
      </c>
      <c r="E375" s="113">
        <v>14711.8</v>
      </c>
      <c r="F375" s="58">
        <f t="shared" si="131"/>
        <v>78.400000000000006</v>
      </c>
    </row>
    <row r="376" spans="1:7" ht="38.25">
      <c r="A376" s="74" t="s">
        <v>719</v>
      </c>
      <c r="B376" s="16"/>
      <c r="C376" s="130" t="s">
        <v>720</v>
      </c>
      <c r="D376" s="39">
        <f>D377</f>
        <v>102</v>
      </c>
      <c r="E376" s="39">
        <f>E377</f>
        <v>102</v>
      </c>
      <c r="F376" s="99">
        <f t="shared" si="131"/>
        <v>100</v>
      </c>
    </row>
    <row r="377" spans="1:7" ht="38.25">
      <c r="A377" s="74" t="s">
        <v>719</v>
      </c>
      <c r="B377" s="85" t="s">
        <v>314</v>
      </c>
      <c r="C377" s="102" t="s">
        <v>315</v>
      </c>
      <c r="D377" s="39">
        <v>102</v>
      </c>
      <c r="E377" s="39">
        <v>102</v>
      </c>
      <c r="F377" s="99">
        <f t="shared" si="131"/>
        <v>100</v>
      </c>
    </row>
    <row r="378" spans="1:7" ht="51">
      <c r="A378" s="73" t="s">
        <v>116</v>
      </c>
      <c r="B378" s="16"/>
      <c r="C378" s="53" t="s">
        <v>546</v>
      </c>
      <c r="D378" s="100">
        <f>D379</f>
        <v>11</v>
      </c>
      <c r="E378" s="100">
        <f t="shared" ref="E378:E379" si="133">E379</f>
        <v>11</v>
      </c>
      <c r="F378" s="62">
        <f t="shared" si="131"/>
        <v>100</v>
      </c>
    </row>
    <row r="379" spans="1:7" ht="38.25">
      <c r="A379" s="52" t="s">
        <v>117</v>
      </c>
      <c r="B379" s="16"/>
      <c r="C379" s="60" t="s">
        <v>265</v>
      </c>
      <c r="D379" s="58">
        <f>D380</f>
        <v>11</v>
      </c>
      <c r="E379" s="58">
        <f t="shared" si="133"/>
        <v>11</v>
      </c>
      <c r="F379" s="58">
        <f t="shared" si="131"/>
        <v>100</v>
      </c>
    </row>
    <row r="380" spans="1:7" ht="38.25">
      <c r="A380" s="21" t="s">
        <v>335</v>
      </c>
      <c r="B380" s="85"/>
      <c r="C380" s="102" t="s">
        <v>609</v>
      </c>
      <c r="D380" s="41">
        <f>D381</f>
        <v>11</v>
      </c>
      <c r="E380" s="41">
        <f>E381</f>
        <v>11</v>
      </c>
      <c r="F380" s="99">
        <f t="shared" si="131"/>
        <v>100</v>
      </c>
    </row>
    <row r="381" spans="1:7" ht="54" customHeight="1">
      <c r="A381" s="21" t="s">
        <v>266</v>
      </c>
      <c r="B381" s="85"/>
      <c r="C381" s="102" t="s">
        <v>610</v>
      </c>
      <c r="D381" s="41">
        <f>D382</f>
        <v>11</v>
      </c>
      <c r="E381" s="41">
        <f>E382</f>
        <v>11</v>
      </c>
      <c r="F381" s="99">
        <f t="shared" si="131"/>
        <v>100</v>
      </c>
    </row>
    <row r="382" spans="1:7" ht="25.5">
      <c r="A382" s="21" t="s">
        <v>266</v>
      </c>
      <c r="B382" s="85" t="s">
        <v>104</v>
      </c>
      <c r="C382" s="55" t="s">
        <v>179</v>
      </c>
      <c r="D382" s="41">
        <f>34-23</f>
        <v>11</v>
      </c>
      <c r="E382" s="41">
        <f>34-23</f>
        <v>11</v>
      </c>
      <c r="F382" s="99">
        <f t="shared" si="131"/>
        <v>100</v>
      </c>
    </row>
    <row r="383" spans="1:7" ht="51.75">
      <c r="A383" s="73" t="s">
        <v>74</v>
      </c>
      <c r="B383" s="16"/>
      <c r="C383" s="64" t="s">
        <v>545</v>
      </c>
      <c r="D383" s="59">
        <f>D384+D388+D395+D401</f>
        <v>1700</v>
      </c>
      <c r="E383" s="59">
        <f>E384+E388+E395+E401</f>
        <v>1596.3</v>
      </c>
      <c r="F383" s="65">
        <f t="shared" si="131"/>
        <v>93.9</v>
      </c>
    </row>
    <row r="384" spans="1:7" ht="38.25">
      <c r="A384" s="52" t="s">
        <v>75</v>
      </c>
      <c r="B384" s="16"/>
      <c r="C384" s="48" t="s">
        <v>300</v>
      </c>
      <c r="D384" s="98">
        <f>D386</f>
        <v>80.7</v>
      </c>
      <c r="E384" s="98">
        <f>E386</f>
        <v>80.7</v>
      </c>
      <c r="F384" s="58">
        <f t="shared" si="131"/>
        <v>100</v>
      </c>
    </row>
    <row r="385" spans="1:6" ht="63.75">
      <c r="A385" s="21" t="s">
        <v>326</v>
      </c>
      <c r="B385" s="16"/>
      <c r="C385" s="104" t="s">
        <v>446</v>
      </c>
      <c r="D385" s="103">
        <f>D386</f>
        <v>80.7</v>
      </c>
      <c r="E385" s="103">
        <f>E386</f>
        <v>80.7</v>
      </c>
      <c r="F385" s="99">
        <f t="shared" si="131"/>
        <v>100</v>
      </c>
    </row>
    <row r="386" spans="1:6" ht="39" customHeight="1">
      <c r="A386" s="74" t="s">
        <v>76</v>
      </c>
      <c r="B386" s="16"/>
      <c r="C386" s="104" t="s">
        <v>305</v>
      </c>
      <c r="D386" s="41">
        <f>D387</f>
        <v>80.7</v>
      </c>
      <c r="E386" s="41">
        <f t="shared" ref="E386" si="134">E387</f>
        <v>80.7</v>
      </c>
      <c r="F386" s="99">
        <f t="shared" si="131"/>
        <v>100</v>
      </c>
    </row>
    <row r="387" spans="1:6" ht="40.5" customHeight="1">
      <c r="A387" s="74" t="s">
        <v>76</v>
      </c>
      <c r="B387" s="85" t="s">
        <v>314</v>
      </c>
      <c r="C387" s="215" t="s">
        <v>315</v>
      </c>
      <c r="D387" s="41">
        <f>20+10+50.7</f>
        <v>80.7</v>
      </c>
      <c r="E387" s="41">
        <f>20+10+50.7</f>
        <v>80.7</v>
      </c>
      <c r="F387" s="99">
        <f t="shared" si="131"/>
        <v>100</v>
      </c>
    </row>
    <row r="388" spans="1:6" ht="38.25">
      <c r="A388" s="52" t="s">
        <v>77</v>
      </c>
      <c r="B388" s="85"/>
      <c r="C388" s="48" t="s">
        <v>294</v>
      </c>
      <c r="D388" s="41">
        <f>D389</f>
        <v>1549.3</v>
      </c>
      <c r="E388" s="41">
        <f t="shared" ref="E388" si="135">E389</f>
        <v>1445.6</v>
      </c>
      <c r="F388" s="99">
        <f t="shared" si="131"/>
        <v>93.3</v>
      </c>
    </row>
    <row r="389" spans="1:6" ht="38.25">
      <c r="A389" s="21" t="s">
        <v>328</v>
      </c>
      <c r="B389" s="85"/>
      <c r="C389" s="104" t="s">
        <v>469</v>
      </c>
      <c r="D389" s="41">
        <f>D390+D392</f>
        <v>1549.3</v>
      </c>
      <c r="E389" s="41">
        <f t="shared" ref="E389" si="136">E390+E392</f>
        <v>1445.6</v>
      </c>
      <c r="F389" s="99">
        <f t="shared" si="131"/>
        <v>93.3</v>
      </c>
    </row>
    <row r="390" spans="1:6" ht="51">
      <c r="A390" s="74" t="s">
        <v>78</v>
      </c>
      <c r="B390" s="16"/>
      <c r="C390" s="102" t="s">
        <v>604</v>
      </c>
      <c r="D390" s="41">
        <f>D391</f>
        <v>916.8</v>
      </c>
      <c r="E390" s="41">
        <f t="shared" ref="E390" si="137">E391</f>
        <v>813.1</v>
      </c>
      <c r="F390" s="99">
        <f t="shared" si="131"/>
        <v>88.7</v>
      </c>
    </row>
    <row r="391" spans="1:6" ht="38.25">
      <c r="A391" s="74" t="s">
        <v>78</v>
      </c>
      <c r="B391" s="85" t="s">
        <v>314</v>
      </c>
      <c r="C391" s="102" t="s">
        <v>315</v>
      </c>
      <c r="D391" s="41">
        <v>916.8</v>
      </c>
      <c r="E391" s="39">
        <v>813.1</v>
      </c>
      <c r="F391" s="99">
        <f t="shared" si="131"/>
        <v>88.7</v>
      </c>
    </row>
    <row r="392" spans="1:6" ht="38.25">
      <c r="A392" s="74" t="s">
        <v>602</v>
      </c>
      <c r="B392" s="16"/>
      <c r="C392" s="102" t="s">
        <v>603</v>
      </c>
      <c r="D392" s="41">
        <f>SUM(D393:D394)</f>
        <v>632.5</v>
      </c>
      <c r="E392" s="41">
        <f t="shared" ref="E392" si="138">SUM(E393:E394)</f>
        <v>632.5</v>
      </c>
      <c r="F392" s="99">
        <f t="shared" si="131"/>
        <v>100</v>
      </c>
    </row>
    <row r="393" spans="1:6" ht="25.5">
      <c r="A393" s="74" t="s">
        <v>602</v>
      </c>
      <c r="B393" s="16" t="s">
        <v>104</v>
      </c>
      <c r="C393" s="107" t="s">
        <v>179</v>
      </c>
      <c r="D393" s="41">
        <v>50</v>
      </c>
      <c r="E393" s="41">
        <v>50</v>
      </c>
      <c r="F393" s="99">
        <f t="shared" si="131"/>
        <v>100</v>
      </c>
    </row>
    <row r="394" spans="1:6" ht="38.25">
      <c r="A394" s="74" t="s">
        <v>602</v>
      </c>
      <c r="B394" s="85" t="s">
        <v>314</v>
      </c>
      <c r="C394" s="102" t="s">
        <v>315</v>
      </c>
      <c r="D394" s="41">
        <f>683.2-50-50.7</f>
        <v>582.5</v>
      </c>
      <c r="E394" s="41">
        <f>683.2-50-50.7</f>
        <v>582.5</v>
      </c>
      <c r="F394" s="99">
        <f t="shared" si="131"/>
        <v>100</v>
      </c>
    </row>
    <row r="395" spans="1:6" ht="38.25">
      <c r="A395" s="52" t="s">
        <v>79</v>
      </c>
      <c r="B395" s="16"/>
      <c r="C395" s="48" t="s">
        <v>374</v>
      </c>
      <c r="D395" s="98">
        <f>D396</f>
        <v>5</v>
      </c>
      <c r="E395" s="98">
        <f t="shared" ref="E395" si="139">E396</f>
        <v>5</v>
      </c>
      <c r="F395" s="58">
        <f t="shared" si="131"/>
        <v>100</v>
      </c>
    </row>
    <row r="396" spans="1:6" ht="51">
      <c r="A396" s="21" t="s">
        <v>329</v>
      </c>
      <c r="B396" s="16"/>
      <c r="C396" s="104" t="s">
        <v>482</v>
      </c>
      <c r="D396" s="103">
        <f>D397+D399</f>
        <v>5</v>
      </c>
      <c r="E396" s="103">
        <f t="shared" ref="E396" si="140">E397+E399</f>
        <v>5</v>
      </c>
      <c r="F396" s="99">
        <f t="shared" si="131"/>
        <v>100</v>
      </c>
    </row>
    <row r="397" spans="1:6" ht="25.5">
      <c r="A397" s="74" t="s">
        <v>80</v>
      </c>
      <c r="B397" s="16"/>
      <c r="C397" s="102" t="s">
        <v>375</v>
      </c>
      <c r="D397" s="41">
        <f>D398</f>
        <v>4</v>
      </c>
      <c r="E397" s="41">
        <f t="shared" ref="E397" si="141">E398</f>
        <v>4</v>
      </c>
      <c r="F397" s="99">
        <f t="shared" si="131"/>
        <v>100</v>
      </c>
    </row>
    <row r="398" spans="1:6" ht="38.25">
      <c r="A398" s="74" t="s">
        <v>80</v>
      </c>
      <c r="B398" s="85" t="s">
        <v>314</v>
      </c>
      <c r="C398" s="102" t="s">
        <v>315</v>
      </c>
      <c r="D398" s="41">
        <v>4</v>
      </c>
      <c r="E398" s="41">
        <v>4</v>
      </c>
      <c r="F398" s="99">
        <f t="shared" si="131"/>
        <v>100</v>
      </c>
    </row>
    <row r="399" spans="1:6" ht="25.5">
      <c r="A399" s="74" t="s">
        <v>81</v>
      </c>
      <c r="B399" s="16"/>
      <c r="C399" s="102" t="s">
        <v>330</v>
      </c>
      <c r="D399" s="41">
        <f>D400</f>
        <v>1</v>
      </c>
      <c r="E399" s="41">
        <f t="shared" ref="E399" si="142">E400</f>
        <v>1</v>
      </c>
      <c r="F399" s="99">
        <f t="shared" si="131"/>
        <v>100</v>
      </c>
    </row>
    <row r="400" spans="1:6" ht="38.25">
      <c r="A400" s="74" t="s">
        <v>81</v>
      </c>
      <c r="B400" s="85" t="s">
        <v>314</v>
      </c>
      <c r="C400" s="102" t="s">
        <v>315</v>
      </c>
      <c r="D400" s="41">
        <v>1</v>
      </c>
      <c r="E400" s="41">
        <v>1</v>
      </c>
      <c r="F400" s="58">
        <f t="shared" si="131"/>
        <v>100</v>
      </c>
    </row>
    <row r="401" spans="1:7" ht="40.5" customHeight="1">
      <c r="A401" s="52" t="s">
        <v>82</v>
      </c>
      <c r="B401" s="16"/>
      <c r="C401" s="48" t="s">
        <v>301</v>
      </c>
      <c r="D401" s="98">
        <f>D402</f>
        <v>65</v>
      </c>
      <c r="E401" s="98">
        <f t="shared" ref="E401" si="143">E402</f>
        <v>65</v>
      </c>
      <c r="F401" s="58">
        <f t="shared" si="131"/>
        <v>100</v>
      </c>
    </row>
    <row r="402" spans="1:7" ht="38.25">
      <c r="A402" s="21" t="s">
        <v>445</v>
      </c>
      <c r="B402" s="85"/>
      <c r="C402" s="102" t="s">
        <v>331</v>
      </c>
      <c r="D402" s="41">
        <f>D403+D405</f>
        <v>65</v>
      </c>
      <c r="E402" s="41">
        <f t="shared" ref="E402" si="144">E403+E405</f>
        <v>65</v>
      </c>
      <c r="F402" s="99">
        <f t="shared" si="131"/>
        <v>100</v>
      </c>
    </row>
    <row r="403" spans="1:7" ht="25.5">
      <c r="A403" s="74" t="s">
        <v>83</v>
      </c>
      <c r="B403" s="16"/>
      <c r="C403" s="102" t="s">
        <v>281</v>
      </c>
      <c r="D403" s="41">
        <f>D404</f>
        <v>60</v>
      </c>
      <c r="E403" s="41">
        <f t="shared" ref="E403" si="145">E404</f>
        <v>60</v>
      </c>
      <c r="F403" s="99">
        <f t="shared" si="131"/>
        <v>100</v>
      </c>
    </row>
    <row r="404" spans="1:7" ht="38.25">
      <c r="A404" s="74" t="s">
        <v>83</v>
      </c>
      <c r="B404" s="85" t="s">
        <v>314</v>
      </c>
      <c r="C404" s="102" t="s">
        <v>315</v>
      </c>
      <c r="D404" s="41">
        <v>60</v>
      </c>
      <c r="E404" s="41">
        <v>60</v>
      </c>
      <c r="F404" s="99">
        <f t="shared" si="131"/>
        <v>100</v>
      </c>
    </row>
    <row r="405" spans="1:7" ht="25.5">
      <c r="A405" s="74" t="s">
        <v>84</v>
      </c>
      <c r="B405" s="16"/>
      <c r="C405" s="102" t="s">
        <v>332</v>
      </c>
      <c r="D405" s="41">
        <f>D406</f>
        <v>5</v>
      </c>
      <c r="E405" s="41">
        <f t="shared" ref="E405" si="146">E406</f>
        <v>5</v>
      </c>
      <c r="F405" s="99">
        <f t="shared" si="131"/>
        <v>100</v>
      </c>
    </row>
    <row r="406" spans="1:7" ht="38.25">
      <c r="A406" s="74" t="s">
        <v>84</v>
      </c>
      <c r="B406" s="85" t="s">
        <v>314</v>
      </c>
      <c r="C406" s="102" t="s">
        <v>315</v>
      </c>
      <c r="D406" s="41">
        <v>5</v>
      </c>
      <c r="E406" s="41">
        <v>5</v>
      </c>
      <c r="F406" s="99">
        <f t="shared" si="131"/>
        <v>100</v>
      </c>
    </row>
    <row r="407" spans="1:7" ht="38.25">
      <c r="A407" s="73" t="s">
        <v>85</v>
      </c>
      <c r="B407" s="16"/>
      <c r="C407" s="53" t="s">
        <v>541</v>
      </c>
      <c r="D407" s="100">
        <f>D408+D421+D425+D433+D445+D465</f>
        <v>50501.9</v>
      </c>
      <c r="E407" s="100">
        <f>E408+E421+E425+E433+E445+E465</f>
        <v>35558.699999999997</v>
      </c>
      <c r="F407" s="62">
        <f t="shared" si="131"/>
        <v>70.400000000000006</v>
      </c>
      <c r="G407" s="108"/>
    </row>
    <row r="408" spans="1:7" ht="29.25" customHeight="1">
      <c r="A408" s="52" t="s">
        <v>86</v>
      </c>
      <c r="B408" s="47"/>
      <c r="C408" s="48" t="s">
        <v>274</v>
      </c>
      <c r="D408" s="98">
        <f>D409+D416</f>
        <v>23292</v>
      </c>
      <c r="E408" s="98">
        <f>E409+E416</f>
        <v>14232.6</v>
      </c>
      <c r="F408" s="58">
        <f t="shared" si="131"/>
        <v>61.1</v>
      </c>
      <c r="G408" s="108"/>
    </row>
    <row r="409" spans="1:7" ht="25.5">
      <c r="A409" s="21" t="s">
        <v>355</v>
      </c>
      <c r="B409" s="47"/>
      <c r="C409" s="104" t="s">
        <v>376</v>
      </c>
      <c r="D409" s="103">
        <f>D410+D412+D414</f>
        <v>17682.400000000001</v>
      </c>
      <c r="E409" s="103">
        <f>E410+E412+E414</f>
        <v>8688.1</v>
      </c>
      <c r="F409" s="99">
        <f t="shared" si="131"/>
        <v>49.1</v>
      </c>
    </row>
    <row r="410" spans="1:7" ht="25.5">
      <c r="A410" s="74" t="s">
        <v>87</v>
      </c>
      <c r="B410" s="21"/>
      <c r="C410" s="102" t="s">
        <v>28</v>
      </c>
      <c r="D410" s="41">
        <f>D411</f>
        <v>12874.4</v>
      </c>
      <c r="E410" s="41">
        <f t="shared" ref="E410" si="147">E411</f>
        <v>4271.1000000000004</v>
      </c>
      <c r="F410" s="99">
        <f t="shared" si="131"/>
        <v>33.200000000000003</v>
      </c>
    </row>
    <row r="411" spans="1:7" ht="38.25">
      <c r="A411" s="74" t="s">
        <v>87</v>
      </c>
      <c r="B411" s="85" t="s">
        <v>314</v>
      </c>
      <c r="C411" s="102" t="s">
        <v>315</v>
      </c>
      <c r="D411" s="41">
        <f>13373.4-5.7-493.3</f>
        <v>12874.4</v>
      </c>
      <c r="E411" s="39">
        <v>4271.1000000000004</v>
      </c>
      <c r="F411" s="99">
        <f t="shared" si="131"/>
        <v>33.200000000000003</v>
      </c>
    </row>
    <row r="412" spans="1:7" ht="51">
      <c r="A412" s="74" t="s">
        <v>88</v>
      </c>
      <c r="B412" s="21"/>
      <c r="C412" s="102" t="s">
        <v>356</v>
      </c>
      <c r="D412" s="41">
        <f>D413</f>
        <v>3945</v>
      </c>
      <c r="E412" s="41">
        <f t="shared" ref="E412" si="148">E413</f>
        <v>3554.2</v>
      </c>
      <c r="F412" s="99">
        <f t="shared" si="131"/>
        <v>90.1</v>
      </c>
    </row>
    <row r="413" spans="1:7" ht="38.25">
      <c r="A413" s="74" t="s">
        <v>88</v>
      </c>
      <c r="B413" s="85" t="s">
        <v>314</v>
      </c>
      <c r="C413" s="102" t="s">
        <v>315</v>
      </c>
      <c r="D413" s="41">
        <f>920+3180-600-100+600-55</f>
        <v>3945</v>
      </c>
      <c r="E413" s="41">
        <v>3554.2</v>
      </c>
      <c r="F413" s="99">
        <f t="shared" si="131"/>
        <v>90.1</v>
      </c>
    </row>
    <row r="414" spans="1:7" ht="25.5">
      <c r="A414" s="74" t="s">
        <v>275</v>
      </c>
      <c r="B414" s="16"/>
      <c r="C414" s="102" t="s">
        <v>29</v>
      </c>
      <c r="D414" s="41">
        <f>D415</f>
        <v>863</v>
      </c>
      <c r="E414" s="41">
        <f t="shared" ref="E414" si="149">E415</f>
        <v>862.8</v>
      </c>
      <c r="F414" s="99">
        <f t="shared" si="131"/>
        <v>100</v>
      </c>
    </row>
    <row r="415" spans="1:7" ht="38.25">
      <c r="A415" s="74" t="s">
        <v>275</v>
      </c>
      <c r="B415" s="85" t="s">
        <v>314</v>
      </c>
      <c r="C415" s="102" t="s">
        <v>315</v>
      </c>
      <c r="D415" s="41">
        <f>100+200+163+400</f>
        <v>863</v>
      </c>
      <c r="E415" s="41">
        <v>862.8</v>
      </c>
      <c r="F415" s="99">
        <f t="shared" si="131"/>
        <v>100</v>
      </c>
    </row>
    <row r="416" spans="1:7" ht="25.5">
      <c r="A416" s="21" t="s">
        <v>443</v>
      </c>
      <c r="B416" s="85"/>
      <c r="C416" s="104" t="s">
        <v>444</v>
      </c>
      <c r="D416" s="41">
        <f>D417+D419</f>
        <v>5609.6</v>
      </c>
      <c r="E416" s="41">
        <f>E417+E419</f>
        <v>5544.5</v>
      </c>
      <c r="F416" s="99">
        <f t="shared" si="131"/>
        <v>98.8</v>
      </c>
    </row>
    <row r="417" spans="1:7" ht="25.5">
      <c r="A417" s="74" t="s">
        <v>323</v>
      </c>
      <c r="B417" s="16"/>
      <c r="C417" s="102" t="s">
        <v>357</v>
      </c>
      <c r="D417" s="41">
        <f>D418</f>
        <v>897</v>
      </c>
      <c r="E417" s="41">
        <f t="shared" ref="E417" si="150">E418</f>
        <v>831.9</v>
      </c>
      <c r="F417" s="99">
        <f t="shared" si="131"/>
        <v>92.7</v>
      </c>
    </row>
    <row r="418" spans="1:7" ht="38.25">
      <c r="A418" s="74" t="s">
        <v>323</v>
      </c>
      <c r="B418" s="85" t="s">
        <v>314</v>
      </c>
      <c r="C418" s="102" t="s">
        <v>315</v>
      </c>
      <c r="D418" s="41">
        <f>300+597</f>
        <v>897</v>
      </c>
      <c r="E418" s="41">
        <v>831.9</v>
      </c>
      <c r="F418" s="99">
        <f t="shared" si="131"/>
        <v>92.7</v>
      </c>
    </row>
    <row r="419" spans="1:7">
      <c r="A419" s="74" t="s">
        <v>639</v>
      </c>
      <c r="B419" s="85"/>
      <c r="C419" s="102" t="s">
        <v>640</v>
      </c>
      <c r="D419" s="41">
        <f>D420</f>
        <v>4712.6000000000004</v>
      </c>
      <c r="E419" s="41">
        <f t="shared" ref="E419" si="151">E420</f>
        <v>4712.6000000000004</v>
      </c>
      <c r="F419" s="99">
        <f t="shared" si="131"/>
        <v>100</v>
      </c>
    </row>
    <row r="420" spans="1:7" ht="38.25">
      <c r="A420" s="74" t="s">
        <v>639</v>
      </c>
      <c r="B420" s="85" t="s">
        <v>314</v>
      </c>
      <c r="C420" s="102" t="s">
        <v>315</v>
      </c>
      <c r="D420" s="39">
        <f>5916.6-1204</f>
        <v>4712.6000000000004</v>
      </c>
      <c r="E420" s="39">
        <f>5916.6-1204</f>
        <v>4712.6000000000004</v>
      </c>
      <c r="F420" s="99">
        <f t="shared" si="131"/>
        <v>100</v>
      </c>
    </row>
    <row r="421" spans="1:7" ht="18" customHeight="1">
      <c r="A421" s="52" t="s">
        <v>90</v>
      </c>
      <c r="B421" s="47"/>
      <c r="C421" s="48" t="s">
        <v>32</v>
      </c>
      <c r="D421" s="98">
        <f>D422</f>
        <v>500</v>
      </c>
      <c r="E421" s="98">
        <f>E422</f>
        <v>500</v>
      </c>
      <c r="F421" s="58">
        <f t="shared" si="131"/>
        <v>100</v>
      </c>
      <c r="G421" s="108"/>
    </row>
    <row r="422" spans="1:7">
      <c r="A422" s="21" t="s">
        <v>358</v>
      </c>
      <c r="B422" s="47"/>
      <c r="C422" s="104" t="s">
        <v>359</v>
      </c>
      <c r="D422" s="103">
        <f>D423</f>
        <v>500</v>
      </c>
      <c r="E422" s="103">
        <f t="shared" ref="E422" si="152">E423</f>
        <v>500</v>
      </c>
      <c r="F422" s="99">
        <f t="shared" si="131"/>
        <v>100</v>
      </c>
    </row>
    <row r="423" spans="1:7" ht="25.5">
      <c r="A423" s="80" t="s">
        <v>89</v>
      </c>
      <c r="B423" s="16"/>
      <c r="C423" s="102" t="s">
        <v>276</v>
      </c>
      <c r="D423" s="41">
        <f>D424</f>
        <v>500</v>
      </c>
      <c r="E423" s="41">
        <f t="shared" ref="E423" si="153">E424</f>
        <v>500</v>
      </c>
      <c r="F423" s="99">
        <f t="shared" si="131"/>
        <v>100</v>
      </c>
    </row>
    <row r="424" spans="1:7" ht="38.25">
      <c r="A424" s="80" t="s">
        <v>89</v>
      </c>
      <c r="B424" s="85" t="s">
        <v>314</v>
      </c>
      <c r="C424" s="102" t="s">
        <v>315</v>
      </c>
      <c r="D424" s="41">
        <v>500</v>
      </c>
      <c r="E424" s="41">
        <v>500</v>
      </c>
      <c r="F424" s="99">
        <f t="shared" ref="F424:F484" si="154">ROUND((E424/D424*100),1)</f>
        <v>100</v>
      </c>
    </row>
    <row r="425" spans="1:7" ht="25.5">
      <c r="A425" s="52" t="s">
        <v>91</v>
      </c>
      <c r="B425" s="47"/>
      <c r="C425" s="48" t="s">
        <v>277</v>
      </c>
      <c r="D425" s="98">
        <f>D426</f>
        <v>8269.4</v>
      </c>
      <c r="E425" s="98">
        <f t="shared" ref="E425" si="155">E426</f>
        <v>8122.2</v>
      </c>
      <c r="F425" s="99">
        <f t="shared" si="154"/>
        <v>98.2</v>
      </c>
    </row>
    <row r="426" spans="1:7" ht="38.25">
      <c r="A426" s="21" t="s">
        <v>360</v>
      </c>
      <c r="B426" s="47"/>
      <c r="C426" s="104" t="s">
        <v>364</v>
      </c>
      <c r="D426" s="103">
        <f>D427+D429+D431</f>
        <v>8269.4</v>
      </c>
      <c r="E426" s="103">
        <f t="shared" ref="E426" si="156">E427+E429+E431</f>
        <v>8122.2</v>
      </c>
      <c r="F426" s="99">
        <f t="shared" si="154"/>
        <v>98.2</v>
      </c>
    </row>
    <row r="427" spans="1:7" ht="25.5">
      <c r="A427" s="21" t="s">
        <v>92</v>
      </c>
      <c r="B427" s="16"/>
      <c r="C427" s="102" t="s">
        <v>470</v>
      </c>
      <c r="D427" s="41">
        <f>D428</f>
        <v>5348.2</v>
      </c>
      <c r="E427" s="41">
        <f t="shared" ref="E427" si="157">E428</f>
        <v>5207</v>
      </c>
      <c r="F427" s="99">
        <f t="shared" si="154"/>
        <v>97.4</v>
      </c>
    </row>
    <row r="428" spans="1:7" ht="38.25">
      <c r="A428" s="21" t="s">
        <v>92</v>
      </c>
      <c r="B428" s="85" t="s">
        <v>314</v>
      </c>
      <c r="C428" s="102" t="s">
        <v>315</v>
      </c>
      <c r="D428" s="41">
        <f>2800+1500+1194.8+98.2-244.8</f>
        <v>5348.2</v>
      </c>
      <c r="E428" s="99">
        <v>5207</v>
      </c>
      <c r="F428" s="99">
        <f t="shared" si="154"/>
        <v>97.4</v>
      </c>
    </row>
    <row r="429" spans="1:7">
      <c r="A429" s="21" t="s">
        <v>93</v>
      </c>
      <c r="B429" s="16"/>
      <c r="C429" s="102" t="s">
        <v>30</v>
      </c>
      <c r="D429" s="41">
        <f>D430</f>
        <v>2911.2</v>
      </c>
      <c r="E429" s="41">
        <f t="shared" ref="E429" si="158">E430</f>
        <v>2905.2</v>
      </c>
      <c r="F429" s="99">
        <f t="shared" si="154"/>
        <v>99.8</v>
      </c>
    </row>
    <row r="430" spans="1:7" ht="38.25">
      <c r="A430" s="21" t="s">
        <v>93</v>
      </c>
      <c r="B430" s="85" t="s">
        <v>314</v>
      </c>
      <c r="C430" s="102" t="s">
        <v>315</v>
      </c>
      <c r="D430" s="41">
        <f>5+3800-1194.8+200+101</f>
        <v>2911.2</v>
      </c>
      <c r="E430" s="41">
        <v>2905.2</v>
      </c>
      <c r="F430" s="99">
        <f t="shared" si="154"/>
        <v>99.8</v>
      </c>
    </row>
    <row r="431" spans="1:7" ht="25.5">
      <c r="A431" s="21" t="s">
        <v>94</v>
      </c>
      <c r="B431" s="16"/>
      <c r="C431" s="102" t="s">
        <v>280</v>
      </c>
      <c r="D431" s="41">
        <f>D432</f>
        <v>10</v>
      </c>
      <c r="E431" s="41">
        <f t="shared" ref="E431" si="159">E432</f>
        <v>10</v>
      </c>
      <c r="F431" s="99">
        <f t="shared" si="154"/>
        <v>100</v>
      </c>
    </row>
    <row r="432" spans="1:7" ht="38.25">
      <c r="A432" s="21" t="s">
        <v>94</v>
      </c>
      <c r="B432" s="85" t="s">
        <v>314</v>
      </c>
      <c r="C432" s="102" t="s">
        <v>315</v>
      </c>
      <c r="D432" s="41">
        <f>5+5</f>
        <v>10</v>
      </c>
      <c r="E432" s="41">
        <f>5+5</f>
        <v>10</v>
      </c>
      <c r="F432" s="99">
        <f t="shared" si="154"/>
        <v>100</v>
      </c>
    </row>
    <row r="433" spans="1:6" ht="38.25">
      <c r="A433" s="52" t="s">
        <v>95</v>
      </c>
      <c r="B433" s="47"/>
      <c r="C433" s="48" t="s">
        <v>600</v>
      </c>
      <c r="D433" s="98">
        <f>D434+D439+D442</f>
        <v>1822.6</v>
      </c>
      <c r="E433" s="98">
        <f t="shared" ref="E433" si="160">E434+E439+E442</f>
        <v>1817.6000000000001</v>
      </c>
      <c r="F433" s="58">
        <f t="shared" si="154"/>
        <v>99.7</v>
      </c>
    </row>
    <row r="434" spans="1:6" ht="25.5">
      <c r="A434" s="21" t="s">
        <v>361</v>
      </c>
      <c r="B434" s="47"/>
      <c r="C434" s="104" t="s">
        <v>362</v>
      </c>
      <c r="D434" s="98">
        <f>D435+D437</f>
        <v>1068.8</v>
      </c>
      <c r="E434" s="98">
        <f t="shared" ref="E434" si="161">E435+E437</f>
        <v>1063.8000000000002</v>
      </c>
      <c r="F434" s="99">
        <f t="shared" si="154"/>
        <v>99.5</v>
      </c>
    </row>
    <row r="435" spans="1:6" ht="38.25">
      <c r="A435" s="80" t="s">
        <v>96</v>
      </c>
      <c r="B435" s="16"/>
      <c r="C435" s="102" t="s">
        <v>278</v>
      </c>
      <c r="D435" s="41">
        <f>D436</f>
        <v>719.69999999999993</v>
      </c>
      <c r="E435" s="41">
        <f t="shared" ref="E435" si="162">E436</f>
        <v>714.7</v>
      </c>
      <c r="F435" s="99">
        <f t="shared" si="154"/>
        <v>99.3</v>
      </c>
    </row>
    <row r="436" spans="1:6" ht="38.25">
      <c r="A436" s="80" t="s">
        <v>96</v>
      </c>
      <c r="B436" s="85" t="s">
        <v>314</v>
      </c>
      <c r="C436" s="102" t="s">
        <v>315</v>
      </c>
      <c r="D436" s="41">
        <f>683.8-19.1+55</f>
        <v>719.69999999999993</v>
      </c>
      <c r="E436" s="41">
        <v>714.7</v>
      </c>
      <c r="F436" s="99">
        <f t="shared" si="154"/>
        <v>99.3</v>
      </c>
    </row>
    <row r="437" spans="1:6" ht="63.75">
      <c r="A437" s="80" t="s">
        <v>97</v>
      </c>
      <c r="B437" s="16"/>
      <c r="C437" s="102" t="s">
        <v>279</v>
      </c>
      <c r="D437" s="41">
        <f>D438</f>
        <v>349.1</v>
      </c>
      <c r="E437" s="41">
        <f t="shared" ref="E437" si="163">E438</f>
        <v>349.1</v>
      </c>
      <c r="F437" s="99">
        <f t="shared" si="154"/>
        <v>100</v>
      </c>
    </row>
    <row r="438" spans="1:6" ht="38.25">
      <c r="A438" s="80" t="s">
        <v>97</v>
      </c>
      <c r="B438" s="85" t="s">
        <v>314</v>
      </c>
      <c r="C438" s="102" t="s">
        <v>315</v>
      </c>
      <c r="D438" s="41">
        <f>180+150+19.1</f>
        <v>349.1</v>
      </c>
      <c r="E438" s="41">
        <f>180+150+19.1</f>
        <v>349.1</v>
      </c>
      <c r="F438" s="99">
        <f t="shared" si="154"/>
        <v>100</v>
      </c>
    </row>
    <row r="439" spans="1:6" ht="38.25">
      <c r="A439" s="21" t="s">
        <v>538</v>
      </c>
      <c r="B439" s="47"/>
      <c r="C439" s="104" t="s">
        <v>377</v>
      </c>
      <c r="D439" s="41">
        <f>D440</f>
        <v>500</v>
      </c>
      <c r="E439" s="41">
        <f t="shared" ref="E439" si="164">E440</f>
        <v>500</v>
      </c>
      <c r="F439" s="99">
        <f t="shared" si="154"/>
        <v>100</v>
      </c>
    </row>
    <row r="440" spans="1:6" ht="25.5">
      <c r="A440" s="80" t="s">
        <v>537</v>
      </c>
      <c r="B440" s="16"/>
      <c r="C440" s="102" t="s">
        <v>302</v>
      </c>
      <c r="D440" s="41">
        <f>D441</f>
        <v>500</v>
      </c>
      <c r="E440" s="41">
        <f>E441</f>
        <v>500</v>
      </c>
      <c r="F440" s="99">
        <f t="shared" si="154"/>
        <v>100</v>
      </c>
    </row>
    <row r="441" spans="1:6" ht="38.25">
      <c r="A441" s="80" t="s">
        <v>537</v>
      </c>
      <c r="B441" s="85" t="s">
        <v>314</v>
      </c>
      <c r="C441" s="102" t="s">
        <v>315</v>
      </c>
      <c r="D441" s="41">
        <v>500</v>
      </c>
      <c r="E441" s="41">
        <v>500</v>
      </c>
      <c r="F441" s="99">
        <f t="shared" si="154"/>
        <v>100</v>
      </c>
    </row>
    <row r="442" spans="1:6" ht="38.25">
      <c r="A442" s="21" t="s">
        <v>539</v>
      </c>
      <c r="B442" s="47"/>
      <c r="C442" s="104" t="s">
        <v>364</v>
      </c>
      <c r="D442" s="41">
        <f>D443</f>
        <v>253.8</v>
      </c>
      <c r="E442" s="41">
        <f t="shared" ref="E442:E443" si="165">E443</f>
        <v>253.8</v>
      </c>
      <c r="F442" s="99">
        <f t="shared" si="154"/>
        <v>100</v>
      </c>
    </row>
    <row r="443" spans="1:6" ht="38.25">
      <c r="A443" s="80" t="s">
        <v>540</v>
      </c>
      <c r="B443" s="16"/>
      <c r="C443" s="102" t="s">
        <v>365</v>
      </c>
      <c r="D443" s="41">
        <f>D444</f>
        <v>253.8</v>
      </c>
      <c r="E443" s="41">
        <f t="shared" si="165"/>
        <v>253.8</v>
      </c>
      <c r="F443" s="99">
        <f t="shared" si="154"/>
        <v>100</v>
      </c>
    </row>
    <row r="444" spans="1:6" ht="38.25">
      <c r="A444" s="80" t="s">
        <v>540</v>
      </c>
      <c r="B444" s="85" t="s">
        <v>314</v>
      </c>
      <c r="C444" s="102" t="s">
        <v>315</v>
      </c>
      <c r="D444" s="41">
        <f>270-5-11.2</f>
        <v>253.8</v>
      </c>
      <c r="E444" s="41">
        <f>270-5-11.2</f>
        <v>253.8</v>
      </c>
      <c r="F444" s="99">
        <f t="shared" si="154"/>
        <v>100</v>
      </c>
    </row>
    <row r="445" spans="1:6" ht="51">
      <c r="A445" s="52" t="s">
        <v>671</v>
      </c>
      <c r="B445" s="16"/>
      <c r="C445" s="60" t="s">
        <v>672</v>
      </c>
      <c r="D445" s="41">
        <f>D446+D453+D458</f>
        <v>10843.3</v>
      </c>
      <c r="E445" s="41">
        <f>E446+E453+E458</f>
        <v>9930.0999999999985</v>
      </c>
      <c r="F445" s="99">
        <f t="shared" si="154"/>
        <v>91.6</v>
      </c>
    </row>
    <row r="446" spans="1:6" ht="54" customHeight="1">
      <c r="A446" s="21" t="s">
        <v>676</v>
      </c>
      <c r="B446" s="16"/>
      <c r="C446" s="102" t="s">
        <v>677</v>
      </c>
      <c r="D446" s="103">
        <f>D447+D449+D451</f>
        <v>1028.2</v>
      </c>
      <c r="E446" s="103">
        <f>E447+E449+E451</f>
        <v>942.59999999999991</v>
      </c>
      <c r="F446" s="99">
        <f t="shared" si="154"/>
        <v>91.7</v>
      </c>
    </row>
    <row r="447" spans="1:6" ht="51">
      <c r="A447" s="21" t="s">
        <v>678</v>
      </c>
      <c r="B447" s="85"/>
      <c r="C447" s="102" t="s">
        <v>668</v>
      </c>
      <c r="D447" s="41">
        <f>D448</f>
        <v>532.50000000000011</v>
      </c>
      <c r="E447" s="41">
        <f>E448</f>
        <v>528.4</v>
      </c>
      <c r="F447" s="99">
        <f t="shared" si="154"/>
        <v>99.2</v>
      </c>
    </row>
    <row r="448" spans="1:6" ht="38.25">
      <c r="A448" s="21" t="s">
        <v>678</v>
      </c>
      <c r="B448" s="85" t="s">
        <v>314</v>
      </c>
      <c r="C448" s="102" t="s">
        <v>315</v>
      </c>
      <c r="D448" s="41">
        <f>135+362.7+113-82.8-1.1+5.7</f>
        <v>532.50000000000011</v>
      </c>
      <c r="E448" s="39">
        <v>528.4</v>
      </c>
      <c r="F448" s="99">
        <f t="shared" si="154"/>
        <v>99.2</v>
      </c>
    </row>
    <row r="449" spans="1:6" ht="52.5" customHeight="1">
      <c r="A449" s="21" t="s">
        <v>746</v>
      </c>
      <c r="B449" s="85"/>
      <c r="C449" s="102" t="s">
        <v>747</v>
      </c>
      <c r="D449" s="41">
        <f>D450</f>
        <v>10</v>
      </c>
      <c r="E449" s="41">
        <f>E450</f>
        <v>8.4</v>
      </c>
      <c r="F449" s="99">
        <f t="shared" si="154"/>
        <v>84</v>
      </c>
    </row>
    <row r="450" spans="1:6" ht="38.25">
      <c r="A450" s="21" t="s">
        <v>746</v>
      </c>
      <c r="B450" s="85" t="s">
        <v>314</v>
      </c>
      <c r="C450" s="102" t="s">
        <v>315</v>
      </c>
      <c r="D450" s="41">
        <f>8.4+1.6</f>
        <v>10</v>
      </c>
      <c r="E450" s="41">
        <v>8.4</v>
      </c>
      <c r="F450" s="99">
        <f t="shared" si="154"/>
        <v>84</v>
      </c>
    </row>
    <row r="451" spans="1:6" ht="38.25">
      <c r="A451" s="21" t="s">
        <v>759</v>
      </c>
      <c r="B451" s="85"/>
      <c r="C451" s="160" t="s">
        <v>758</v>
      </c>
      <c r="D451" s="41">
        <f>D452</f>
        <v>485.7</v>
      </c>
      <c r="E451" s="41">
        <f>E452</f>
        <v>405.8</v>
      </c>
      <c r="F451" s="99">
        <f t="shared" si="154"/>
        <v>83.5</v>
      </c>
    </row>
    <row r="452" spans="1:6" ht="38.25">
      <c r="A452" s="21" t="s">
        <v>759</v>
      </c>
      <c r="B452" s="85" t="s">
        <v>314</v>
      </c>
      <c r="C452" s="102" t="s">
        <v>315</v>
      </c>
      <c r="D452" s="41">
        <v>485.7</v>
      </c>
      <c r="E452" s="39">
        <v>405.8</v>
      </c>
      <c r="F452" s="99">
        <f t="shared" si="154"/>
        <v>83.5</v>
      </c>
    </row>
    <row r="453" spans="1:6" ht="51">
      <c r="A453" s="21" t="s">
        <v>679</v>
      </c>
      <c r="B453" s="85"/>
      <c r="C453" s="102" t="s">
        <v>681</v>
      </c>
      <c r="D453" s="41">
        <f>D454+D456</f>
        <v>1774.8999999999999</v>
      </c>
      <c r="E453" s="41">
        <f t="shared" ref="E453" si="166">E454+E456</f>
        <v>1618.3</v>
      </c>
      <c r="F453" s="99">
        <f t="shared" si="154"/>
        <v>91.2</v>
      </c>
    </row>
    <row r="454" spans="1:6" ht="51">
      <c r="A454" s="21" t="s">
        <v>680</v>
      </c>
      <c r="B454" s="85"/>
      <c r="C454" s="102" t="s">
        <v>668</v>
      </c>
      <c r="D454" s="41">
        <f>D455</f>
        <v>1175.0999999999999</v>
      </c>
      <c r="E454" s="41">
        <f>E455</f>
        <v>1018.5</v>
      </c>
      <c r="F454" s="99">
        <f t="shared" si="154"/>
        <v>86.7</v>
      </c>
    </row>
    <row r="455" spans="1:6" ht="38.25">
      <c r="A455" s="21" t="s">
        <v>680</v>
      </c>
      <c r="B455" s="85" t="s">
        <v>314</v>
      </c>
      <c r="C455" s="102" t="s">
        <v>315</v>
      </c>
      <c r="D455" s="41">
        <f>253.4+3604.6+30-2399.3-313.8-247.7+247.9</f>
        <v>1175.0999999999999</v>
      </c>
      <c r="E455" s="41">
        <v>1018.5</v>
      </c>
      <c r="F455" s="99">
        <f t="shared" si="154"/>
        <v>86.7</v>
      </c>
    </row>
    <row r="456" spans="1:6" ht="38.25">
      <c r="A456" s="21" t="s">
        <v>766</v>
      </c>
      <c r="B456" s="85"/>
      <c r="C456" s="160" t="s">
        <v>758</v>
      </c>
      <c r="D456" s="41">
        <f>D457</f>
        <v>599.79999999999995</v>
      </c>
      <c r="E456" s="41">
        <f t="shared" ref="E456" si="167">E457</f>
        <v>599.79999999999995</v>
      </c>
      <c r="F456" s="99">
        <f t="shared" si="154"/>
        <v>100</v>
      </c>
    </row>
    <row r="457" spans="1:6" ht="38.25">
      <c r="A457" s="21" t="s">
        <v>766</v>
      </c>
      <c r="B457" s="85" t="s">
        <v>314</v>
      </c>
      <c r="C457" s="102" t="s">
        <v>315</v>
      </c>
      <c r="D457" s="41">
        <f>600-0.2</f>
        <v>599.79999999999995</v>
      </c>
      <c r="E457" s="41">
        <f>600-0.2</f>
        <v>599.79999999999995</v>
      </c>
      <c r="F457" s="99">
        <f t="shared" si="154"/>
        <v>100</v>
      </c>
    </row>
    <row r="458" spans="1:6" ht="51">
      <c r="A458" s="21" t="s">
        <v>674</v>
      </c>
      <c r="B458" s="85"/>
      <c r="C458" s="102" t="s">
        <v>675</v>
      </c>
      <c r="D458" s="41">
        <f>D459+D461+D463</f>
        <v>8040.2</v>
      </c>
      <c r="E458" s="41">
        <f t="shared" ref="E458" si="168">E459+E461+E463</f>
        <v>7369.2</v>
      </c>
      <c r="F458" s="99">
        <f t="shared" si="154"/>
        <v>91.7</v>
      </c>
    </row>
    <row r="459" spans="1:6" ht="51">
      <c r="A459" s="21" t="s">
        <v>673</v>
      </c>
      <c r="B459" s="85"/>
      <c r="C459" s="102" t="s">
        <v>668</v>
      </c>
      <c r="D459" s="41">
        <f>D460</f>
        <v>4388.8999999999996</v>
      </c>
      <c r="E459" s="41">
        <f>E460</f>
        <v>4059.7</v>
      </c>
      <c r="F459" s="99">
        <f t="shared" si="154"/>
        <v>92.5</v>
      </c>
    </row>
    <row r="460" spans="1:6" ht="38.25">
      <c r="A460" s="21" t="s">
        <v>673</v>
      </c>
      <c r="B460" s="85" t="s">
        <v>314</v>
      </c>
      <c r="C460" s="102" t="s">
        <v>315</v>
      </c>
      <c r="D460" s="41">
        <f>765+8998.1-113+70-5488.6+0.7+156.7</f>
        <v>4388.8999999999996</v>
      </c>
      <c r="E460" s="99">
        <v>4059.7</v>
      </c>
      <c r="F460" s="99">
        <f t="shared" si="154"/>
        <v>92.5</v>
      </c>
    </row>
    <row r="461" spans="1:6" ht="38.25">
      <c r="A461" s="21" t="s">
        <v>767</v>
      </c>
      <c r="B461" s="85"/>
      <c r="C461" s="160" t="s">
        <v>758</v>
      </c>
      <c r="D461" s="41">
        <f>D462</f>
        <v>3601.3</v>
      </c>
      <c r="E461" s="41">
        <f t="shared" ref="E461" si="169">E462</f>
        <v>3266.8</v>
      </c>
      <c r="F461" s="99">
        <f t="shared" si="154"/>
        <v>90.7</v>
      </c>
    </row>
    <row r="462" spans="1:6" ht="38.25">
      <c r="A462" s="21" t="s">
        <v>767</v>
      </c>
      <c r="B462" s="85" t="s">
        <v>314</v>
      </c>
      <c r="C462" s="102" t="s">
        <v>315</v>
      </c>
      <c r="D462" s="41">
        <f>3726-124.7</f>
        <v>3601.3</v>
      </c>
      <c r="E462" s="99">
        <v>3266.8</v>
      </c>
      <c r="F462" s="99">
        <f t="shared" si="154"/>
        <v>90.7</v>
      </c>
    </row>
    <row r="463" spans="1:6" ht="52.5" customHeight="1">
      <c r="A463" s="21" t="s">
        <v>748</v>
      </c>
      <c r="B463" s="85"/>
      <c r="C463" s="102" t="s">
        <v>747</v>
      </c>
      <c r="D463" s="41">
        <f>D464</f>
        <v>50</v>
      </c>
      <c r="E463" s="41">
        <f>E464</f>
        <v>42.7</v>
      </c>
      <c r="F463" s="99">
        <f t="shared" si="154"/>
        <v>85.4</v>
      </c>
    </row>
    <row r="464" spans="1:6" ht="38.25">
      <c r="A464" s="21" t="s">
        <v>748</v>
      </c>
      <c r="B464" s="85" t="s">
        <v>314</v>
      </c>
      <c r="C464" s="102" t="s">
        <v>315</v>
      </c>
      <c r="D464" s="41">
        <f>43+7</f>
        <v>50</v>
      </c>
      <c r="E464" s="99">
        <v>42.7</v>
      </c>
      <c r="F464" s="99">
        <f t="shared" si="154"/>
        <v>85.4</v>
      </c>
    </row>
    <row r="465" spans="1:6" ht="51">
      <c r="A465" s="52" t="s">
        <v>768</v>
      </c>
      <c r="B465" s="16"/>
      <c r="C465" s="60" t="s">
        <v>773</v>
      </c>
      <c r="D465" s="98">
        <f>D466+D471</f>
        <v>5774.6</v>
      </c>
      <c r="E465" s="98">
        <f t="shared" ref="E465" si="170">E466+E471</f>
        <v>956.19999999999993</v>
      </c>
      <c r="F465" s="99">
        <f t="shared" si="154"/>
        <v>16.600000000000001</v>
      </c>
    </row>
    <row r="466" spans="1:6" ht="63.75">
      <c r="A466" s="21" t="s">
        <v>774</v>
      </c>
      <c r="B466" s="16"/>
      <c r="C466" s="102" t="s">
        <v>777</v>
      </c>
      <c r="D466" s="98">
        <f>D467+D469</f>
        <v>1228.5999999999999</v>
      </c>
      <c r="E466" s="98">
        <f t="shared" ref="E466" si="171">E467+E469</f>
        <v>21.5</v>
      </c>
      <c r="F466" s="99">
        <f t="shared" si="154"/>
        <v>1.7</v>
      </c>
    </row>
    <row r="467" spans="1:6" ht="51">
      <c r="A467" s="21" t="s">
        <v>769</v>
      </c>
      <c r="B467" s="85"/>
      <c r="C467" s="102" t="s">
        <v>770</v>
      </c>
      <c r="D467" s="41">
        <f>D468</f>
        <v>1042.3999999999999</v>
      </c>
      <c r="E467" s="41">
        <f>E468</f>
        <v>21.5</v>
      </c>
      <c r="F467" s="99">
        <f t="shared" si="154"/>
        <v>2.1</v>
      </c>
    </row>
    <row r="468" spans="1:6" ht="38.25">
      <c r="A468" s="21" t="s">
        <v>769</v>
      </c>
      <c r="B468" s="85" t="s">
        <v>314</v>
      </c>
      <c r="C468" s="102" t="s">
        <v>315</v>
      </c>
      <c r="D468" s="41">
        <f>1055.1-12.4-0.3</f>
        <v>1042.3999999999999</v>
      </c>
      <c r="E468" s="41">
        <v>21.5</v>
      </c>
      <c r="F468" s="99">
        <f t="shared" si="154"/>
        <v>2.1</v>
      </c>
    </row>
    <row r="469" spans="1:6" ht="63.75">
      <c r="A469" s="21" t="s">
        <v>772</v>
      </c>
      <c r="B469" s="85"/>
      <c r="C469" s="102" t="s">
        <v>771</v>
      </c>
      <c r="D469" s="41">
        <f>D470</f>
        <v>186.2</v>
      </c>
      <c r="E469" s="41">
        <f>E470</f>
        <v>0</v>
      </c>
      <c r="F469" s="99">
        <f t="shared" si="154"/>
        <v>0</v>
      </c>
    </row>
    <row r="470" spans="1:6" ht="38.25">
      <c r="A470" s="21" t="s">
        <v>772</v>
      </c>
      <c r="B470" s="85" t="s">
        <v>314</v>
      </c>
      <c r="C470" s="102" t="s">
        <v>315</v>
      </c>
      <c r="D470" s="41">
        <v>186.2</v>
      </c>
      <c r="E470" s="41">
        <v>0</v>
      </c>
      <c r="F470" s="99">
        <f t="shared" si="154"/>
        <v>0</v>
      </c>
    </row>
    <row r="471" spans="1:6" ht="63.75">
      <c r="A471" s="21" t="s">
        <v>778</v>
      </c>
      <c r="B471" s="16"/>
      <c r="C471" s="102" t="s">
        <v>779</v>
      </c>
      <c r="D471" s="98">
        <f>D472+D474</f>
        <v>4546</v>
      </c>
      <c r="E471" s="98">
        <f t="shared" ref="E471" si="172">E472+E474</f>
        <v>934.69999999999993</v>
      </c>
      <c r="F471" s="99">
        <f t="shared" si="154"/>
        <v>20.6</v>
      </c>
    </row>
    <row r="472" spans="1:6" ht="38.25">
      <c r="A472" s="21" t="s">
        <v>775</v>
      </c>
      <c r="B472" s="85"/>
      <c r="C472" s="102" t="s">
        <v>782</v>
      </c>
      <c r="D472" s="41">
        <f>D473</f>
        <v>3990.2999999999997</v>
      </c>
      <c r="E472" s="41">
        <f>E473</f>
        <v>831.3</v>
      </c>
      <c r="F472" s="99">
        <f t="shared" si="154"/>
        <v>20.8</v>
      </c>
    </row>
    <row r="473" spans="1:6" ht="38.25">
      <c r="A473" s="21" t="s">
        <v>775</v>
      </c>
      <c r="B473" s="85" t="s">
        <v>314</v>
      </c>
      <c r="C473" s="102" t="s">
        <v>315</v>
      </c>
      <c r="D473" s="41">
        <f>4152.7-320.9+158.5</f>
        <v>3990.2999999999997</v>
      </c>
      <c r="E473" s="41">
        <v>831.3</v>
      </c>
      <c r="F473" s="99">
        <f t="shared" si="154"/>
        <v>20.8</v>
      </c>
    </row>
    <row r="474" spans="1:6" ht="51">
      <c r="A474" s="21" t="s">
        <v>776</v>
      </c>
      <c r="B474" s="85"/>
      <c r="C474" s="102" t="s">
        <v>781</v>
      </c>
      <c r="D474" s="41">
        <f>D475</f>
        <v>555.70000000000005</v>
      </c>
      <c r="E474" s="41">
        <f>E475</f>
        <v>103.4</v>
      </c>
      <c r="F474" s="99">
        <f t="shared" si="154"/>
        <v>18.600000000000001</v>
      </c>
    </row>
    <row r="475" spans="1:6" ht="38.25">
      <c r="A475" s="21" t="s">
        <v>776</v>
      </c>
      <c r="B475" s="85" t="s">
        <v>314</v>
      </c>
      <c r="C475" s="102" t="s">
        <v>315</v>
      </c>
      <c r="D475" s="41">
        <v>555.70000000000005</v>
      </c>
      <c r="E475" s="99">
        <v>103.4</v>
      </c>
      <c r="F475" s="99">
        <f t="shared" si="154"/>
        <v>18.600000000000001</v>
      </c>
    </row>
    <row r="476" spans="1:6" ht="51.75">
      <c r="A476" s="73" t="s">
        <v>45</v>
      </c>
      <c r="B476" s="3"/>
      <c r="C476" s="64" t="s">
        <v>542</v>
      </c>
      <c r="D476" s="59">
        <f>D477+D491</f>
        <v>27228.6</v>
      </c>
      <c r="E476" s="59">
        <f>E477+E491</f>
        <v>26831.1</v>
      </c>
      <c r="F476" s="65">
        <f t="shared" si="154"/>
        <v>98.5</v>
      </c>
    </row>
    <row r="477" spans="1:6" ht="26.25">
      <c r="A477" s="52" t="s">
        <v>46</v>
      </c>
      <c r="B477" s="3"/>
      <c r="C477" s="46" t="s">
        <v>131</v>
      </c>
      <c r="D477" s="41">
        <f>D478+D483+D488</f>
        <v>23587.599999999999</v>
      </c>
      <c r="E477" s="41">
        <f>E478+E483+E488</f>
        <v>23190.1</v>
      </c>
      <c r="F477" s="58">
        <f t="shared" si="154"/>
        <v>98.3</v>
      </c>
    </row>
    <row r="478" spans="1:6" ht="26.25">
      <c r="A478" s="21" t="s">
        <v>406</v>
      </c>
      <c r="B478" s="3"/>
      <c r="C478" s="115" t="s">
        <v>407</v>
      </c>
      <c r="D478" s="41">
        <f>D479+D481</f>
        <v>4175.8</v>
      </c>
      <c r="E478" s="41">
        <f t="shared" ref="E478" si="173">E479+E481</f>
        <v>4100</v>
      </c>
      <c r="F478" s="99">
        <f t="shared" si="154"/>
        <v>98.2</v>
      </c>
    </row>
    <row r="479" spans="1:6" ht="39">
      <c r="A479" s="21" t="s">
        <v>472</v>
      </c>
      <c r="B479" s="3"/>
      <c r="C479" s="134" t="s">
        <v>299</v>
      </c>
      <c r="D479" s="41">
        <f>D480</f>
        <v>820</v>
      </c>
      <c r="E479" s="41">
        <f t="shared" ref="E479" si="174">E480</f>
        <v>820</v>
      </c>
      <c r="F479" s="99">
        <f t="shared" si="154"/>
        <v>100</v>
      </c>
    </row>
    <row r="480" spans="1:6">
      <c r="A480" s="21" t="s">
        <v>472</v>
      </c>
      <c r="B480" s="85" t="s">
        <v>372</v>
      </c>
      <c r="C480" s="107" t="s">
        <v>371</v>
      </c>
      <c r="D480" s="41">
        <f>627.3+209.1+2.5-18.9</f>
        <v>820</v>
      </c>
      <c r="E480" s="41">
        <f>627.3+209.1+2.5-18.9</f>
        <v>820</v>
      </c>
      <c r="F480" s="99">
        <f t="shared" si="154"/>
        <v>100</v>
      </c>
    </row>
    <row r="481" spans="1:6" ht="38.25">
      <c r="A481" s="21" t="s">
        <v>760</v>
      </c>
      <c r="B481" s="85"/>
      <c r="C481" s="54" t="s">
        <v>761</v>
      </c>
      <c r="D481" s="41">
        <f>D482</f>
        <v>3355.8</v>
      </c>
      <c r="E481" s="41">
        <f t="shared" ref="E481" si="175">E482</f>
        <v>3280</v>
      </c>
      <c r="F481" s="99">
        <f t="shared" si="154"/>
        <v>97.7</v>
      </c>
    </row>
    <row r="482" spans="1:6">
      <c r="A482" s="21" t="s">
        <v>760</v>
      </c>
      <c r="B482" s="85" t="s">
        <v>372</v>
      </c>
      <c r="C482" s="107" t="s">
        <v>371</v>
      </c>
      <c r="D482" s="41">
        <v>3355.8</v>
      </c>
      <c r="E482" s="41">
        <v>3280</v>
      </c>
      <c r="F482" s="99">
        <f t="shared" si="154"/>
        <v>97.7</v>
      </c>
    </row>
    <row r="483" spans="1:6" ht="63.75">
      <c r="A483" s="21" t="s">
        <v>408</v>
      </c>
      <c r="B483" s="35"/>
      <c r="C483" s="101" t="s">
        <v>463</v>
      </c>
      <c r="D483" s="103">
        <f>D484+D486</f>
        <v>5872.5999999999995</v>
      </c>
      <c r="E483" s="103">
        <f t="shared" ref="E483" si="176">E484+E486</f>
        <v>5872.5999999999995</v>
      </c>
      <c r="F483" s="99">
        <f t="shared" si="154"/>
        <v>100</v>
      </c>
    </row>
    <row r="484" spans="1:6" ht="51">
      <c r="A484" s="80">
        <v>1310210820</v>
      </c>
      <c r="B484" s="16"/>
      <c r="C484" s="102" t="s">
        <v>238</v>
      </c>
      <c r="D484" s="39">
        <f>D485</f>
        <v>4893.7999999999993</v>
      </c>
      <c r="E484" s="39">
        <f t="shared" ref="E484" si="177">E485</f>
        <v>4893.7999999999993</v>
      </c>
      <c r="F484" s="99">
        <f t="shared" si="154"/>
        <v>100</v>
      </c>
    </row>
    <row r="485" spans="1:6">
      <c r="A485" s="80">
        <v>1310210820</v>
      </c>
      <c r="B485" s="85" t="s">
        <v>372</v>
      </c>
      <c r="C485" s="107" t="s">
        <v>371</v>
      </c>
      <c r="D485" s="39">
        <f>1957.6+2936.2</f>
        <v>4893.7999999999993</v>
      </c>
      <c r="E485" s="39">
        <f>1957.6+2936.2</f>
        <v>4893.7999999999993</v>
      </c>
      <c r="F485" s="99">
        <f t="shared" ref="F485:F535" si="178">ROUND((E485/D485*100),1)</f>
        <v>100</v>
      </c>
    </row>
    <row r="486" spans="1:6" ht="38.25">
      <c r="A486" s="80" t="s">
        <v>601</v>
      </c>
      <c r="B486" s="16"/>
      <c r="C486" s="102" t="s">
        <v>484</v>
      </c>
      <c r="D486" s="39">
        <f>D487</f>
        <v>978.80000000000018</v>
      </c>
      <c r="E486" s="39">
        <f t="shared" ref="E486" si="179">E487</f>
        <v>978.80000000000018</v>
      </c>
      <c r="F486" s="99">
        <f t="shared" si="178"/>
        <v>100</v>
      </c>
    </row>
    <row r="487" spans="1:6">
      <c r="A487" s="80" t="s">
        <v>601</v>
      </c>
      <c r="B487" s="85" t="s">
        <v>372</v>
      </c>
      <c r="C487" s="107" t="s">
        <v>371</v>
      </c>
      <c r="D487" s="39">
        <f>4893.8-3915</f>
        <v>978.80000000000018</v>
      </c>
      <c r="E487" s="39">
        <f>4893.8-3915</f>
        <v>978.80000000000018</v>
      </c>
      <c r="F487" s="99">
        <f t="shared" si="178"/>
        <v>100</v>
      </c>
    </row>
    <row r="488" spans="1:6" ht="25.5">
      <c r="A488" s="21" t="s">
        <v>460</v>
      </c>
      <c r="B488" s="85"/>
      <c r="C488" s="115" t="s">
        <v>536</v>
      </c>
      <c r="D488" s="41">
        <f>D489</f>
        <v>13539.2</v>
      </c>
      <c r="E488" s="41">
        <f t="shared" ref="E488" si="180">E489</f>
        <v>13217.5</v>
      </c>
      <c r="F488" s="99">
        <f t="shared" si="178"/>
        <v>97.6</v>
      </c>
    </row>
    <row r="489" spans="1:6" ht="38.25">
      <c r="A489" s="74" t="s">
        <v>535</v>
      </c>
      <c r="B489" s="16"/>
      <c r="C489" s="102" t="s">
        <v>500</v>
      </c>
      <c r="D489" s="99">
        <f>D490</f>
        <v>13539.2</v>
      </c>
      <c r="E489" s="99">
        <f t="shared" ref="E489" si="181">E490</f>
        <v>13217.5</v>
      </c>
      <c r="F489" s="99">
        <f t="shared" si="178"/>
        <v>97.6</v>
      </c>
    </row>
    <row r="490" spans="1:6" ht="25.5">
      <c r="A490" s="74" t="s">
        <v>535</v>
      </c>
      <c r="B490" s="85" t="s">
        <v>387</v>
      </c>
      <c r="C490" s="102" t="s">
        <v>373</v>
      </c>
      <c r="D490" s="99">
        <v>13539.2</v>
      </c>
      <c r="E490" s="99">
        <v>13217.5</v>
      </c>
      <c r="F490" s="99">
        <f t="shared" si="178"/>
        <v>97.6</v>
      </c>
    </row>
    <row r="491" spans="1:6" ht="25.5">
      <c r="A491" s="52" t="s">
        <v>47</v>
      </c>
      <c r="B491" s="16"/>
      <c r="C491" s="46" t="s">
        <v>128</v>
      </c>
      <c r="D491" s="98">
        <f>D492+D495+D498</f>
        <v>3641</v>
      </c>
      <c r="E491" s="98">
        <f t="shared" ref="E491" si="182">E492+E495+E498</f>
        <v>3641</v>
      </c>
      <c r="F491" s="99">
        <f t="shared" si="178"/>
        <v>100</v>
      </c>
    </row>
    <row r="492" spans="1:6" ht="38.25">
      <c r="A492" s="21" t="s">
        <v>409</v>
      </c>
      <c r="B492" s="16"/>
      <c r="C492" s="115" t="s">
        <v>410</v>
      </c>
      <c r="D492" s="103">
        <f>D493</f>
        <v>230</v>
      </c>
      <c r="E492" s="103">
        <f t="shared" ref="E492:E493" si="183">E493</f>
        <v>230</v>
      </c>
      <c r="F492" s="99">
        <f t="shared" si="178"/>
        <v>100</v>
      </c>
    </row>
    <row r="493" spans="1:6" ht="38.25">
      <c r="A493" s="80" t="s">
        <v>214</v>
      </c>
      <c r="B493" s="16"/>
      <c r="C493" s="102" t="s">
        <v>239</v>
      </c>
      <c r="D493" s="41">
        <f>D494</f>
        <v>230</v>
      </c>
      <c r="E493" s="41">
        <f t="shared" si="183"/>
        <v>230</v>
      </c>
      <c r="F493" s="99">
        <f t="shared" si="178"/>
        <v>100</v>
      </c>
    </row>
    <row r="494" spans="1:6">
      <c r="A494" s="80" t="s">
        <v>214</v>
      </c>
      <c r="B494" s="16" t="s">
        <v>129</v>
      </c>
      <c r="C494" s="102" t="s">
        <v>130</v>
      </c>
      <c r="D494" s="41">
        <f>200+30</f>
        <v>230</v>
      </c>
      <c r="E494" s="41">
        <f>200+30</f>
        <v>230</v>
      </c>
      <c r="F494" s="99">
        <f t="shared" si="178"/>
        <v>100</v>
      </c>
    </row>
    <row r="495" spans="1:6" ht="38.25">
      <c r="A495" s="21" t="s">
        <v>411</v>
      </c>
      <c r="B495" s="16"/>
      <c r="C495" s="115" t="s">
        <v>461</v>
      </c>
      <c r="D495" s="41">
        <f>D496</f>
        <v>638</v>
      </c>
      <c r="E495" s="41">
        <f t="shared" ref="E495:E496" si="184">E496</f>
        <v>638</v>
      </c>
      <c r="F495" s="99">
        <f t="shared" si="178"/>
        <v>100</v>
      </c>
    </row>
    <row r="496" spans="1:6" ht="51">
      <c r="A496" s="80" t="s">
        <v>215</v>
      </c>
      <c r="B496" s="16"/>
      <c r="C496" s="102" t="s">
        <v>3</v>
      </c>
      <c r="D496" s="41">
        <f>D497</f>
        <v>638</v>
      </c>
      <c r="E496" s="41">
        <f t="shared" si="184"/>
        <v>638</v>
      </c>
      <c r="F496" s="99">
        <f t="shared" si="178"/>
        <v>100</v>
      </c>
    </row>
    <row r="497" spans="1:6" ht="48.75" customHeight="1">
      <c r="A497" s="80" t="s">
        <v>215</v>
      </c>
      <c r="B497" s="16" t="s">
        <v>24</v>
      </c>
      <c r="C497" s="104" t="s">
        <v>666</v>
      </c>
      <c r="D497" s="39">
        <f>588+80-30</f>
        <v>638</v>
      </c>
      <c r="E497" s="39">
        <f>588+80-30</f>
        <v>638</v>
      </c>
      <c r="F497" s="99">
        <f t="shared" si="178"/>
        <v>100</v>
      </c>
    </row>
    <row r="498" spans="1:6" ht="26.25">
      <c r="A498" s="21" t="s">
        <v>414</v>
      </c>
      <c r="B498" s="3"/>
      <c r="C498" s="115" t="s">
        <v>415</v>
      </c>
      <c r="D498" s="103">
        <f>D499</f>
        <v>2773</v>
      </c>
      <c r="E498" s="103">
        <f t="shared" ref="E498:E499" si="185">E499</f>
        <v>2773</v>
      </c>
      <c r="F498" s="99">
        <f t="shared" si="178"/>
        <v>100</v>
      </c>
    </row>
    <row r="499" spans="1:6" ht="26.25">
      <c r="A499" s="80" t="s">
        <v>213</v>
      </c>
      <c r="B499" s="3"/>
      <c r="C499" s="158" t="s">
        <v>682</v>
      </c>
      <c r="D499" s="41">
        <f>D500</f>
        <v>2773</v>
      </c>
      <c r="E499" s="41">
        <f t="shared" si="185"/>
        <v>2773</v>
      </c>
      <c r="F499" s="99">
        <f t="shared" si="178"/>
        <v>100</v>
      </c>
    </row>
    <row r="500" spans="1:6" ht="25.5">
      <c r="A500" s="80" t="s">
        <v>213</v>
      </c>
      <c r="B500" s="85" t="s">
        <v>412</v>
      </c>
      <c r="C500" s="102" t="s">
        <v>413</v>
      </c>
      <c r="D500" s="39">
        <f>2497.4+275.6</f>
        <v>2773</v>
      </c>
      <c r="E500" s="39">
        <f>2497.4+275.6</f>
        <v>2773</v>
      </c>
      <c r="F500" s="99">
        <f t="shared" si="178"/>
        <v>100</v>
      </c>
    </row>
    <row r="501" spans="1:6" ht="51">
      <c r="A501" s="76">
        <v>1400000000</v>
      </c>
      <c r="B501" s="16"/>
      <c r="C501" s="53" t="s">
        <v>789</v>
      </c>
      <c r="D501" s="100">
        <f>D502</f>
        <v>104554.5</v>
      </c>
      <c r="E501" s="100">
        <f>E502</f>
        <v>91236.800000000003</v>
      </c>
      <c r="F501" s="62">
        <f t="shared" si="178"/>
        <v>87.3</v>
      </c>
    </row>
    <row r="502" spans="1:6" ht="63.75">
      <c r="A502" s="75">
        <v>1410000000</v>
      </c>
      <c r="B502" s="16"/>
      <c r="C502" s="48" t="s">
        <v>324</v>
      </c>
      <c r="D502" s="98">
        <f>D503+D510</f>
        <v>104554.5</v>
      </c>
      <c r="E502" s="98">
        <f>E503+E510</f>
        <v>91236.800000000003</v>
      </c>
      <c r="F502" s="58">
        <f t="shared" si="178"/>
        <v>87.3</v>
      </c>
    </row>
    <row r="503" spans="1:6" ht="89.25">
      <c r="A503" s="74">
        <v>1410100000</v>
      </c>
      <c r="B503" s="16"/>
      <c r="C503" s="102" t="s">
        <v>683</v>
      </c>
      <c r="D503" s="41">
        <f>D504+D506+D508</f>
        <v>6620.5</v>
      </c>
      <c r="E503" s="41">
        <f>E504+E506+E508</f>
        <v>6603.7</v>
      </c>
      <c r="F503" s="99">
        <f t="shared" si="178"/>
        <v>99.7</v>
      </c>
    </row>
    <row r="504" spans="1:6" ht="25.5">
      <c r="A504" s="74" t="s">
        <v>627</v>
      </c>
      <c r="B504" s="16"/>
      <c r="C504" s="102" t="s">
        <v>497</v>
      </c>
      <c r="D504" s="41">
        <f>D505</f>
        <v>5265.2</v>
      </c>
      <c r="E504" s="41">
        <f>E505</f>
        <v>5265.2</v>
      </c>
      <c r="F504" s="99">
        <f t="shared" si="178"/>
        <v>100</v>
      </c>
    </row>
    <row r="505" spans="1:6" ht="38.25">
      <c r="A505" s="74" t="s">
        <v>627</v>
      </c>
      <c r="B505" s="85" t="s">
        <v>314</v>
      </c>
      <c r="C505" s="102" t="s">
        <v>315</v>
      </c>
      <c r="D505" s="41">
        <f>478.3+4711.2+75.7</f>
        <v>5265.2</v>
      </c>
      <c r="E505" s="41">
        <v>5265.2</v>
      </c>
      <c r="F505" s="99">
        <f t="shared" si="178"/>
        <v>100</v>
      </c>
    </row>
    <row r="506" spans="1:6">
      <c r="A506" s="74" t="s">
        <v>702</v>
      </c>
      <c r="B506" s="85"/>
      <c r="C506" s="102" t="s">
        <v>703</v>
      </c>
      <c r="D506" s="41">
        <f>D507</f>
        <v>808.7</v>
      </c>
      <c r="E506" s="41">
        <f t="shared" ref="E506" si="186">E507</f>
        <v>791.9</v>
      </c>
      <c r="F506" s="99">
        <f t="shared" si="178"/>
        <v>97.9</v>
      </c>
    </row>
    <row r="507" spans="1:6" ht="38.25">
      <c r="A507" s="74" t="s">
        <v>702</v>
      </c>
      <c r="B507" s="85" t="s">
        <v>314</v>
      </c>
      <c r="C507" s="102" t="s">
        <v>315</v>
      </c>
      <c r="D507" s="41">
        <f>5.7+573+230</f>
        <v>808.7</v>
      </c>
      <c r="E507" s="41">
        <v>791.9</v>
      </c>
      <c r="F507" s="99">
        <f t="shared" si="178"/>
        <v>97.9</v>
      </c>
    </row>
    <row r="508" spans="1:6" ht="38.25">
      <c r="A508" s="74" t="s">
        <v>733</v>
      </c>
      <c r="B508" s="85"/>
      <c r="C508" s="102" t="s">
        <v>734</v>
      </c>
      <c r="D508" s="41">
        <f>D509</f>
        <v>546.6</v>
      </c>
      <c r="E508" s="41">
        <f t="shared" ref="E508" si="187">E509</f>
        <v>546.6</v>
      </c>
      <c r="F508" s="99">
        <f t="shared" si="178"/>
        <v>100</v>
      </c>
    </row>
    <row r="509" spans="1:6" ht="38.25">
      <c r="A509" s="74" t="s">
        <v>733</v>
      </c>
      <c r="B509" s="85" t="s">
        <v>314</v>
      </c>
      <c r="C509" s="102" t="s">
        <v>315</v>
      </c>
      <c r="D509" s="41">
        <f>538+8.6</f>
        <v>546.6</v>
      </c>
      <c r="E509" s="41">
        <f>538+8.6</f>
        <v>546.6</v>
      </c>
      <c r="F509" s="99">
        <f t="shared" si="178"/>
        <v>100</v>
      </c>
    </row>
    <row r="510" spans="1:6" ht="76.5">
      <c r="A510" s="74">
        <v>1410200000</v>
      </c>
      <c r="B510" s="16"/>
      <c r="C510" s="102" t="s">
        <v>684</v>
      </c>
      <c r="D510" s="41">
        <f>D511+D513+D515+D517+D519</f>
        <v>97934</v>
      </c>
      <c r="E510" s="41">
        <f t="shared" ref="E510" si="188">E511+E513+E515+E517+E519</f>
        <v>84633.1</v>
      </c>
      <c r="F510" s="99">
        <f t="shared" si="178"/>
        <v>86.4</v>
      </c>
    </row>
    <row r="511" spans="1:6" ht="25.5">
      <c r="A511" s="74" t="s">
        <v>628</v>
      </c>
      <c r="B511" s="16"/>
      <c r="C511" s="102" t="s">
        <v>499</v>
      </c>
      <c r="D511" s="41">
        <f>D512</f>
        <v>4921.8</v>
      </c>
      <c r="E511" s="41">
        <f t="shared" ref="E511" si="189">E512</f>
        <v>4921.8</v>
      </c>
      <c r="F511" s="99">
        <f t="shared" si="178"/>
        <v>100</v>
      </c>
    </row>
    <row r="512" spans="1:6" ht="38.25">
      <c r="A512" s="74" t="s">
        <v>628</v>
      </c>
      <c r="B512" s="85" t="s">
        <v>314</v>
      </c>
      <c r="C512" s="102" t="s">
        <v>315</v>
      </c>
      <c r="D512" s="41">
        <f>239.1+4758.4-75.7</f>
        <v>4921.8</v>
      </c>
      <c r="E512" s="41">
        <f>239.1+4758.4-75.7</f>
        <v>4921.8</v>
      </c>
      <c r="F512" s="99">
        <f t="shared" si="178"/>
        <v>100</v>
      </c>
    </row>
    <row r="513" spans="1:7">
      <c r="A513" s="74" t="s">
        <v>735</v>
      </c>
      <c r="B513" s="85"/>
      <c r="C513" s="102" t="s">
        <v>703</v>
      </c>
      <c r="D513" s="41">
        <f>D514</f>
        <v>721.7</v>
      </c>
      <c r="E513" s="41">
        <f t="shared" ref="E513" si="190">E514</f>
        <v>390.5</v>
      </c>
      <c r="F513" s="99">
        <f t="shared" si="178"/>
        <v>54.1</v>
      </c>
    </row>
    <row r="514" spans="1:7" ht="38.25">
      <c r="A514" s="74" t="s">
        <v>735</v>
      </c>
      <c r="B514" s="85" t="s">
        <v>314</v>
      </c>
      <c r="C514" s="102" t="s">
        <v>315</v>
      </c>
      <c r="D514" s="41">
        <f>107-107+721.7</f>
        <v>721.7</v>
      </c>
      <c r="E514" s="41">
        <v>390.5</v>
      </c>
      <c r="F514" s="99">
        <f t="shared" si="178"/>
        <v>54.1</v>
      </c>
    </row>
    <row r="515" spans="1:7" ht="51">
      <c r="A515" s="74" t="s">
        <v>635</v>
      </c>
      <c r="B515" s="16"/>
      <c r="C515" s="102" t="s">
        <v>636</v>
      </c>
      <c r="D515" s="41">
        <f>D516</f>
        <v>74810</v>
      </c>
      <c r="E515" s="41">
        <f t="shared" ref="E515" si="191">E516</f>
        <v>74810</v>
      </c>
      <c r="F515" s="99">
        <f t="shared" si="178"/>
        <v>100</v>
      </c>
    </row>
    <row r="516" spans="1:7" ht="38.25">
      <c r="A516" s="74" t="s">
        <v>635</v>
      </c>
      <c r="B516" s="85" t="s">
        <v>314</v>
      </c>
      <c r="C516" s="102" t="s">
        <v>315</v>
      </c>
      <c r="D516" s="41">
        <v>74810</v>
      </c>
      <c r="E516" s="41">
        <v>74810</v>
      </c>
      <c r="F516" s="99">
        <f t="shared" si="178"/>
        <v>100</v>
      </c>
    </row>
    <row r="517" spans="1:7" ht="25.5">
      <c r="A517" s="74">
        <v>1410211180</v>
      </c>
      <c r="B517" s="85"/>
      <c r="C517" s="102" t="s">
        <v>664</v>
      </c>
      <c r="D517" s="41">
        <f>D518</f>
        <v>1000</v>
      </c>
      <c r="E517" s="41">
        <f t="shared" ref="E517" si="192">E518</f>
        <v>955</v>
      </c>
      <c r="F517" s="99">
        <f t="shared" si="178"/>
        <v>95.5</v>
      </c>
    </row>
    <row r="518" spans="1:7" ht="35.25" customHeight="1">
      <c r="A518" s="74">
        <v>1410211180</v>
      </c>
      <c r="B518" s="85" t="s">
        <v>314</v>
      </c>
      <c r="C518" s="102" t="s">
        <v>315</v>
      </c>
      <c r="D518" s="41">
        <v>1000</v>
      </c>
      <c r="E518" s="41">
        <v>955</v>
      </c>
      <c r="F518" s="99">
        <f t="shared" si="178"/>
        <v>95.5</v>
      </c>
    </row>
    <row r="519" spans="1:7" ht="18" customHeight="1">
      <c r="A519" s="74" t="s">
        <v>691</v>
      </c>
      <c r="B519" s="85"/>
      <c r="C519" s="102" t="s">
        <v>692</v>
      </c>
      <c r="D519" s="41">
        <f>D520</f>
        <v>16480.5</v>
      </c>
      <c r="E519" s="41">
        <f t="shared" ref="E519" si="193">E520</f>
        <v>3555.8</v>
      </c>
      <c r="F519" s="99">
        <f t="shared" si="178"/>
        <v>21.6</v>
      </c>
    </row>
    <row r="520" spans="1:7" ht="38.25">
      <c r="A520" s="74" t="s">
        <v>691</v>
      </c>
      <c r="B520" s="85" t="s">
        <v>314</v>
      </c>
      <c r="C520" s="102" t="s">
        <v>315</v>
      </c>
      <c r="D520" s="41">
        <f>1943.3-5.7-1833.1+16000+376</f>
        <v>16480.5</v>
      </c>
      <c r="E520" s="41">
        <v>3555.8</v>
      </c>
      <c r="F520" s="99">
        <f t="shared" si="178"/>
        <v>21.6</v>
      </c>
    </row>
    <row r="521" spans="1:7" ht="51.75">
      <c r="A521" s="73" t="s">
        <v>337</v>
      </c>
      <c r="B521" s="16"/>
      <c r="C521" s="64" t="s">
        <v>515</v>
      </c>
      <c r="D521" s="59">
        <f>D522</f>
        <v>6240.2</v>
      </c>
      <c r="E521" s="59">
        <f t="shared" ref="E521:E522" si="194">E522</f>
        <v>5878.8</v>
      </c>
      <c r="F521" s="65">
        <f t="shared" si="178"/>
        <v>94.2</v>
      </c>
      <c r="G521" s="108"/>
    </row>
    <row r="522" spans="1:7" ht="38.25">
      <c r="A522" s="52" t="s">
        <v>338</v>
      </c>
      <c r="B522" s="47"/>
      <c r="C522" s="48" t="s">
        <v>339</v>
      </c>
      <c r="D522" s="98">
        <f>D523</f>
        <v>6240.2</v>
      </c>
      <c r="E522" s="98">
        <f t="shared" si="194"/>
        <v>5878.8</v>
      </c>
      <c r="F522" s="58">
        <f t="shared" si="178"/>
        <v>94.2</v>
      </c>
      <c r="G522" s="108"/>
    </row>
    <row r="523" spans="1:7" ht="38.25">
      <c r="A523" s="21" t="s">
        <v>340</v>
      </c>
      <c r="B523" s="85"/>
      <c r="C523" s="102" t="s">
        <v>341</v>
      </c>
      <c r="D523" s="41">
        <f>D524+D526+D528+D530+D532+D534+D536+D538+D540+D542</f>
        <v>6240.2</v>
      </c>
      <c r="E523" s="41">
        <f t="shared" ref="E523" si="195">E524+E526+E528+E530+E532+E534+E536+E538+E540+E542</f>
        <v>5878.8</v>
      </c>
      <c r="F523" s="99">
        <f t="shared" si="178"/>
        <v>94.2</v>
      </c>
      <c r="G523" s="108"/>
    </row>
    <row r="524" spans="1:7" ht="25.5">
      <c r="A524" s="21" t="s">
        <v>342</v>
      </c>
      <c r="B524" s="85"/>
      <c r="C524" s="102" t="s">
        <v>611</v>
      </c>
      <c r="D524" s="41">
        <f>D525</f>
        <v>538.1</v>
      </c>
      <c r="E524" s="41">
        <f t="shared" ref="E524" si="196">E525</f>
        <v>538.1</v>
      </c>
      <c r="F524" s="99">
        <f t="shared" si="178"/>
        <v>100</v>
      </c>
      <c r="G524" s="108"/>
    </row>
    <row r="525" spans="1:7" ht="38.25">
      <c r="A525" s="21" t="s">
        <v>342</v>
      </c>
      <c r="B525" s="85" t="s">
        <v>314</v>
      </c>
      <c r="C525" s="102" t="s">
        <v>315</v>
      </c>
      <c r="D525" s="41">
        <f>594.6-56.5</f>
        <v>538.1</v>
      </c>
      <c r="E525" s="41">
        <f>594.6-56.5</f>
        <v>538.1</v>
      </c>
      <c r="F525" s="99">
        <f t="shared" si="178"/>
        <v>100</v>
      </c>
    </row>
    <row r="526" spans="1:7" ht="38.25">
      <c r="A526" s="21" t="s">
        <v>685</v>
      </c>
      <c r="B526" s="16"/>
      <c r="C526" s="102" t="s">
        <v>650</v>
      </c>
      <c r="D526" s="99">
        <f>D527</f>
        <v>339.5</v>
      </c>
      <c r="E526" s="99">
        <f t="shared" ref="E526" si="197">E527</f>
        <v>339.5</v>
      </c>
      <c r="F526" s="99">
        <f t="shared" si="178"/>
        <v>100</v>
      </c>
    </row>
    <row r="527" spans="1:7" ht="38.25">
      <c r="A527" s="21" t="s">
        <v>685</v>
      </c>
      <c r="B527" s="85" t="s">
        <v>314</v>
      </c>
      <c r="C527" s="102" t="s">
        <v>315</v>
      </c>
      <c r="D527" s="41">
        <f>800-432-28.5</f>
        <v>339.5</v>
      </c>
      <c r="E527" s="41">
        <f>800-432-28.5</f>
        <v>339.5</v>
      </c>
      <c r="F527" s="99">
        <f t="shared" si="178"/>
        <v>100</v>
      </c>
    </row>
    <row r="528" spans="1:7" ht="38.25">
      <c r="A528" s="51" t="s">
        <v>637</v>
      </c>
      <c r="B528" s="85"/>
      <c r="C528" s="102" t="s">
        <v>630</v>
      </c>
      <c r="D528" s="41">
        <f>D529</f>
        <v>887.3</v>
      </c>
      <c r="E528" s="41">
        <f t="shared" ref="E528" si="198">E529</f>
        <v>820.8</v>
      </c>
      <c r="F528" s="99">
        <f t="shared" si="178"/>
        <v>92.5</v>
      </c>
    </row>
    <row r="529" spans="1:6" ht="38.25">
      <c r="A529" s="51" t="s">
        <v>637</v>
      </c>
      <c r="B529" s="85" t="s">
        <v>314</v>
      </c>
      <c r="C529" s="102" t="s">
        <v>315</v>
      </c>
      <c r="D529" s="41">
        <v>887.3</v>
      </c>
      <c r="E529" s="41">
        <v>820.8</v>
      </c>
      <c r="F529" s="99">
        <f t="shared" si="178"/>
        <v>92.5</v>
      </c>
    </row>
    <row r="530" spans="1:6" ht="51">
      <c r="A530" s="51" t="s">
        <v>638</v>
      </c>
      <c r="B530" s="85"/>
      <c r="C530" s="102" t="s">
        <v>626</v>
      </c>
      <c r="D530" s="41">
        <f>D531</f>
        <v>3549.1</v>
      </c>
      <c r="E530" s="41">
        <f t="shared" ref="E530" si="199">E531</f>
        <v>3283.3</v>
      </c>
      <c r="F530" s="99">
        <f t="shared" si="178"/>
        <v>92.5</v>
      </c>
    </row>
    <row r="531" spans="1:6" ht="38.25">
      <c r="A531" s="51" t="s">
        <v>638</v>
      </c>
      <c r="B531" s="85" t="s">
        <v>314</v>
      </c>
      <c r="C531" s="102" t="s">
        <v>315</v>
      </c>
      <c r="D531" s="41">
        <v>3549.1</v>
      </c>
      <c r="E531" s="41">
        <v>3283.3</v>
      </c>
      <c r="F531" s="99">
        <f t="shared" si="178"/>
        <v>92.5</v>
      </c>
    </row>
    <row r="532" spans="1:6">
      <c r="A532" s="21" t="s">
        <v>518</v>
      </c>
      <c r="B532" s="16"/>
      <c r="C532" s="102" t="s">
        <v>519</v>
      </c>
      <c r="D532" s="41">
        <f>D533</f>
        <v>249.99999999999997</v>
      </c>
      <c r="E532" s="41">
        <f t="shared" ref="E532" si="200">E533</f>
        <v>227.4</v>
      </c>
      <c r="F532" s="99">
        <f t="shared" si="178"/>
        <v>91</v>
      </c>
    </row>
    <row r="533" spans="1:6" ht="38.25">
      <c r="A533" s="21" t="s">
        <v>518</v>
      </c>
      <c r="B533" s="85" t="s">
        <v>314</v>
      </c>
      <c r="C533" s="102" t="s">
        <v>315</v>
      </c>
      <c r="D533" s="41">
        <f>300-22.1-27.9</f>
        <v>249.99999999999997</v>
      </c>
      <c r="E533" s="41">
        <v>227.4</v>
      </c>
      <c r="F533" s="99">
        <f t="shared" si="178"/>
        <v>91</v>
      </c>
    </row>
    <row r="534" spans="1:6" ht="25.5">
      <c r="A534" s="21" t="s">
        <v>651</v>
      </c>
      <c r="B534" s="16"/>
      <c r="C534" s="102" t="s">
        <v>652</v>
      </c>
      <c r="D534" s="41">
        <f>D535</f>
        <v>294</v>
      </c>
      <c r="E534" s="41">
        <f t="shared" ref="E534:F536" si="201">E535</f>
        <v>287.5</v>
      </c>
      <c r="F534" s="99">
        <f t="shared" si="178"/>
        <v>97.8</v>
      </c>
    </row>
    <row r="535" spans="1:6" ht="38.25">
      <c r="A535" s="21" t="s">
        <v>651</v>
      </c>
      <c r="B535" s="85" t="s">
        <v>314</v>
      </c>
      <c r="C535" s="102" t="s">
        <v>315</v>
      </c>
      <c r="D535" s="41">
        <v>294</v>
      </c>
      <c r="E535" s="41">
        <v>287.5</v>
      </c>
      <c r="F535" s="99">
        <f t="shared" si="178"/>
        <v>97.8</v>
      </c>
    </row>
    <row r="536" spans="1:6" ht="51">
      <c r="A536" s="21" t="s">
        <v>653</v>
      </c>
      <c r="B536" s="16"/>
      <c r="C536" s="102" t="s">
        <v>694</v>
      </c>
      <c r="D536" s="41">
        <f>D537</f>
        <v>30</v>
      </c>
      <c r="E536" s="41">
        <f t="shared" ref="E536:F538" si="202">E537</f>
        <v>30</v>
      </c>
      <c r="F536" s="41">
        <f t="shared" si="201"/>
        <v>0</v>
      </c>
    </row>
    <row r="537" spans="1:6" ht="38.25">
      <c r="A537" s="21" t="s">
        <v>653</v>
      </c>
      <c r="B537" s="85" t="s">
        <v>314</v>
      </c>
      <c r="C537" s="102" t="s">
        <v>315</v>
      </c>
      <c r="D537" s="41">
        <f>7.9+22.1</f>
        <v>30</v>
      </c>
      <c r="E537" s="41">
        <f>7.9+22.1</f>
        <v>30</v>
      </c>
      <c r="F537" s="41">
        <v>0</v>
      </c>
    </row>
    <row r="538" spans="1:6" ht="30.75" customHeight="1">
      <c r="A538" s="21" t="s">
        <v>654</v>
      </c>
      <c r="B538" s="16"/>
      <c r="C538" s="102" t="s">
        <v>655</v>
      </c>
      <c r="D538" s="99">
        <f>D539</f>
        <v>23.4</v>
      </c>
      <c r="E538" s="99">
        <f t="shared" ref="E538:F542" si="203">E539</f>
        <v>23.4</v>
      </c>
      <c r="F538" s="41">
        <f t="shared" si="202"/>
        <v>0</v>
      </c>
    </row>
    <row r="539" spans="1:6" ht="38.25">
      <c r="A539" s="21" t="s">
        <v>654</v>
      </c>
      <c r="B539" s="85" t="s">
        <v>314</v>
      </c>
      <c r="C539" s="102" t="s">
        <v>315</v>
      </c>
      <c r="D539" s="41">
        <v>23.4</v>
      </c>
      <c r="E539" s="41">
        <v>23.4</v>
      </c>
      <c r="F539" s="41">
        <v>0</v>
      </c>
    </row>
    <row r="540" spans="1:6" ht="25.5">
      <c r="A540" s="21" t="s">
        <v>656</v>
      </c>
      <c r="B540" s="16"/>
      <c r="C540" s="102" t="s">
        <v>657</v>
      </c>
      <c r="D540" s="99">
        <f>D541</f>
        <v>6</v>
      </c>
      <c r="E540" s="99">
        <f t="shared" si="203"/>
        <v>6</v>
      </c>
      <c r="F540" s="99">
        <f t="shared" si="203"/>
        <v>0</v>
      </c>
    </row>
    <row r="541" spans="1:6" ht="38.25">
      <c r="A541" s="21" t="s">
        <v>656</v>
      </c>
      <c r="B541" s="85" t="s">
        <v>314</v>
      </c>
      <c r="C541" s="102" t="s">
        <v>315</v>
      </c>
      <c r="D541" s="41">
        <v>6</v>
      </c>
      <c r="E541" s="41">
        <v>6</v>
      </c>
      <c r="F541" s="41">
        <v>0</v>
      </c>
    </row>
    <row r="542" spans="1:6" ht="25.5">
      <c r="A542" s="21" t="s">
        <v>803</v>
      </c>
      <c r="B542" s="85"/>
      <c r="C542" s="102" t="s">
        <v>804</v>
      </c>
      <c r="D542" s="41">
        <f>D543</f>
        <v>322.8</v>
      </c>
      <c r="E542" s="41">
        <f t="shared" ref="E542" si="204">E543</f>
        <v>322.8</v>
      </c>
      <c r="F542" s="99">
        <f t="shared" si="203"/>
        <v>0</v>
      </c>
    </row>
    <row r="543" spans="1:6" ht="38.25">
      <c r="A543" s="21" t="s">
        <v>803</v>
      </c>
      <c r="B543" s="85" t="s">
        <v>314</v>
      </c>
      <c r="C543" s="102" t="s">
        <v>315</v>
      </c>
      <c r="D543" s="41">
        <v>322.8</v>
      </c>
      <c r="E543" s="41">
        <v>322.8</v>
      </c>
      <c r="F543" s="41">
        <v>0</v>
      </c>
    </row>
    <row r="544" spans="1:6" ht="25.5">
      <c r="A544" s="87">
        <v>9900000000</v>
      </c>
      <c r="B544" s="73"/>
      <c r="C544" s="149" t="s">
        <v>195</v>
      </c>
      <c r="D544" s="100">
        <f>D545+D549+D565+D588+D601+D615</f>
        <v>120866.90000000001</v>
      </c>
      <c r="E544" s="100">
        <f>E545+E549+E565+E588+E601+E615</f>
        <v>120319.2</v>
      </c>
      <c r="F544" s="62">
        <f t="shared" ref="F544:F609" si="205">ROUND((E544/D544*100),1)</f>
        <v>99.5</v>
      </c>
    </row>
    <row r="545" spans="1:6">
      <c r="A545" s="80">
        <v>9920000000</v>
      </c>
      <c r="B545" s="73"/>
      <c r="C545" s="162" t="s">
        <v>5</v>
      </c>
      <c r="D545" s="103">
        <f>D546</f>
        <v>1565.8999999999999</v>
      </c>
      <c r="E545" s="103">
        <f t="shared" ref="E545" si="206">E546</f>
        <v>1348.9</v>
      </c>
      <c r="F545" s="99">
        <f t="shared" si="205"/>
        <v>86.1</v>
      </c>
    </row>
    <row r="546" spans="1:6">
      <c r="A546" s="80" t="s">
        <v>51</v>
      </c>
      <c r="B546" s="21"/>
      <c r="C546" s="104" t="s">
        <v>13</v>
      </c>
      <c r="D546" s="39">
        <f>SUM(D547:D548)</f>
        <v>1565.8999999999999</v>
      </c>
      <c r="E546" s="39">
        <f t="shared" ref="E546" si="207">SUM(E547:E548)</f>
        <v>1348.9</v>
      </c>
      <c r="F546" s="99">
        <f t="shared" si="205"/>
        <v>86.1</v>
      </c>
    </row>
    <row r="547" spans="1:6" ht="38.25">
      <c r="A547" s="80" t="s">
        <v>51</v>
      </c>
      <c r="B547" s="85" t="s">
        <v>314</v>
      </c>
      <c r="C547" s="102" t="s">
        <v>315</v>
      </c>
      <c r="D547" s="39">
        <f>165.3+26.4+158.5+214.9+607.5+325.9+9.1</f>
        <v>1507.6</v>
      </c>
      <c r="E547" s="41">
        <v>1348.9</v>
      </c>
      <c r="F547" s="99">
        <f t="shared" si="205"/>
        <v>89.5</v>
      </c>
    </row>
    <row r="548" spans="1:6">
      <c r="A548" s="80" t="s">
        <v>51</v>
      </c>
      <c r="B548" s="16" t="s">
        <v>132</v>
      </c>
      <c r="C548" s="102" t="s">
        <v>133</v>
      </c>
      <c r="D548" s="39">
        <f>250-165.3-26.4+987-158.6-822.3+328.9-325.9-9.1</f>
        <v>58.299999999999976</v>
      </c>
      <c r="E548" s="39">
        <v>0</v>
      </c>
      <c r="F548" s="99">
        <f t="shared" si="205"/>
        <v>0</v>
      </c>
    </row>
    <row r="549" spans="1:6" ht="25.5">
      <c r="A549" s="80">
        <v>9930000000</v>
      </c>
      <c r="B549" s="16"/>
      <c r="C549" s="22" t="s">
        <v>55</v>
      </c>
      <c r="D549" s="39">
        <f>D550+D553+D556+D558+D561+D563</f>
        <v>2597.9</v>
      </c>
      <c r="E549" s="39">
        <f>E550+E553+E556+E558+E561+E563</f>
        <v>2657.8999999999996</v>
      </c>
      <c r="F549" s="99">
        <f t="shared" si="205"/>
        <v>102.3</v>
      </c>
    </row>
    <row r="550" spans="1:6" ht="51">
      <c r="A550" s="80">
        <v>9930010510</v>
      </c>
      <c r="B550" s="16"/>
      <c r="C550" s="104" t="s">
        <v>20</v>
      </c>
      <c r="D550" s="39">
        <f>D551+D552</f>
        <v>382.1</v>
      </c>
      <c r="E550" s="39">
        <f>E551+E552</f>
        <v>286.40000000000003</v>
      </c>
      <c r="F550" s="99">
        <f t="shared" si="205"/>
        <v>75</v>
      </c>
    </row>
    <row r="551" spans="1:6" ht="25.5">
      <c r="A551" s="80">
        <v>9930010510</v>
      </c>
      <c r="B551" s="16" t="s">
        <v>102</v>
      </c>
      <c r="C551" s="107" t="s">
        <v>103</v>
      </c>
      <c r="D551" s="39">
        <v>379.3</v>
      </c>
      <c r="E551" s="41">
        <v>283.60000000000002</v>
      </c>
      <c r="F551" s="99">
        <f t="shared" si="205"/>
        <v>74.8</v>
      </c>
    </row>
    <row r="552" spans="1:6" ht="38.25">
      <c r="A552" s="80">
        <v>9930010510</v>
      </c>
      <c r="B552" s="85" t="s">
        <v>314</v>
      </c>
      <c r="C552" s="102" t="s">
        <v>315</v>
      </c>
      <c r="D552" s="39">
        <v>2.8</v>
      </c>
      <c r="E552" s="39">
        <v>2.8</v>
      </c>
      <c r="F552" s="99">
        <f t="shared" si="205"/>
        <v>100</v>
      </c>
    </row>
    <row r="553" spans="1:6" ht="38.25">
      <c r="A553" s="80">
        <v>9930010540</v>
      </c>
      <c r="B553" s="16"/>
      <c r="C553" s="104" t="s">
        <v>21</v>
      </c>
      <c r="D553" s="39">
        <f>D554+D555</f>
        <v>198</v>
      </c>
      <c r="E553" s="39">
        <f>E554+E555</f>
        <v>176</v>
      </c>
      <c r="F553" s="99">
        <f t="shared" si="205"/>
        <v>88.9</v>
      </c>
    </row>
    <row r="554" spans="1:6" ht="25.5">
      <c r="A554" s="80">
        <v>9930010540</v>
      </c>
      <c r="B554" s="16" t="s">
        <v>102</v>
      </c>
      <c r="C554" s="107" t="s">
        <v>103</v>
      </c>
      <c r="D554" s="39">
        <v>171.3</v>
      </c>
      <c r="E554" s="41">
        <v>149.30000000000001</v>
      </c>
      <c r="F554" s="99">
        <f t="shared" si="205"/>
        <v>87.2</v>
      </c>
    </row>
    <row r="555" spans="1:6" ht="38.25">
      <c r="A555" s="80">
        <v>9930010540</v>
      </c>
      <c r="B555" s="85" t="s">
        <v>314</v>
      </c>
      <c r="C555" s="102" t="s">
        <v>315</v>
      </c>
      <c r="D555" s="39">
        <v>26.7</v>
      </c>
      <c r="E555" s="39">
        <v>26.7</v>
      </c>
      <c r="F555" s="99">
        <f t="shared" si="205"/>
        <v>100</v>
      </c>
    </row>
    <row r="556" spans="1:6" ht="51">
      <c r="A556" s="80">
        <v>9930051200</v>
      </c>
      <c r="B556" s="72"/>
      <c r="C556" s="54" t="s">
        <v>416</v>
      </c>
      <c r="D556" s="118">
        <f>D557</f>
        <v>13.9</v>
      </c>
      <c r="E556" s="118">
        <f t="shared" ref="E556" si="208">E557</f>
        <v>13.9</v>
      </c>
      <c r="F556" s="99">
        <f t="shared" si="205"/>
        <v>100</v>
      </c>
    </row>
    <row r="557" spans="1:6" ht="38.25">
      <c r="A557" s="80">
        <v>9930051200</v>
      </c>
      <c r="B557" s="85" t="s">
        <v>314</v>
      </c>
      <c r="C557" s="102" t="s">
        <v>315</v>
      </c>
      <c r="D557" s="118">
        <v>13.9</v>
      </c>
      <c r="E557" s="118">
        <v>13.9</v>
      </c>
      <c r="F557" s="99">
        <f t="shared" si="205"/>
        <v>100</v>
      </c>
    </row>
    <row r="558" spans="1:6" ht="38.25">
      <c r="A558" s="80">
        <v>9930059302</v>
      </c>
      <c r="B558" s="16"/>
      <c r="C558" s="151" t="s">
        <v>693</v>
      </c>
      <c r="D558" s="39">
        <f>SUM(D559:D560)</f>
        <v>1764.8</v>
      </c>
      <c r="E558" s="39">
        <f>SUM(E559:E560)</f>
        <v>1764.8</v>
      </c>
      <c r="F558" s="99">
        <f t="shared" si="205"/>
        <v>100</v>
      </c>
    </row>
    <row r="559" spans="1:6" ht="25.5">
      <c r="A559" s="80">
        <v>9930059302</v>
      </c>
      <c r="B559" s="16" t="s">
        <v>102</v>
      </c>
      <c r="C559" s="55" t="s">
        <v>103</v>
      </c>
      <c r="D559" s="39">
        <f>1122.8+158.9+239.1-239.1+1.6</f>
        <v>1283.3</v>
      </c>
      <c r="E559" s="39">
        <f>1122.8+158.9+239.1-239.1+1.6</f>
        <v>1283.3</v>
      </c>
      <c r="F559" s="99">
        <f t="shared" si="205"/>
        <v>100</v>
      </c>
    </row>
    <row r="560" spans="1:6" ht="38.25">
      <c r="A560" s="80">
        <v>9930059302</v>
      </c>
      <c r="B560" s="85" t="s">
        <v>314</v>
      </c>
      <c r="C560" s="102" t="s">
        <v>315</v>
      </c>
      <c r="D560" s="39">
        <f>642-158.9-1.6</f>
        <v>481.5</v>
      </c>
      <c r="E560" s="39">
        <f>642-158.9-1.6</f>
        <v>481.5</v>
      </c>
      <c r="F560" s="99">
        <f t="shared" si="205"/>
        <v>100</v>
      </c>
    </row>
    <row r="561" spans="1:6" ht="64.5" customHeight="1">
      <c r="A561" s="80" t="s">
        <v>807</v>
      </c>
      <c r="B561" s="85"/>
      <c r="C561" s="102" t="s">
        <v>808</v>
      </c>
      <c r="D561" s="39">
        <v>239.1</v>
      </c>
      <c r="E561" s="39">
        <v>239.1</v>
      </c>
      <c r="F561" s="99">
        <f t="shared" si="205"/>
        <v>100</v>
      </c>
    </row>
    <row r="562" spans="1:6" ht="25.5">
      <c r="A562" s="80" t="s">
        <v>807</v>
      </c>
      <c r="B562" s="85" t="s">
        <v>102</v>
      </c>
      <c r="C562" s="102" t="s">
        <v>103</v>
      </c>
      <c r="D562" s="39">
        <v>239.1</v>
      </c>
      <c r="E562" s="39">
        <v>239.1</v>
      </c>
      <c r="F562" s="99">
        <f t="shared" si="205"/>
        <v>100</v>
      </c>
    </row>
    <row r="563" spans="1:6" ht="63.75">
      <c r="A563" s="80">
        <v>9930058792</v>
      </c>
      <c r="B563" s="85"/>
      <c r="C563" s="130" t="s">
        <v>892</v>
      </c>
      <c r="D563" s="229">
        <f>D564</f>
        <v>0</v>
      </c>
      <c r="E563" s="229">
        <f>E564</f>
        <v>177.7</v>
      </c>
      <c r="F563" s="227"/>
    </row>
    <row r="564" spans="1:6" ht="25.5">
      <c r="A564" s="80">
        <v>9930058792</v>
      </c>
      <c r="B564" s="85" t="s">
        <v>102</v>
      </c>
      <c r="C564" s="102" t="s">
        <v>103</v>
      </c>
      <c r="D564" s="229">
        <f>177.7-177.7</f>
        <v>0</v>
      </c>
      <c r="E564" s="229">
        <v>177.7</v>
      </c>
      <c r="F564" s="227"/>
    </row>
    <row r="565" spans="1:6" ht="25.5">
      <c r="A565" s="16" t="s">
        <v>31</v>
      </c>
      <c r="B565" s="16"/>
      <c r="C565" s="104" t="s">
        <v>53</v>
      </c>
      <c r="D565" s="39">
        <f>D566+D568+D570+D572+D577+D581+D583+D585</f>
        <v>26502</v>
      </c>
      <c r="E565" s="39">
        <f>E566+E568+E570+E572+E577+E581+E583+E585</f>
        <v>26307.299999999996</v>
      </c>
      <c r="F565" s="99">
        <f t="shared" si="205"/>
        <v>99.3</v>
      </c>
    </row>
    <row r="566" spans="1:6">
      <c r="A566" s="80" t="s">
        <v>424</v>
      </c>
      <c r="B566" s="16"/>
      <c r="C566" s="22" t="s">
        <v>12</v>
      </c>
      <c r="D566" s="39">
        <f>D567</f>
        <v>35</v>
      </c>
      <c r="E566" s="39">
        <f t="shared" ref="E566" si="209">E567</f>
        <v>34.299999999999997</v>
      </c>
      <c r="F566" s="99">
        <f t="shared" si="205"/>
        <v>98</v>
      </c>
    </row>
    <row r="567" spans="1:6">
      <c r="A567" s="80" t="s">
        <v>424</v>
      </c>
      <c r="B567" s="16" t="s">
        <v>17</v>
      </c>
      <c r="C567" s="102" t="s">
        <v>18</v>
      </c>
      <c r="D567" s="39">
        <v>35</v>
      </c>
      <c r="E567" s="39">
        <v>34.299999999999997</v>
      </c>
      <c r="F567" s="99">
        <f t="shared" si="205"/>
        <v>98</v>
      </c>
    </row>
    <row r="568" spans="1:6">
      <c r="A568" s="85" t="s">
        <v>797</v>
      </c>
      <c r="B568" s="16"/>
      <c r="C568" s="54" t="s">
        <v>798</v>
      </c>
      <c r="D568" s="103">
        <f>D569</f>
        <v>723.5</v>
      </c>
      <c r="E568" s="103">
        <f t="shared" ref="E568" si="210">E569</f>
        <v>722</v>
      </c>
      <c r="F568" s="99">
        <f t="shared" si="205"/>
        <v>99.8</v>
      </c>
    </row>
    <row r="569" spans="1:6">
      <c r="A569" s="85" t="s">
        <v>797</v>
      </c>
      <c r="B569" s="85" t="s">
        <v>334</v>
      </c>
      <c r="C569" s="102" t="s">
        <v>333</v>
      </c>
      <c r="D569" s="103">
        <f>68.8+385.4+121+148.3</f>
        <v>723.5</v>
      </c>
      <c r="E569" s="103">
        <f>68.8+148.3+504.9</f>
        <v>722</v>
      </c>
      <c r="F569" s="99">
        <f t="shared" si="205"/>
        <v>99.8</v>
      </c>
    </row>
    <row r="570" spans="1:6">
      <c r="A570" s="85" t="s">
        <v>802</v>
      </c>
      <c r="B570" s="16"/>
      <c r="C570" s="54" t="s">
        <v>801</v>
      </c>
      <c r="D570" s="103">
        <f>D571</f>
        <v>70.900000000000006</v>
      </c>
      <c r="E570" s="103">
        <f t="shared" ref="E570" si="211">E571</f>
        <v>70.900000000000006</v>
      </c>
      <c r="F570" s="99">
        <f t="shared" si="205"/>
        <v>100</v>
      </c>
    </row>
    <row r="571" spans="1:6">
      <c r="A571" s="85" t="s">
        <v>802</v>
      </c>
      <c r="B571" s="85" t="s">
        <v>466</v>
      </c>
      <c r="C571" s="102" t="s">
        <v>467</v>
      </c>
      <c r="D571" s="103">
        <f>53.4+12.5+5</f>
        <v>70.900000000000006</v>
      </c>
      <c r="E571" s="103">
        <f>5+65.9</f>
        <v>70.900000000000006</v>
      </c>
      <c r="F571" s="99">
        <f t="shared" si="205"/>
        <v>100</v>
      </c>
    </row>
    <row r="572" spans="1:6" ht="25.5">
      <c r="A572" s="84" t="s">
        <v>286</v>
      </c>
      <c r="B572" s="16"/>
      <c r="C572" s="104" t="s">
        <v>54</v>
      </c>
      <c r="D572" s="39">
        <f>SUM(D573:D576)</f>
        <v>7956.6</v>
      </c>
      <c r="E572" s="39">
        <f>SUM(E573:E576)</f>
        <v>7823.4000000000005</v>
      </c>
      <c r="F572" s="99">
        <f t="shared" si="205"/>
        <v>98.3</v>
      </c>
    </row>
    <row r="573" spans="1:6" ht="38.25">
      <c r="A573" s="84" t="s">
        <v>286</v>
      </c>
      <c r="B573" s="85" t="s">
        <v>314</v>
      </c>
      <c r="C573" s="102" t="s">
        <v>315</v>
      </c>
      <c r="D573" s="39">
        <v>241</v>
      </c>
      <c r="E573" s="118">
        <v>189.9</v>
      </c>
      <c r="F573" s="99">
        <f t="shared" si="205"/>
        <v>78.8</v>
      </c>
    </row>
    <row r="574" spans="1:6">
      <c r="A574" s="84" t="s">
        <v>286</v>
      </c>
      <c r="B574" s="16" t="s">
        <v>129</v>
      </c>
      <c r="C574" s="102" t="s">
        <v>130</v>
      </c>
      <c r="D574" s="39">
        <f>359-39.6</f>
        <v>319.39999999999998</v>
      </c>
      <c r="E574" s="39">
        <v>243.3</v>
      </c>
      <c r="F574" s="99">
        <f t="shared" si="205"/>
        <v>76.2</v>
      </c>
    </row>
    <row r="575" spans="1:6">
      <c r="A575" s="84" t="s">
        <v>286</v>
      </c>
      <c r="B575" s="85" t="s">
        <v>466</v>
      </c>
      <c r="C575" s="102" t="s">
        <v>467</v>
      </c>
      <c r="D575" s="39">
        <f>19.6+21.5+6+766.2+383.3</f>
        <v>1196.6000000000001</v>
      </c>
      <c r="E575" s="39">
        <f>19.6+21.5+6+766.2+383.3</f>
        <v>1196.6000000000001</v>
      </c>
      <c r="F575" s="99">
        <f t="shared" si="205"/>
        <v>100</v>
      </c>
    </row>
    <row r="576" spans="1:6">
      <c r="A576" s="84" t="s">
        <v>286</v>
      </c>
      <c r="B576" s="84" t="s">
        <v>180</v>
      </c>
      <c r="C576" s="102" t="s">
        <v>181</v>
      </c>
      <c r="D576" s="39">
        <f>602-400+4328.7+28.7+900.7+92.1+607.8+39.6</f>
        <v>6199.6</v>
      </c>
      <c r="E576" s="39">
        <v>6193.6</v>
      </c>
      <c r="F576" s="99">
        <f t="shared" si="205"/>
        <v>99.9</v>
      </c>
    </row>
    <row r="577" spans="1:6" ht="25.5">
      <c r="A577" s="85" t="s">
        <v>488</v>
      </c>
      <c r="B577" s="16"/>
      <c r="C577" s="54" t="s">
        <v>468</v>
      </c>
      <c r="D577" s="39">
        <f>SUM(D578:D580)</f>
        <v>7119.5</v>
      </c>
      <c r="E577" s="39">
        <f>SUM(E578:E580)</f>
        <v>7118.4</v>
      </c>
      <c r="F577" s="99">
        <f t="shared" si="205"/>
        <v>100</v>
      </c>
    </row>
    <row r="578" spans="1:6" ht="38.25">
      <c r="A578" s="85" t="s">
        <v>488</v>
      </c>
      <c r="B578" s="85" t="s">
        <v>314</v>
      </c>
      <c r="C578" s="102" t="s">
        <v>315</v>
      </c>
      <c r="D578" s="39">
        <f>717.4-601.8+361+23+24.2+35+175+148.5+76.4+2.5+1754.7+6.6-0.8</f>
        <v>2721.7</v>
      </c>
      <c r="E578" s="39">
        <f>148.5+67.3+2278.5+18.2+173.1+35</f>
        <v>2720.6</v>
      </c>
      <c r="F578" s="99">
        <f t="shared" si="205"/>
        <v>100</v>
      </c>
    </row>
    <row r="579" spans="1:6">
      <c r="A579" s="85" t="s">
        <v>488</v>
      </c>
      <c r="B579" s="85" t="s">
        <v>466</v>
      </c>
      <c r="C579" s="102" t="s">
        <v>467</v>
      </c>
      <c r="D579" s="39">
        <f>601.8+125.6+28.1+185.6+22.1+0.8</f>
        <v>964</v>
      </c>
      <c r="E579" s="39">
        <f>28.1+835.7+99.4+0.8</f>
        <v>964</v>
      </c>
      <c r="F579" s="99">
        <f t="shared" si="205"/>
        <v>100</v>
      </c>
    </row>
    <row r="580" spans="1:6">
      <c r="A580" s="85" t="s">
        <v>488</v>
      </c>
      <c r="B580" s="84" t="s">
        <v>180</v>
      </c>
      <c r="C580" s="102" t="s">
        <v>181</v>
      </c>
      <c r="D580" s="39">
        <f>400+100+2991.2-28.7-28.7</f>
        <v>3433.8</v>
      </c>
      <c r="E580" s="39">
        <v>3433.8</v>
      </c>
      <c r="F580" s="99">
        <f t="shared" si="205"/>
        <v>100</v>
      </c>
    </row>
    <row r="581" spans="1:6" ht="25.5">
      <c r="A581" s="85" t="s">
        <v>729</v>
      </c>
      <c r="B581" s="16"/>
      <c r="C581" s="54" t="s">
        <v>468</v>
      </c>
      <c r="D581" s="41">
        <f>SUM(D582:D582)</f>
        <v>718.1</v>
      </c>
      <c r="E581" s="41">
        <f t="shared" ref="E581" si="212">SUM(E582:E582)</f>
        <v>710.3</v>
      </c>
      <c r="F581" s="99">
        <f t="shared" si="205"/>
        <v>98.9</v>
      </c>
    </row>
    <row r="582" spans="1:6">
      <c r="A582" s="85" t="s">
        <v>729</v>
      </c>
      <c r="B582" s="85" t="s">
        <v>334</v>
      </c>
      <c r="C582" s="102" t="s">
        <v>333</v>
      </c>
      <c r="D582" s="41">
        <f>10.9+10+37.5+19.6+149.2+266.1+214.4+30-19.6</f>
        <v>718.1</v>
      </c>
      <c r="E582" s="41">
        <f>217.2+268.3+39.3+155.5+30</f>
        <v>710.3</v>
      </c>
      <c r="F582" s="99">
        <f t="shared" si="205"/>
        <v>98.9</v>
      </c>
    </row>
    <row r="583" spans="1:6">
      <c r="A583" s="85" t="s">
        <v>783</v>
      </c>
      <c r="B583" s="84"/>
      <c r="C583" s="102" t="s">
        <v>780</v>
      </c>
      <c r="D583" s="39">
        <f>D584</f>
        <v>9178.4</v>
      </c>
      <c r="E583" s="39">
        <f t="shared" ref="E583" si="213">E584</f>
        <v>9178.4</v>
      </c>
      <c r="F583" s="99">
        <f t="shared" si="205"/>
        <v>100</v>
      </c>
    </row>
    <row r="584" spans="1:6" ht="54.75" customHeight="1">
      <c r="A584" s="85" t="s">
        <v>783</v>
      </c>
      <c r="B584" s="16" t="s">
        <v>15</v>
      </c>
      <c r="C584" s="102" t="s">
        <v>696</v>
      </c>
      <c r="D584" s="39">
        <f>300+5954.9+328+2595.5+2500-2500</f>
        <v>9178.4</v>
      </c>
      <c r="E584" s="39">
        <f>300+5954.9+328+2595.5+2500-2500</f>
        <v>9178.4</v>
      </c>
      <c r="F584" s="99">
        <f t="shared" si="205"/>
        <v>100</v>
      </c>
    </row>
    <row r="585" spans="1:6" ht="38.25">
      <c r="A585" s="85" t="s">
        <v>589</v>
      </c>
      <c r="B585" s="16"/>
      <c r="C585" s="54" t="s">
        <v>590</v>
      </c>
      <c r="D585" s="41">
        <f>SUM(D586:D587)</f>
        <v>700</v>
      </c>
      <c r="E585" s="41">
        <f>SUM(E586:E587)</f>
        <v>649.6</v>
      </c>
      <c r="F585" s="99">
        <f t="shared" si="205"/>
        <v>92.8</v>
      </c>
    </row>
    <row r="586" spans="1:6" ht="38.25">
      <c r="A586" s="85" t="s">
        <v>589</v>
      </c>
      <c r="B586" s="85" t="s">
        <v>314</v>
      </c>
      <c r="C586" s="102" t="s">
        <v>315</v>
      </c>
      <c r="D586" s="41">
        <f>50+10+130+50+10</f>
        <v>250</v>
      </c>
      <c r="E586" s="39">
        <f>9.8+59.8+130</f>
        <v>199.6</v>
      </c>
      <c r="F586" s="99">
        <f t="shared" si="205"/>
        <v>79.8</v>
      </c>
    </row>
    <row r="587" spans="1:6">
      <c r="A587" s="85" t="s">
        <v>632</v>
      </c>
      <c r="B587" s="85" t="s">
        <v>334</v>
      </c>
      <c r="C587" s="102" t="s">
        <v>333</v>
      </c>
      <c r="D587" s="41">
        <f>290+90+40+30+50-50</f>
        <v>450</v>
      </c>
      <c r="E587" s="39">
        <f>240+90+40+30+50</f>
        <v>450</v>
      </c>
      <c r="F587" s="99">
        <f t="shared" si="205"/>
        <v>100</v>
      </c>
    </row>
    <row r="588" spans="1:6">
      <c r="A588" s="84" t="s">
        <v>283</v>
      </c>
      <c r="B588" s="84"/>
      <c r="C588" s="102" t="s">
        <v>427</v>
      </c>
      <c r="D588" s="39">
        <f>D589+D592+D596</f>
        <v>27953.200000000001</v>
      </c>
      <c r="E588" s="39">
        <f>E589+E592+E596</f>
        <v>27173.9</v>
      </c>
      <c r="F588" s="99">
        <f t="shared" si="205"/>
        <v>97.2</v>
      </c>
    </row>
    <row r="589" spans="1:6" ht="25.5">
      <c r="A589" s="21" t="s">
        <v>282</v>
      </c>
      <c r="B589" s="47"/>
      <c r="C589" s="54" t="s">
        <v>417</v>
      </c>
      <c r="D589" s="41">
        <f>D590+D591</f>
        <v>4339.7</v>
      </c>
      <c r="E589" s="41">
        <f>E590+E591</f>
        <v>4302.3999999999996</v>
      </c>
      <c r="F589" s="99">
        <f t="shared" si="205"/>
        <v>99.1</v>
      </c>
    </row>
    <row r="590" spans="1:6" ht="25.5">
      <c r="A590" s="21" t="s">
        <v>282</v>
      </c>
      <c r="B590" s="16" t="s">
        <v>104</v>
      </c>
      <c r="C590" s="107" t="s">
        <v>179</v>
      </c>
      <c r="D590" s="41">
        <f>3898.9+267.3-8</f>
        <v>4158.2</v>
      </c>
      <c r="E590" s="41">
        <v>4120.8999999999996</v>
      </c>
      <c r="F590" s="99">
        <f t="shared" si="205"/>
        <v>99.1</v>
      </c>
    </row>
    <row r="591" spans="1:6" ht="38.25">
      <c r="A591" s="21" t="s">
        <v>282</v>
      </c>
      <c r="B591" s="85" t="s">
        <v>314</v>
      </c>
      <c r="C591" s="102" t="s">
        <v>315</v>
      </c>
      <c r="D591" s="41">
        <f>164.5+17</f>
        <v>181.5</v>
      </c>
      <c r="E591" s="41">
        <f>164.5+17</f>
        <v>181.5</v>
      </c>
      <c r="F591" s="99">
        <f t="shared" si="205"/>
        <v>100</v>
      </c>
    </row>
    <row r="592" spans="1:6" ht="29.25" customHeight="1">
      <c r="A592" s="21" t="s">
        <v>285</v>
      </c>
      <c r="B592" s="47"/>
      <c r="C592" s="54" t="s">
        <v>425</v>
      </c>
      <c r="D592" s="41">
        <f>SUM(D593:D595)</f>
        <v>8726.7000000000007</v>
      </c>
      <c r="E592" s="41">
        <f t="shared" ref="E592" si="214">SUM(E593:E595)</f>
        <v>8720.7000000000007</v>
      </c>
      <c r="F592" s="99">
        <f t="shared" si="205"/>
        <v>99.9</v>
      </c>
    </row>
    <row r="593" spans="1:6" ht="25.5">
      <c r="A593" s="21" t="s">
        <v>285</v>
      </c>
      <c r="B593" s="16" t="s">
        <v>104</v>
      </c>
      <c r="C593" s="107" t="s">
        <v>179</v>
      </c>
      <c r="D593" s="41">
        <v>7803.3</v>
      </c>
      <c r="E593" s="41">
        <v>7803.3</v>
      </c>
      <c r="F593" s="99">
        <f t="shared" si="205"/>
        <v>100</v>
      </c>
    </row>
    <row r="594" spans="1:6" ht="38.25">
      <c r="A594" s="21" t="s">
        <v>285</v>
      </c>
      <c r="B594" s="85" t="s">
        <v>314</v>
      </c>
      <c r="C594" s="102" t="s">
        <v>315</v>
      </c>
      <c r="D594" s="41">
        <f>686.8+60+150+25.6-3.6</f>
        <v>918.8</v>
      </c>
      <c r="E594" s="39">
        <v>912.8</v>
      </c>
      <c r="F594" s="99">
        <f t="shared" si="205"/>
        <v>99.3</v>
      </c>
    </row>
    <row r="595" spans="1:6">
      <c r="A595" s="21" t="s">
        <v>285</v>
      </c>
      <c r="B595" s="84" t="s">
        <v>180</v>
      </c>
      <c r="C595" s="102" t="s">
        <v>181</v>
      </c>
      <c r="D595" s="41">
        <f>1+3.6</f>
        <v>4.5999999999999996</v>
      </c>
      <c r="E595" s="39">
        <v>4.5999999999999996</v>
      </c>
      <c r="F595" s="99">
        <f t="shared" si="205"/>
        <v>100</v>
      </c>
    </row>
    <row r="596" spans="1:6" ht="25.5">
      <c r="A596" s="21" t="s">
        <v>287</v>
      </c>
      <c r="B596" s="47"/>
      <c r="C596" s="54" t="s">
        <v>426</v>
      </c>
      <c r="D596" s="41">
        <f>SUM(D597:D600)</f>
        <v>14886.8</v>
      </c>
      <c r="E596" s="41">
        <f>SUM(E597:E600)</f>
        <v>14150.8</v>
      </c>
      <c r="F596" s="99">
        <f t="shared" si="205"/>
        <v>95.1</v>
      </c>
    </row>
    <row r="597" spans="1:6" ht="25.5">
      <c r="A597" s="21" t="s">
        <v>287</v>
      </c>
      <c r="B597" s="16" t="s">
        <v>104</v>
      </c>
      <c r="C597" s="107" t="s">
        <v>179</v>
      </c>
      <c r="D597" s="41">
        <f>6912.1-37.1</f>
        <v>6875</v>
      </c>
      <c r="E597" s="41">
        <v>6792.9</v>
      </c>
      <c r="F597" s="99">
        <f t="shared" si="205"/>
        <v>98.8</v>
      </c>
    </row>
    <row r="598" spans="1:6" ht="38.25">
      <c r="A598" s="21" t="s">
        <v>287</v>
      </c>
      <c r="B598" s="85" t="s">
        <v>314</v>
      </c>
      <c r="C598" s="102" t="s">
        <v>315</v>
      </c>
      <c r="D598" s="41">
        <f>8951.4+20.2-28.1-60-10+125.9-1000-166</f>
        <v>7833.4</v>
      </c>
      <c r="E598" s="103">
        <v>7202.9</v>
      </c>
      <c r="F598" s="99">
        <f t="shared" si="205"/>
        <v>92</v>
      </c>
    </row>
    <row r="599" spans="1:6">
      <c r="A599" s="21" t="s">
        <v>287</v>
      </c>
      <c r="B599" s="85" t="s">
        <v>466</v>
      </c>
      <c r="C599" s="102" t="s">
        <v>467</v>
      </c>
      <c r="D599" s="118">
        <v>11.9</v>
      </c>
      <c r="E599" s="41">
        <v>11.9</v>
      </c>
      <c r="F599" s="99">
        <f t="shared" si="205"/>
        <v>100</v>
      </c>
    </row>
    <row r="600" spans="1:6">
      <c r="A600" s="21" t="s">
        <v>287</v>
      </c>
      <c r="B600" s="85" t="s">
        <v>180</v>
      </c>
      <c r="C600" s="102" t="s">
        <v>181</v>
      </c>
      <c r="D600" s="118">
        <f>128.6+10+27.9</f>
        <v>166.5</v>
      </c>
      <c r="E600" s="41">
        <v>143.1</v>
      </c>
      <c r="F600" s="99">
        <f t="shared" si="205"/>
        <v>85.9</v>
      </c>
    </row>
    <row r="601" spans="1:6" ht="38.25">
      <c r="A601" s="116">
        <v>9980000000</v>
      </c>
      <c r="B601" s="117"/>
      <c r="C601" s="102" t="s">
        <v>37</v>
      </c>
      <c r="D601" s="118">
        <f>D602+D604+D608+D612</f>
        <v>57046.100000000006</v>
      </c>
      <c r="E601" s="118">
        <f>E602+E604+E608+E612</f>
        <v>57823.7</v>
      </c>
      <c r="F601" s="99">
        <f t="shared" si="205"/>
        <v>101.4</v>
      </c>
    </row>
    <row r="602" spans="1:6">
      <c r="A602" s="80" t="s">
        <v>191</v>
      </c>
      <c r="B602" s="16"/>
      <c r="C602" s="22" t="s">
        <v>162</v>
      </c>
      <c r="D602" s="39">
        <f>D603</f>
        <v>1531.6</v>
      </c>
      <c r="E602" s="39">
        <f t="shared" ref="E602" si="215">E603</f>
        <v>1881</v>
      </c>
      <c r="F602" s="99">
        <f t="shared" si="205"/>
        <v>122.8</v>
      </c>
    </row>
    <row r="603" spans="1:6" ht="25.5">
      <c r="A603" s="80" t="s">
        <v>191</v>
      </c>
      <c r="B603" s="16" t="s">
        <v>102</v>
      </c>
      <c r="C603" s="133" t="s">
        <v>126</v>
      </c>
      <c r="D603" s="39">
        <f>1531.6+401.3-401.3</f>
        <v>1531.6</v>
      </c>
      <c r="E603" s="39">
        <v>1881</v>
      </c>
      <c r="F603" s="99">
        <f t="shared" si="205"/>
        <v>122.8</v>
      </c>
    </row>
    <row r="604" spans="1:6">
      <c r="A604" s="80" t="s">
        <v>50</v>
      </c>
      <c r="B604" s="21"/>
      <c r="C604" s="22" t="s">
        <v>163</v>
      </c>
      <c r="D604" s="39">
        <f>SUM(D605:D607)</f>
        <v>46071.000000000007</v>
      </c>
      <c r="E604" s="39">
        <f>E605+E606+E607</f>
        <v>46460.1</v>
      </c>
      <c r="F604" s="99">
        <f t="shared" si="205"/>
        <v>100.8</v>
      </c>
    </row>
    <row r="605" spans="1:6" ht="25.5">
      <c r="A605" s="80" t="s">
        <v>50</v>
      </c>
      <c r="B605" s="16" t="s">
        <v>102</v>
      </c>
      <c r="C605" s="55" t="s">
        <v>103</v>
      </c>
      <c r="D605" s="39">
        <f>40190.3-305.6-16-55.5-25-55.6-55.5-90-55.5+234.5+923.5-923.5</f>
        <v>39766.100000000006</v>
      </c>
      <c r="E605" s="39">
        <v>40363.1</v>
      </c>
      <c r="F605" s="99">
        <f t="shared" si="205"/>
        <v>101.5</v>
      </c>
    </row>
    <row r="606" spans="1:6" ht="38.25">
      <c r="A606" s="80" t="s">
        <v>50</v>
      </c>
      <c r="B606" s="85" t="s">
        <v>314</v>
      </c>
      <c r="C606" s="102" t="s">
        <v>315</v>
      </c>
      <c r="D606" s="39">
        <f>5766.3+305.6+16+55.5+55.6+25+55.5+90+55.5-160.6</f>
        <v>6264.4000000000005</v>
      </c>
      <c r="E606" s="39">
        <v>6056.7</v>
      </c>
      <c r="F606" s="99">
        <f t="shared" si="205"/>
        <v>96.7</v>
      </c>
    </row>
    <row r="607" spans="1:6">
      <c r="A607" s="80" t="s">
        <v>50</v>
      </c>
      <c r="B607" s="84" t="s">
        <v>180</v>
      </c>
      <c r="C607" s="102" t="s">
        <v>181</v>
      </c>
      <c r="D607" s="41">
        <f>114.4-73.9</f>
        <v>40.5</v>
      </c>
      <c r="E607" s="103">
        <v>40.299999999999997</v>
      </c>
      <c r="F607" s="99">
        <f t="shared" si="205"/>
        <v>99.5</v>
      </c>
    </row>
    <row r="608" spans="1:6">
      <c r="A608" s="80" t="s">
        <v>50</v>
      </c>
      <c r="B608" s="21"/>
      <c r="C608" s="22" t="s">
        <v>163</v>
      </c>
      <c r="D608" s="39">
        <f>SUM(D609:D611)</f>
        <v>8943.2000000000007</v>
      </c>
      <c r="E608" s="39">
        <f>SUM(E609:E611)</f>
        <v>8983.1</v>
      </c>
      <c r="F608" s="99">
        <f t="shared" si="205"/>
        <v>100.4</v>
      </c>
    </row>
    <row r="609" spans="1:6" ht="25.5">
      <c r="A609" s="80" t="s">
        <v>50</v>
      </c>
      <c r="B609" s="16" t="s">
        <v>102</v>
      </c>
      <c r="C609" s="107" t="s">
        <v>103</v>
      </c>
      <c r="D609" s="39">
        <f>8691.2-50.2</f>
        <v>8641</v>
      </c>
      <c r="E609" s="39">
        <v>8691.2000000000007</v>
      </c>
      <c r="F609" s="99">
        <f t="shared" si="205"/>
        <v>100.6</v>
      </c>
    </row>
    <row r="610" spans="1:6" ht="38.25">
      <c r="A610" s="80" t="s">
        <v>50</v>
      </c>
      <c r="B610" s="85" t="s">
        <v>314</v>
      </c>
      <c r="C610" s="102" t="s">
        <v>315</v>
      </c>
      <c r="D610" s="39">
        <f>397.9-101.7</f>
        <v>296.2</v>
      </c>
      <c r="E610" s="39">
        <v>288.89999999999998</v>
      </c>
      <c r="F610" s="99">
        <f t="shared" ref="F610:F624" si="216">ROUND((E610/D610*100),1)</f>
        <v>97.5</v>
      </c>
    </row>
    <row r="611" spans="1:6">
      <c r="A611" s="80" t="s">
        <v>50</v>
      </c>
      <c r="B611" s="85" t="s">
        <v>466</v>
      </c>
      <c r="C611" s="102" t="s">
        <v>467</v>
      </c>
      <c r="D611" s="39">
        <f>12-6</f>
        <v>6</v>
      </c>
      <c r="E611" s="39">
        <v>3</v>
      </c>
      <c r="F611" s="99">
        <f t="shared" si="216"/>
        <v>50</v>
      </c>
    </row>
    <row r="612" spans="1:6">
      <c r="A612" s="80" t="s">
        <v>52</v>
      </c>
      <c r="B612" s="16"/>
      <c r="C612" s="109" t="s">
        <v>428</v>
      </c>
      <c r="D612" s="39">
        <f>D613+D614</f>
        <v>500.3</v>
      </c>
      <c r="E612" s="39">
        <f t="shared" ref="E612" si="217">E613+E614</f>
        <v>499.5</v>
      </c>
      <c r="F612" s="99">
        <f t="shared" si="216"/>
        <v>99.8</v>
      </c>
    </row>
    <row r="613" spans="1:6" s="32" customFormat="1" ht="25.5">
      <c r="A613" s="80" t="s">
        <v>52</v>
      </c>
      <c r="B613" s="16" t="s">
        <v>102</v>
      </c>
      <c r="C613" s="55" t="s">
        <v>103</v>
      </c>
      <c r="D613" s="39">
        <f>349.6-59.6</f>
        <v>290</v>
      </c>
      <c r="E613" s="103">
        <v>290</v>
      </c>
      <c r="F613" s="99">
        <f t="shared" si="216"/>
        <v>100</v>
      </c>
    </row>
    <row r="614" spans="1:6" s="32" customFormat="1" ht="38.25">
      <c r="A614" s="80" t="s">
        <v>52</v>
      </c>
      <c r="B614" s="85" t="s">
        <v>314</v>
      </c>
      <c r="C614" s="102" t="s">
        <v>315</v>
      </c>
      <c r="D614" s="39">
        <f>276.3-125.6+59.6</f>
        <v>210.3</v>
      </c>
      <c r="E614" s="41">
        <v>209.5</v>
      </c>
      <c r="F614" s="99">
        <f t="shared" si="216"/>
        <v>99.6</v>
      </c>
    </row>
    <row r="615" spans="1:6" s="32" customFormat="1" ht="38.25">
      <c r="A615" s="80">
        <v>9990000000</v>
      </c>
      <c r="B615" s="16"/>
      <c r="C615" s="54" t="s">
        <v>36</v>
      </c>
      <c r="D615" s="41">
        <f>D616+D618+D622</f>
        <v>5201.8000000000011</v>
      </c>
      <c r="E615" s="41">
        <f>E616+E618+E622</f>
        <v>5007.5</v>
      </c>
      <c r="F615" s="99">
        <f t="shared" si="216"/>
        <v>96.3</v>
      </c>
    </row>
    <row r="616" spans="1:6" s="32" customFormat="1" ht="14.25">
      <c r="A616" s="80" t="s">
        <v>190</v>
      </c>
      <c r="B616" s="16"/>
      <c r="C616" s="102" t="s">
        <v>189</v>
      </c>
      <c r="D616" s="41">
        <f>D617</f>
        <v>1270.5999999999999</v>
      </c>
      <c r="E616" s="41">
        <f t="shared" ref="E616" si="218">E617</f>
        <v>1143.0999999999999</v>
      </c>
      <c r="F616" s="99">
        <f t="shared" si="216"/>
        <v>90</v>
      </c>
    </row>
    <row r="617" spans="1:6" s="32" customFormat="1" ht="25.5">
      <c r="A617" s="80" t="s">
        <v>190</v>
      </c>
      <c r="B617" s="16" t="s">
        <v>102</v>
      </c>
      <c r="C617" s="55" t="s">
        <v>103</v>
      </c>
      <c r="D617" s="39">
        <f>1409.5-138.9</f>
        <v>1270.5999999999999</v>
      </c>
      <c r="E617" s="41">
        <v>1143.0999999999999</v>
      </c>
      <c r="F617" s="99">
        <f t="shared" si="216"/>
        <v>90</v>
      </c>
    </row>
    <row r="618" spans="1:6" s="32" customFormat="1" ht="14.25">
      <c r="A618" s="80" t="s">
        <v>48</v>
      </c>
      <c r="B618" s="21"/>
      <c r="C618" s="22" t="s">
        <v>35</v>
      </c>
      <c r="D618" s="41">
        <f>SUM(D619:D621)</f>
        <v>2447.1000000000008</v>
      </c>
      <c r="E618" s="41">
        <f t="shared" ref="E618" si="219">SUM(E619:E621)</f>
        <v>2414.3000000000002</v>
      </c>
      <c r="F618" s="99">
        <f t="shared" si="216"/>
        <v>98.7</v>
      </c>
    </row>
    <row r="619" spans="1:6" s="32" customFormat="1" ht="25.5">
      <c r="A619" s="80" t="s">
        <v>48</v>
      </c>
      <c r="B619" s="16" t="s">
        <v>102</v>
      </c>
      <c r="C619" s="55" t="s">
        <v>103</v>
      </c>
      <c r="D619" s="39">
        <f>2407.8-46.2-46.2+18+1</f>
        <v>2334.4000000000005</v>
      </c>
      <c r="E619" s="41">
        <v>2317.3000000000002</v>
      </c>
      <c r="F619" s="99">
        <f t="shared" si="216"/>
        <v>99.3</v>
      </c>
    </row>
    <row r="620" spans="1:6" s="32" customFormat="1" ht="38.25">
      <c r="A620" s="80" t="s">
        <v>48</v>
      </c>
      <c r="B620" s="85" t="s">
        <v>314</v>
      </c>
      <c r="C620" s="102" t="s">
        <v>315</v>
      </c>
      <c r="D620" s="39">
        <f>130.4-18</f>
        <v>112.4</v>
      </c>
      <c r="E620" s="41">
        <v>96.7</v>
      </c>
      <c r="F620" s="99">
        <f t="shared" si="216"/>
        <v>86</v>
      </c>
    </row>
    <row r="621" spans="1:6" s="32" customFormat="1" ht="14.25">
      <c r="A621" s="80" t="s">
        <v>48</v>
      </c>
      <c r="B621" s="84" t="s">
        <v>180</v>
      </c>
      <c r="C621" s="102" t="s">
        <v>181</v>
      </c>
      <c r="D621" s="39">
        <f>4-3.7</f>
        <v>0.29999999999999982</v>
      </c>
      <c r="E621" s="39">
        <v>0.3</v>
      </c>
      <c r="F621" s="99">
        <f t="shared" si="216"/>
        <v>100</v>
      </c>
    </row>
    <row r="622" spans="1:6" s="32" customFormat="1" ht="25.5">
      <c r="A622" s="80" t="s">
        <v>49</v>
      </c>
      <c r="B622" s="21"/>
      <c r="C622" s="148" t="s">
        <v>297</v>
      </c>
      <c r="D622" s="41">
        <f>D623+D624</f>
        <v>1484.1</v>
      </c>
      <c r="E622" s="41">
        <f>E623+E624</f>
        <v>1450.1000000000001</v>
      </c>
      <c r="F622" s="99">
        <f t="shared" si="216"/>
        <v>97.7</v>
      </c>
    </row>
    <row r="623" spans="1:6" s="32" customFormat="1" ht="25.5">
      <c r="A623" s="80" t="s">
        <v>49</v>
      </c>
      <c r="B623" s="16" t="s">
        <v>102</v>
      </c>
      <c r="C623" s="148" t="s">
        <v>126</v>
      </c>
      <c r="D623" s="39">
        <f>1369.1+18.3+49.5</f>
        <v>1436.8999999999999</v>
      </c>
      <c r="E623" s="39">
        <v>1402.9</v>
      </c>
      <c r="F623" s="99">
        <f t="shared" si="216"/>
        <v>97.6</v>
      </c>
    </row>
    <row r="624" spans="1:6" s="32" customFormat="1" ht="38.25">
      <c r="A624" s="80" t="s">
        <v>49</v>
      </c>
      <c r="B624" s="85" t="s">
        <v>314</v>
      </c>
      <c r="C624" s="102" t="s">
        <v>315</v>
      </c>
      <c r="D624" s="39">
        <f>65.5-18.3</f>
        <v>47.2</v>
      </c>
      <c r="E624" s="39">
        <v>47.2</v>
      </c>
      <c r="F624" s="99">
        <f t="shared" si="216"/>
        <v>100</v>
      </c>
    </row>
    <row r="625" spans="5:7">
      <c r="E625" s="218"/>
      <c r="F625" s="219"/>
      <c r="G625" s="218"/>
    </row>
    <row r="626" spans="5:7">
      <c r="E626" s="218"/>
      <c r="F626" s="219"/>
      <c r="G626" s="218"/>
    </row>
    <row r="627" spans="5:7">
      <c r="E627" s="218"/>
      <c r="F627" s="218"/>
      <c r="G627" s="218"/>
    </row>
  </sheetData>
  <mergeCells count="8">
    <mergeCell ref="A7:F7"/>
    <mergeCell ref="B10:B13"/>
    <mergeCell ref="A10:A13"/>
    <mergeCell ref="C10:C13"/>
    <mergeCell ref="D10:F10"/>
    <mergeCell ref="D11:D13"/>
    <mergeCell ref="E11:E13"/>
    <mergeCell ref="F11:F13"/>
  </mergeCells>
  <phoneticPr fontId="2" type="noConversion"/>
  <pageMargins left="0.75" right="0.75" top="0.81" bottom="0.71" header="0.5" footer="0.5"/>
  <pageSetup paperSize="9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D3" sqref="D3"/>
    </sheetView>
  </sheetViews>
  <sheetFormatPr defaultColWidth="9.140625" defaultRowHeight="12.75"/>
  <cols>
    <col min="1" max="1" width="14.5703125" style="95" customWidth="1"/>
    <col min="2" max="2" width="2.7109375" style="95" customWidth="1"/>
    <col min="3" max="3" width="9" style="95" customWidth="1"/>
    <col min="4" max="4" width="9.85546875" style="95" customWidth="1"/>
    <col min="5" max="5" width="4" style="95" customWidth="1"/>
    <col min="6" max="6" width="13.42578125" style="95" customWidth="1"/>
    <col min="7" max="7" width="5" style="95" customWidth="1"/>
    <col min="8" max="8" width="10.85546875" style="95" customWidth="1"/>
    <col min="9" max="9" width="6.5703125" style="95" customWidth="1"/>
    <col min="10" max="10" width="6.7109375" style="95" customWidth="1"/>
    <col min="11" max="11" width="6.5703125" style="95" customWidth="1"/>
    <col min="12" max="16384" width="9.140625" style="95"/>
  </cols>
  <sheetData>
    <row r="1" spans="1:11">
      <c r="B1" s="184"/>
      <c r="D1" s="165" t="s">
        <v>891</v>
      </c>
    </row>
    <row r="2" spans="1:11">
      <c r="B2" s="184"/>
      <c r="D2" s="165" t="s">
        <v>730</v>
      </c>
    </row>
    <row r="3" spans="1:11">
      <c r="B3" s="184"/>
      <c r="D3" s="165" t="s">
        <v>894</v>
      </c>
    </row>
    <row r="4" spans="1:11">
      <c r="B4" s="184"/>
      <c r="D4" s="165" t="s">
        <v>882</v>
      </c>
    </row>
    <row r="5" spans="1:11">
      <c r="B5" s="184"/>
      <c r="D5" s="165" t="s">
        <v>883</v>
      </c>
    </row>
    <row r="6" spans="1:11">
      <c r="B6" s="184"/>
    </row>
    <row r="7" spans="1:11">
      <c r="B7" s="184"/>
    </row>
    <row r="8" spans="1:11" ht="37.5" customHeight="1">
      <c r="A8" s="233" t="s">
        <v>890</v>
      </c>
      <c r="B8" s="233"/>
      <c r="C8" s="233"/>
      <c r="D8" s="233"/>
      <c r="E8" s="235"/>
      <c r="F8" s="235"/>
      <c r="G8" s="235"/>
      <c r="H8" s="235"/>
      <c r="I8" s="235"/>
      <c r="J8" s="235"/>
      <c r="K8" s="235"/>
    </row>
    <row r="9" spans="1:11" ht="18">
      <c r="A9" s="185"/>
      <c r="B9" s="182"/>
      <c r="C9" s="182"/>
      <c r="D9" s="182"/>
    </row>
    <row r="10" spans="1:11" ht="18">
      <c r="C10" s="186"/>
    </row>
    <row r="11" spans="1:11" ht="12.75" customHeight="1">
      <c r="A11" s="242" t="s">
        <v>812</v>
      </c>
      <c r="B11" s="242" t="s">
        <v>813</v>
      </c>
      <c r="C11" s="247" t="s">
        <v>814</v>
      </c>
      <c r="D11" s="255"/>
      <c r="E11" s="256"/>
      <c r="F11" s="232" t="s">
        <v>815</v>
      </c>
      <c r="G11" s="259" t="s">
        <v>816</v>
      </c>
      <c r="H11" s="260"/>
      <c r="I11" s="238" t="s">
        <v>34</v>
      </c>
      <c r="J11" s="232"/>
      <c r="K11" s="232"/>
    </row>
    <row r="12" spans="1:11" ht="12.75" customHeight="1">
      <c r="A12" s="243"/>
      <c r="B12" s="243"/>
      <c r="C12" s="249"/>
      <c r="D12" s="257"/>
      <c r="E12" s="258"/>
      <c r="F12" s="232"/>
      <c r="G12" s="261"/>
      <c r="H12" s="262"/>
      <c r="I12" s="238" t="s">
        <v>880</v>
      </c>
      <c r="J12" s="238" t="s">
        <v>886</v>
      </c>
      <c r="K12" s="238" t="s">
        <v>879</v>
      </c>
    </row>
    <row r="13" spans="1:11" ht="37.5" customHeight="1">
      <c r="A13" s="243"/>
      <c r="B13" s="243"/>
      <c r="C13" s="212"/>
      <c r="D13" s="220"/>
      <c r="E13" s="202"/>
      <c r="F13" s="232"/>
      <c r="G13" s="203"/>
      <c r="H13" s="204"/>
      <c r="I13" s="238"/>
      <c r="J13" s="238"/>
      <c r="K13" s="238"/>
    </row>
    <row r="14" spans="1:11" ht="38.25">
      <c r="A14" s="244"/>
      <c r="B14" s="254"/>
      <c r="C14" s="179" t="s">
        <v>817</v>
      </c>
      <c r="D14" s="187" t="s">
        <v>818</v>
      </c>
      <c r="E14" s="180" t="s">
        <v>819</v>
      </c>
      <c r="F14" s="232"/>
      <c r="G14" s="153" t="s">
        <v>820</v>
      </c>
      <c r="H14" s="153" t="s">
        <v>821</v>
      </c>
      <c r="I14" s="238"/>
      <c r="J14" s="238"/>
      <c r="K14" s="238"/>
    </row>
    <row r="15" spans="1:11">
      <c r="A15" s="232" t="s">
        <v>822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</row>
    <row r="16" spans="1:11" ht="243" customHeight="1">
      <c r="A16" s="101" t="s">
        <v>823</v>
      </c>
      <c r="B16" s="85" t="s">
        <v>136</v>
      </c>
      <c r="C16" s="104" t="s">
        <v>824</v>
      </c>
      <c r="D16" s="188">
        <v>40899</v>
      </c>
      <c r="E16" s="177" t="s">
        <v>825</v>
      </c>
      <c r="F16" s="177" t="s">
        <v>826</v>
      </c>
      <c r="G16" s="153" t="s">
        <v>827</v>
      </c>
      <c r="H16" s="80">
        <v>110210560</v>
      </c>
      <c r="I16" s="39">
        <v>1332</v>
      </c>
      <c r="J16" s="39">
        <v>1156.8</v>
      </c>
      <c r="K16" s="99">
        <f t="shared" ref="K16" si="0">ROUND((J16/I16*100),1)</f>
        <v>86.8</v>
      </c>
    </row>
    <row r="17" spans="1:11">
      <c r="A17" s="232" t="s">
        <v>828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</row>
    <row r="18" spans="1:11" ht="140.25">
      <c r="A18" s="22" t="s">
        <v>829</v>
      </c>
      <c r="B18" s="84" t="s">
        <v>137</v>
      </c>
      <c r="C18" s="101" t="s">
        <v>830</v>
      </c>
      <c r="D18" s="188">
        <v>42723</v>
      </c>
      <c r="E18" s="153">
        <v>115</v>
      </c>
      <c r="F18" s="177" t="s">
        <v>831</v>
      </c>
      <c r="G18" s="153" t="s">
        <v>832</v>
      </c>
      <c r="H18" s="80" t="s">
        <v>213</v>
      </c>
      <c r="I18" s="39">
        <v>2773</v>
      </c>
      <c r="J18" s="39">
        <v>2773</v>
      </c>
      <c r="K18" s="99">
        <f t="shared" ref="K18" si="1">ROUND((J18/I18*100),1)</f>
        <v>100</v>
      </c>
    </row>
    <row r="19" spans="1:11">
      <c r="A19" s="189"/>
      <c r="B19" s="190"/>
      <c r="C19" s="191"/>
      <c r="D19" s="192"/>
    </row>
    <row r="20" spans="1:11">
      <c r="A20" s="189"/>
      <c r="B20" s="190"/>
      <c r="C20" s="191"/>
      <c r="D20" s="192"/>
    </row>
    <row r="21" spans="1:11">
      <c r="A21" s="189"/>
      <c r="B21" s="190"/>
      <c r="C21" s="191"/>
      <c r="D21" s="192"/>
    </row>
    <row r="22" spans="1:11">
      <c r="A22" s="193"/>
      <c r="B22" s="193"/>
      <c r="C22" s="54"/>
      <c r="D22" s="194"/>
    </row>
    <row r="23" spans="1:11" ht="14.25">
      <c r="A23" s="19"/>
    </row>
  </sheetData>
  <mergeCells count="12">
    <mergeCell ref="A15:K15"/>
    <mergeCell ref="A17:K17"/>
    <mergeCell ref="A8:K8"/>
    <mergeCell ref="A11:A14"/>
    <mergeCell ref="B11:B14"/>
    <mergeCell ref="C11:E12"/>
    <mergeCell ref="F11:F14"/>
    <mergeCell ref="G11:H12"/>
    <mergeCell ref="I11:K11"/>
    <mergeCell ref="I12:I14"/>
    <mergeCell ref="J12:J14"/>
    <mergeCell ref="K12:K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C3" sqref="C3"/>
    </sheetView>
  </sheetViews>
  <sheetFormatPr defaultColWidth="9.140625" defaultRowHeight="12.75"/>
  <cols>
    <col min="1" max="1" width="3.7109375" style="95" customWidth="1"/>
    <col min="2" max="2" width="31" style="95" customWidth="1"/>
    <col min="3" max="3" width="29.140625" style="95" customWidth="1"/>
    <col min="4" max="4" width="10.28515625" style="95" customWidth="1"/>
    <col min="5" max="5" width="9.140625" style="95" customWidth="1"/>
    <col min="6" max="6" width="5.7109375" style="95" customWidth="1"/>
    <col min="7" max="16384" width="9.140625" style="95"/>
  </cols>
  <sheetData>
    <row r="1" spans="1:9">
      <c r="B1" s="195" t="s">
        <v>216</v>
      </c>
      <c r="C1" s="221" t="s">
        <v>216</v>
      </c>
    </row>
    <row r="2" spans="1:9">
      <c r="B2" s="195" t="s">
        <v>192</v>
      </c>
      <c r="C2" s="221" t="s">
        <v>730</v>
      </c>
    </row>
    <row r="3" spans="1:9">
      <c r="B3" s="195" t="s">
        <v>811</v>
      </c>
      <c r="C3" s="230" t="s">
        <v>893</v>
      </c>
    </row>
    <row r="4" spans="1:9">
      <c r="B4" s="195" t="s">
        <v>686</v>
      </c>
      <c r="C4" s="221" t="s">
        <v>882</v>
      </c>
    </row>
    <row r="5" spans="1:9">
      <c r="B5" s="195" t="s">
        <v>687</v>
      </c>
      <c r="C5" s="221" t="s">
        <v>883</v>
      </c>
    </row>
    <row r="6" spans="1:9">
      <c r="B6" s="197"/>
      <c r="C6" s="196"/>
      <c r="D6" s="93"/>
      <c r="E6" s="93"/>
    </row>
    <row r="7" spans="1:9">
      <c r="B7" s="197"/>
      <c r="C7" s="196"/>
      <c r="D7" s="93"/>
      <c r="E7" s="93"/>
    </row>
    <row r="8" spans="1:9" ht="48.75" customHeight="1">
      <c r="A8" s="233" t="s">
        <v>833</v>
      </c>
      <c r="B8" s="240"/>
      <c r="C8" s="240"/>
      <c r="D8" s="240"/>
      <c r="E8" s="240"/>
      <c r="F8" s="183"/>
    </row>
    <row r="9" spans="1:9" ht="15">
      <c r="A9" s="178"/>
      <c r="B9" s="182"/>
      <c r="C9" s="182"/>
      <c r="D9" s="182"/>
      <c r="E9" s="182"/>
      <c r="F9" s="183"/>
    </row>
    <row r="10" spans="1:9" ht="12.75" customHeight="1">
      <c r="C10" s="6"/>
    </row>
    <row r="11" spans="1:9" ht="12.75" customHeight="1">
      <c r="A11" s="232" t="s">
        <v>834</v>
      </c>
      <c r="B11" s="238" t="s">
        <v>835</v>
      </c>
      <c r="C11" s="238" t="s">
        <v>836</v>
      </c>
      <c r="D11" s="238" t="s">
        <v>34</v>
      </c>
      <c r="E11" s="232"/>
      <c r="F11" s="232"/>
    </row>
    <row r="12" spans="1:9">
      <c r="A12" s="232"/>
      <c r="B12" s="232"/>
      <c r="C12" s="263"/>
      <c r="D12" s="238" t="s">
        <v>880</v>
      </c>
      <c r="E12" s="238" t="s">
        <v>886</v>
      </c>
      <c r="F12" s="238" t="s">
        <v>879</v>
      </c>
    </row>
    <row r="13" spans="1:9">
      <c r="A13" s="232"/>
      <c r="B13" s="232"/>
      <c r="C13" s="263"/>
      <c r="D13" s="238"/>
      <c r="E13" s="238"/>
      <c r="F13" s="238"/>
    </row>
    <row r="14" spans="1:9">
      <c r="A14" s="232"/>
      <c r="B14" s="232"/>
      <c r="C14" s="263"/>
      <c r="D14" s="238"/>
      <c r="E14" s="238"/>
      <c r="F14" s="238"/>
    </row>
    <row r="15" spans="1:9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I15" s="108"/>
    </row>
    <row r="16" spans="1:9" ht="38.25">
      <c r="A16" s="21" t="s">
        <v>837</v>
      </c>
      <c r="B16" s="101" t="s">
        <v>838</v>
      </c>
      <c r="C16" s="198" t="s">
        <v>839</v>
      </c>
      <c r="D16" s="99">
        <v>50</v>
      </c>
      <c r="E16" s="99">
        <v>50</v>
      </c>
      <c r="F16" s="99">
        <f t="shared" ref="F16:F37" si="0">ROUND((E16/D16*100),1)</f>
        <v>100</v>
      </c>
      <c r="I16" s="108"/>
    </row>
    <row r="17" spans="1:9" ht="38.25">
      <c r="A17" s="125" t="s">
        <v>840</v>
      </c>
      <c r="B17" s="119" t="s">
        <v>841</v>
      </c>
      <c r="C17" s="199" t="s">
        <v>842</v>
      </c>
      <c r="D17" s="200">
        <v>50</v>
      </c>
      <c r="E17" s="200">
        <v>50</v>
      </c>
      <c r="F17" s="99">
        <f t="shared" si="0"/>
        <v>100</v>
      </c>
      <c r="I17" s="108"/>
    </row>
    <row r="18" spans="1:9" ht="38.25">
      <c r="A18" s="21" t="s">
        <v>843</v>
      </c>
      <c r="B18" s="101" t="s">
        <v>844</v>
      </c>
      <c r="C18" s="198" t="s">
        <v>845</v>
      </c>
      <c r="D18" s="99">
        <v>50</v>
      </c>
      <c r="E18" s="99">
        <v>50</v>
      </c>
      <c r="F18" s="99">
        <f t="shared" si="0"/>
        <v>100</v>
      </c>
      <c r="I18" s="108"/>
    </row>
    <row r="19" spans="1:9" ht="38.25">
      <c r="A19" s="21" t="s">
        <v>846</v>
      </c>
      <c r="B19" s="102" t="s">
        <v>847</v>
      </c>
      <c r="C19" s="198" t="s">
        <v>848</v>
      </c>
      <c r="D19" s="99">
        <v>50</v>
      </c>
      <c r="E19" s="99">
        <v>50</v>
      </c>
      <c r="F19" s="99">
        <f t="shared" si="0"/>
        <v>100</v>
      </c>
      <c r="I19" s="108"/>
    </row>
    <row r="20" spans="1:9" ht="38.25">
      <c r="A20" s="21" t="s">
        <v>849</v>
      </c>
      <c r="B20" s="102" t="s">
        <v>850</v>
      </c>
      <c r="C20" s="198" t="s">
        <v>851</v>
      </c>
      <c r="D20" s="99">
        <v>50</v>
      </c>
      <c r="E20" s="99">
        <v>50</v>
      </c>
      <c r="F20" s="99">
        <f t="shared" si="0"/>
        <v>100</v>
      </c>
      <c r="I20" s="108"/>
    </row>
    <row r="21" spans="1:9" ht="63.75">
      <c r="A21" s="265" t="s">
        <v>852</v>
      </c>
      <c r="B21" s="102" t="s">
        <v>853</v>
      </c>
      <c r="C21" s="199" t="s">
        <v>854</v>
      </c>
      <c r="D21" s="200">
        <v>40</v>
      </c>
      <c r="E21" s="200">
        <v>40</v>
      </c>
      <c r="F21" s="99">
        <f t="shared" si="0"/>
        <v>100</v>
      </c>
      <c r="I21" s="108"/>
    </row>
    <row r="22" spans="1:9" ht="38.25">
      <c r="A22" s="266"/>
      <c r="B22" s="222" t="s">
        <v>874</v>
      </c>
      <c r="C22" s="223" t="s">
        <v>855</v>
      </c>
      <c r="D22" s="224">
        <v>10</v>
      </c>
      <c r="E22" s="224">
        <v>9.8000000000000007</v>
      </c>
      <c r="F22" s="224">
        <f t="shared" si="0"/>
        <v>98</v>
      </c>
      <c r="I22" s="108"/>
    </row>
    <row r="23" spans="1:9" ht="51">
      <c r="A23" s="264" t="s">
        <v>856</v>
      </c>
      <c r="B23" s="101" t="s">
        <v>857</v>
      </c>
      <c r="C23" s="198" t="s">
        <v>858</v>
      </c>
      <c r="D23" s="99">
        <v>30</v>
      </c>
      <c r="E23" s="99">
        <v>30</v>
      </c>
      <c r="F23" s="99">
        <f t="shared" si="0"/>
        <v>100</v>
      </c>
      <c r="I23" s="108"/>
    </row>
    <row r="24" spans="1:9" ht="63.75" customHeight="1">
      <c r="A24" s="267"/>
      <c r="B24" s="101" t="s">
        <v>859</v>
      </c>
      <c r="C24" s="198" t="s">
        <v>860</v>
      </c>
      <c r="D24" s="99">
        <v>20</v>
      </c>
      <c r="E24" s="99">
        <v>20</v>
      </c>
      <c r="F24" s="99">
        <f t="shared" si="0"/>
        <v>100</v>
      </c>
      <c r="I24" s="108"/>
    </row>
    <row r="25" spans="1:9" ht="38.25">
      <c r="A25" s="264" t="s">
        <v>861</v>
      </c>
      <c r="B25" s="119" t="s">
        <v>862</v>
      </c>
      <c r="C25" s="198" t="s">
        <v>845</v>
      </c>
      <c r="D25" s="99">
        <v>20</v>
      </c>
      <c r="E25" s="99">
        <v>20</v>
      </c>
      <c r="F25" s="99">
        <f t="shared" si="0"/>
        <v>100</v>
      </c>
    </row>
    <row r="26" spans="1:9" ht="38.25">
      <c r="A26" s="252"/>
      <c r="B26" s="119" t="s">
        <v>863</v>
      </c>
      <c r="C26" s="198" t="s">
        <v>845</v>
      </c>
      <c r="D26" s="99">
        <v>10</v>
      </c>
      <c r="E26" s="99">
        <v>10</v>
      </c>
      <c r="F26" s="99">
        <f t="shared" si="0"/>
        <v>100</v>
      </c>
    </row>
    <row r="27" spans="1:9" ht="76.5" customHeight="1">
      <c r="A27" s="253"/>
      <c r="B27" s="119" t="s">
        <v>864</v>
      </c>
      <c r="C27" s="198" t="s">
        <v>865</v>
      </c>
      <c r="D27" s="99">
        <v>20</v>
      </c>
      <c r="E27" s="99">
        <v>20</v>
      </c>
      <c r="F27" s="99">
        <f t="shared" si="0"/>
        <v>100</v>
      </c>
    </row>
    <row r="28" spans="1:9" ht="63.75" customHeight="1">
      <c r="A28" s="21" t="s">
        <v>866</v>
      </c>
      <c r="B28" s="102" t="s">
        <v>867</v>
      </c>
      <c r="C28" s="198" t="s">
        <v>868</v>
      </c>
      <c r="D28" s="99">
        <v>50</v>
      </c>
      <c r="E28" s="99">
        <v>50</v>
      </c>
      <c r="F28" s="99">
        <f t="shared" si="0"/>
        <v>100</v>
      </c>
    </row>
    <row r="29" spans="1:9" ht="63.75">
      <c r="A29" s="264" t="s">
        <v>158</v>
      </c>
      <c r="B29" s="102" t="s">
        <v>869</v>
      </c>
      <c r="C29" s="270" t="s">
        <v>870</v>
      </c>
      <c r="D29" s="99">
        <v>30</v>
      </c>
      <c r="E29" s="99">
        <v>30</v>
      </c>
      <c r="F29" s="99">
        <f t="shared" si="0"/>
        <v>100</v>
      </c>
    </row>
    <row r="30" spans="1:9" ht="51">
      <c r="A30" s="267"/>
      <c r="B30" s="102" t="s">
        <v>871</v>
      </c>
      <c r="C30" s="271"/>
      <c r="D30" s="99">
        <v>20</v>
      </c>
      <c r="E30" s="99">
        <v>20</v>
      </c>
      <c r="F30" s="99">
        <f t="shared" si="0"/>
        <v>100</v>
      </c>
    </row>
    <row r="31" spans="1:9" ht="76.5" customHeight="1">
      <c r="A31" s="264" t="s">
        <v>150</v>
      </c>
      <c r="B31" s="119" t="s">
        <v>864</v>
      </c>
      <c r="C31" s="198" t="s">
        <v>865</v>
      </c>
      <c r="D31" s="99">
        <v>40</v>
      </c>
      <c r="E31" s="99">
        <v>40</v>
      </c>
      <c r="F31" s="99">
        <f t="shared" si="0"/>
        <v>100</v>
      </c>
    </row>
    <row r="32" spans="1:9" ht="38.25">
      <c r="A32" s="267"/>
      <c r="B32" s="102" t="s">
        <v>872</v>
      </c>
      <c r="C32" s="199" t="s">
        <v>845</v>
      </c>
      <c r="D32" s="200">
        <v>10</v>
      </c>
      <c r="E32" s="200">
        <v>10</v>
      </c>
      <c r="F32" s="99">
        <f t="shared" si="0"/>
        <v>100</v>
      </c>
    </row>
    <row r="33" spans="1:6" ht="25.5">
      <c r="A33" s="21" t="s">
        <v>170</v>
      </c>
      <c r="B33" s="102" t="s">
        <v>873</v>
      </c>
      <c r="C33" s="199" t="s">
        <v>855</v>
      </c>
      <c r="D33" s="200">
        <v>50</v>
      </c>
      <c r="E33" s="200">
        <v>0</v>
      </c>
      <c r="F33" s="99">
        <f t="shared" si="0"/>
        <v>0</v>
      </c>
    </row>
    <row r="34" spans="1:6" ht="25.5">
      <c r="A34" s="264" t="s">
        <v>9</v>
      </c>
      <c r="B34" s="222" t="s">
        <v>877</v>
      </c>
      <c r="C34" s="223" t="s">
        <v>855</v>
      </c>
      <c r="D34" s="224">
        <v>10</v>
      </c>
      <c r="E34" s="224">
        <v>10</v>
      </c>
      <c r="F34" s="224">
        <f t="shared" si="0"/>
        <v>100</v>
      </c>
    </row>
    <row r="35" spans="1:6" ht="63.75" customHeight="1">
      <c r="A35" s="267"/>
      <c r="B35" s="201" t="s">
        <v>875</v>
      </c>
      <c r="C35" s="199" t="s">
        <v>876</v>
      </c>
      <c r="D35" s="200">
        <v>40</v>
      </c>
      <c r="E35" s="200">
        <v>40</v>
      </c>
      <c r="F35" s="99">
        <f t="shared" si="0"/>
        <v>100</v>
      </c>
    </row>
    <row r="36" spans="1:6" ht="25.5">
      <c r="A36" s="181">
        <v>14</v>
      </c>
      <c r="B36" s="201" t="s">
        <v>877</v>
      </c>
      <c r="C36" s="199" t="s">
        <v>855</v>
      </c>
      <c r="D36" s="200">
        <v>50</v>
      </c>
      <c r="E36" s="200">
        <v>49.8</v>
      </c>
      <c r="F36" s="99">
        <f t="shared" si="0"/>
        <v>99.6</v>
      </c>
    </row>
    <row r="37" spans="1:6">
      <c r="A37" s="153"/>
      <c r="B37" s="268" t="s">
        <v>878</v>
      </c>
      <c r="C37" s="269"/>
      <c r="D37" s="39">
        <f>SUM(D16:D36)</f>
        <v>700</v>
      </c>
      <c r="E37" s="39">
        <f>SUM(E16:E36)</f>
        <v>649.59999999999991</v>
      </c>
      <c r="F37" s="99">
        <f t="shared" si="0"/>
        <v>92.8</v>
      </c>
    </row>
  </sheetData>
  <mergeCells count="16">
    <mergeCell ref="A34:A35"/>
    <mergeCell ref="B37:C37"/>
    <mergeCell ref="A29:A30"/>
    <mergeCell ref="C29:C30"/>
    <mergeCell ref="A31:A32"/>
    <mergeCell ref="C11:C14"/>
    <mergeCell ref="B11:B14"/>
    <mergeCell ref="A11:A14"/>
    <mergeCell ref="A25:A27"/>
    <mergeCell ref="A8:E8"/>
    <mergeCell ref="A21:A22"/>
    <mergeCell ref="A23:A24"/>
    <mergeCell ref="D11:F11"/>
    <mergeCell ref="D12:D14"/>
    <mergeCell ref="E12:E14"/>
    <mergeCell ref="F12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прил.3</vt:lpstr>
      <vt:lpstr>прил.4</vt:lpstr>
      <vt:lpstr>прил.5</vt:lpstr>
      <vt:lpstr>прил.6</vt:lpstr>
      <vt:lpstr>прил.7</vt:lpstr>
      <vt:lpstr>прил.8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2021-03-30T10:12:22Z</cp:lastPrinted>
  <dcterms:created xsi:type="dcterms:W3CDTF">2007-02-27T13:35:41Z</dcterms:created>
  <dcterms:modified xsi:type="dcterms:W3CDTF">2021-06-10T12:15:07Z</dcterms:modified>
</cp:coreProperties>
</file>