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30" yWindow="0" windowWidth="24120" windowHeight="13620" activeTab="4"/>
  </bookViews>
  <sheets>
    <sheet name="прил.1" sheetId="62" r:id="rId1"/>
    <sheet name="прил.3" sheetId="1" r:id="rId2"/>
    <sheet name="прил.4" sheetId="61" r:id="rId3"/>
    <sheet name="прил.5" sheetId="2" r:id="rId4"/>
    <sheet name="прил.6" sheetId="3" r:id="rId5"/>
  </sheets>
  <calcPr calcId="125725"/>
</workbook>
</file>

<file path=xl/calcChain.xml><?xml version="1.0" encoding="utf-8"?>
<calcChain xmlns="http://schemas.openxmlformats.org/spreadsheetml/2006/main">
  <c r="D122" i="3"/>
  <c r="H594" i="2"/>
  <c r="D117" i="3"/>
  <c r="H591" i="2"/>
  <c r="F531" i="61"/>
  <c r="F529"/>
  <c r="D400" i="3" l="1"/>
  <c r="H189" i="2"/>
  <c r="F189" i="61"/>
  <c r="D412" i="3"/>
  <c r="H163" i="2"/>
  <c r="F164" i="61"/>
  <c r="D392" i="3"/>
  <c r="H181" i="2"/>
  <c r="F181" i="61"/>
  <c r="D396" i="3"/>
  <c r="H185" i="2"/>
  <c r="F185" i="61"/>
  <c r="D386" i="3"/>
  <c r="H175" i="2"/>
  <c r="F175" i="61"/>
  <c r="D527" i="3"/>
  <c r="H399" i="2"/>
  <c r="F368" i="61"/>
  <c r="D482" i="3"/>
  <c r="F349" i="61"/>
  <c r="H376" i="2"/>
  <c r="D243" i="3"/>
  <c r="H151" i="2"/>
  <c r="F153" i="61"/>
  <c r="D334" i="3"/>
  <c r="H347" i="2"/>
  <c r="F325" i="61"/>
  <c r="D318" i="3"/>
  <c r="D317"/>
  <c r="D316" s="1"/>
  <c r="H283" i="2"/>
  <c r="H282"/>
  <c r="H281" s="1"/>
  <c r="F271" i="61"/>
  <c r="D375" i="3"/>
  <c r="H260" i="2"/>
  <c r="F252" i="61"/>
  <c r="F341"/>
  <c r="H366" i="2"/>
  <c r="D472" i="3"/>
  <c r="D462"/>
  <c r="H356" i="2"/>
  <c r="F333" i="61"/>
  <c r="D460" i="3"/>
  <c r="F331" i="61"/>
  <c r="H354" i="2"/>
  <c r="D364" i="3" l="1"/>
  <c r="H338" i="2"/>
  <c r="F317" i="61"/>
  <c r="F313"/>
  <c r="H333" i="2"/>
  <c r="D359" i="3"/>
  <c r="D352" l="1"/>
  <c r="H326" i="2"/>
  <c r="F308" i="61"/>
  <c r="D226" i="3" l="1"/>
  <c r="H75" i="2"/>
  <c r="F79" i="61"/>
  <c r="D236" i="3"/>
  <c r="D235"/>
  <c r="D234"/>
  <c r="D233"/>
  <c r="D231"/>
  <c r="H227" i="2"/>
  <c r="H226" s="1"/>
  <c r="H225"/>
  <c r="H224"/>
  <c r="H222"/>
  <c r="F218" i="61"/>
  <c r="F222"/>
  <c r="F220"/>
  <c r="D224" i="3"/>
  <c r="H73" i="2"/>
  <c r="D222" i="3"/>
  <c r="H71" i="2"/>
  <c r="F75" i="61"/>
  <c r="F77"/>
  <c r="D619" i="3" l="1"/>
  <c r="I752" i="2"/>
  <c r="J752"/>
  <c r="H752"/>
  <c r="H754"/>
  <c r="G56" i="61"/>
  <c r="H56"/>
  <c r="F56"/>
  <c r="F58"/>
  <c r="D76" i="3" l="1"/>
  <c r="D30"/>
  <c r="H524" i="2"/>
  <c r="H488"/>
  <c r="F432" i="61"/>
  <c r="F401"/>
  <c r="E48" i="1"/>
  <c r="E47"/>
  <c r="F33" i="62" l="1"/>
  <c r="G32"/>
  <c r="F32"/>
  <c r="E32"/>
  <c r="D32"/>
  <c r="C32"/>
  <c r="G31"/>
  <c r="G30" s="1"/>
  <c r="G29" s="1"/>
  <c r="F31"/>
  <c r="C30"/>
  <c r="F30"/>
  <c r="F29" s="1"/>
  <c r="E30"/>
  <c r="D30"/>
  <c r="D29" s="1"/>
  <c r="E29"/>
  <c r="G27"/>
  <c r="F27"/>
  <c r="F24" s="1"/>
  <c r="F34" s="1"/>
  <c r="E27"/>
  <c r="D27"/>
  <c r="D24" s="1"/>
  <c r="D34" s="1"/>
  <c r="C27"/>
  <c r="G24"/>
  <c r="G34" s="1"/>
  <c r="E24"/>
  <c r="E34" s="1"/>
  <c r="C34" l="1"/>
  <c r="C29"/>
  <c r="F461" i="3"/>
  <c r="E461"/>
  <c r="D461"/>
  <c r="J355" i="2"/>
  <c r="I355"/>
  <c r="H355"/>
  <c r="G332" i="61"/>
  <c r="H332"/>
  <c r="F332"/>
  <c r="D157" i="3" l="1"/>
  <c r="H637" i="2"/>
  <c r="F468" i="61"/>
  <c r="E49" i="1"/>
  <c r="F83" i="3" l="1"/>
  <c r="F82" s="1"/>
  <c r="F40" s="1"/>
  <c r="E83"/>
  <c r="E82" s="1"/>
  <c r="E40" s="1"/>
  <c r="D83"/>
  <c r="D82"/>
  <c r="H437" i="61"/>
  <c r="G437"/>
  <c r="F437"/>
  <c r="I496" i="2"/>
  <c r="J496"/>
  <c r="I530"/>
  <c r="J530"/>
  <c r="H530"/>
  <c r="J531"/>
  <c r="I531"/>
  <c r="H531"/>
  <c r="E52" i="1" l="1"/>
  <c r="D132" i="3"/>
  <c r="H604" i="2"/>
  <c r="F540" i="61"/>
  <c r="G48" i="1"/>
  <c r="F48"/>
  <c r="E57"/>
  <c r="D522" i="3"/>
  <c r="H434" i="2"/>
  <c r="F596" i="61"/>
  <c r="E31" i="1"/>
  <c r="D227" i="3"/>
  <c r="H76" i="2"/>
  <c r="F80" i="61"/>
  <c r="F291"/>
  <c r="H306" i="2"/>
  <c r="D293" i="3"/>
  <c r="D257"/>
  <c r="H243" i="2"/>
  <c r="F236" i="61"/>
  <c r="F296" i="3"/>
  <c r="E296"/>
  <c r="D296"/>
  <c r="J309" i="2"/>
  <c r="I309"/>
  <c r="H309"/>
  <c r="G294" i="61"/>
  <c r="H294"/>
  <c r="F294"/>
  <c r="D597" i="3" l="1"/>
  <c r="H86" i="2"/>
  <c r="F90" i="61"/>
  <c r="D618" i="3"/>
  <c r="H56" i="2"/>
  <c r="H55"/>
  <c r="F45" i="61"/>
  <c r="E27" i="1"/>
  <c r="D449" i="3" l="1"/>
  <c r="D448"/>
  <c r="D447"/>
  <c r="D446"/>
  <c r="H120" i="2"/>
  <c r="H119" s="1"/>
  <c r="H118"/>
  <c r="H117" s="1"/>
  <c r="F121" i="61"/>
  <c r="F119"/>
  <c r="D219" i="3"/>
  <c r="H68" i="2"/>
  <c r="F73" i="61"/>
  <c r="D306" i="3" l="1"/>
  <c r="H271" i="2"/>
  <c r="F261" i="61"/>
  <c r="F549" i="3"/>
  <c r="E549"/>
  <c r="D549"/>
  <c r="F547"/>
  <c r="E547"/>
  <c r="D547"/>
  <c r="J418" i="2"/>
  <c r="I418"/>
  <c r="H418"/>
  <c r="J416"/>
  <c r="I416"/>
  <c r="H416"/>
  <c r="G385" i="61"/>
  <c r="H385"/>
  <c r="F385"/>
  <c r="D320" i="3" l="1"/>
  <c r="H285" i="2"/>
  <c r="F273" i="61"/>
  <c r="D479" i="3" l="1"/>
  <c r="F478"/>
  <c r="E478"/>
  <c r="D478"/>
  <c r="H373" i="2"/>
  <c r="H372" s="1"/>
  <c r="J372"/>
  <c r="I372"/>
  <c r="F346" i="61"/>
  <c r="F345" s="1"/>
  <c r="F270" l="1"/>
  <c r="D611" i="3"/>
  <c r="H92" i="2"/>
  <c r="F96" i="61"/>
  <c r="E54" i="1" l="1"/>
  <c r="D144" i="3"/>
  <c r="H690" i="2"/>
  <c r="F553" i="61"/>
  <c r="E51" i="1"/>
  <c r="D200" i="3"/>
  <c r="H655" i="2"/>
  <c r="F489" i="61"/>
  <c r="D326" i="3" l="1"/>
  <c r="D303"/>
  <c r="D302"/>
  <c r="H291" i="2"/>
  <c r="H268"/>
  <c r="H267"/>
  <c r="F259" i="61"/>
  <c r="F258"/>
  <c r="F278"/>
  <c r="D350" i="3" l="1"/>
  <c r="H324" i="2"/>
  <c r="F306" i="61"/>
  <c r="G383" l="1"/>
  <c r="H383"/>
  <c r="F383"/>
  <c r="D50" i="3"/>
  <c r="H506" i="2"/>
  <c r="F416" i="61"/>
  <c r="F405"/>
  <c r="H493" i="2"/>
  <c r="D35" i="3"/>
  <c r="D33"/>
  <c r="H491" i="2"/>
  <c r="F403" i="61"/>
  <c r="D343" i="3"/>
  <c r="H318" i="2"/>
  <c r="F301" i="61"/>
  <c r="D595" i="3"/>
  <c r="H84" i="2"/>
  <c r="F88" i="61"/>
  <c r="F46"/>
  <c r="E515" i="3" l="1"/>
  <c r="E306"/>
  <c r="I460" i="2"/>
  <c r="I271"/>
  <c r="G627" i="61"/>
  <c r="G261"/>
  <c r="F59" i="1"/>
  <c r="F42"/>
  <c r="E58" l="1"/>
  <c r="E30"/>
  <c r="J443" i="2"/>
  <c r="J442" s="1"/>
  <c r="J441" s="1"/>
  <c r="I443"/>
  <c r="I442" s="1"/>
  <c r="I441" s="1"/>
  <c r="H443"/>
  <c r="H442" s="1"/>
  <c r="H441" s="1"/>
  <c r="H608" i="61"/>
  <c r="H607" s="1"/>
  <c r="H606" s="1"/>
  <c r="G608"/>
  <c r="G607" s="1"/>
  <c r="G606" s="1"/>
  <c r="F608"/>
  <c r="F607" s="1"/>
  <c r="F606" s="1"/>
  <c r="H759" i="2" l="1"/>
  <c r="F68" i="61"/>
  <c r="F527" l="1"/>
  <c r="H588" i="2"/>
  <c r="D110" i="3"/>
  <c r="D69"/>
  <c r="F522" i="61"/>
  <c r="H582" i="2"/>
  <c r="E55" i="1" l="1"/>
  <c r="F175" i="3"/>
  <c r="E175"/>
  <c r="D175"/>
  <c r="J720" i="2"/>
  <c r="I720"/>
  <c r="H720"/>
  <c r="H582" i="61"/>
  <c r="G582"/>
  <c r="F582"/>
  <c r="F153" i="3"/>
  <c r="E153"/>
  <c r="D153"/>
  <c r="H562" i="61"/>
  <c r="G562"/>
  <c r="F562"/>
  <c r="I699" i="2"/>
  <c r="J699"/>
  <c r="H699"/>
  <c r="D131" i="3"/>
  <c r="D130" s="1"/>
  <c r="F130"/>
  <c r="E130"/>
  <c r="H603" i="2"/>
  <c r="H602" s="1"/>
  <c r="J602"/>
  <c r="I602"/>
  <c r="F539" i="61"/>
  <c r="F55" i="3"/>
  <c r="E55"/>
  <c r="D55"/>
  <c r="J511" i="2"/>
  <c r="I511"/>
  <c r="H511"/>
  <c r="H421" i="61"/>
  <c r="G421"/>
  <c r="F421"/>
  <c r="D125" i="3" l="1"/>
  <c r="D124"/>
  <c r="H597" i="2"/>
  <c r="H596"/>
  <c r="F534" i="61"/>
  <c r="F533"/>
  <c r="D71" i="3"/>
  <c r="H576" i="2"/>
  <c r="F516" i="61"/>
  <c r="E225" i="3"/>
  <c r="F225"/>
  <c r="D225"/>
  <c r="I74" i="2"/>
  <c r="J74"/>
  <c r="H74"/>
  <c r="G78" i="61"/>
  <c r="H78"/>
  <c r="F78"/>
  <c r="D152" i="3" l="1"/>
  <c r="D142"/>
  <c r="H688" i="2"/>
  <c r="H698"/>
  <c r="F561" i="61"/>
  <c r="F551"/>
  <c r="H560" l="1"/>
  <c r="G560"/>
  <c r="F560"/>
  <c r="J697" i="2"/>
  <c r="I697"/>
  <c r="H697"/>
  <c r="E151" i="3"/>
  <c r="F151"/>
  <c r="D151"/>
  <c r="D512" l="1"/>
  <c r="D511" s="1"/>
  <c r="D510"/>
  <c r="D509"/>
  <c r="H457" i="2"/>
  <c r="H456" s="1"/>
  <c r="H455"/>
  <c r="H454" s="1"/>
  <c r="F623" i="61"/>
  <c r="F625"/>
  <c r="E301" i="3" l="1"/>
  <c r="F301"/>
  <c r="D301"/>
  <c r="I266" i="2"/>
  <c r="J266"/>
  <c r="H266"/>
  <c r="G257" i="61"/>
  <c r="H257"/>
  <c r="F257"/>
  <c r="D164" i="3"/>
  <c r="H703" i="2"/>
  <c r="F565" i="61"/>
  <c r="F80" i="3" l="1"/>
  <c r="E80"/>
  <c r="D80"/>
  <c r="J528" i="2"/>
  <c r="I528"/>
  <c r="H528"/>
  <c r="G435" i="61"/>
  <c r="H435"/>
  <c r="F435"/>
  <c r="F364" l="1"/>
  <c r="H394" i="2"/>
  <c r="D500" i="3"/>
  <c r="D493"/>
  <c r="H387" i="2"/>
  <c r="F358" i="61"/>
  <c r="F173" l="1"/>
  <c r="H173" i="2"/>
  <c r="D384" i="3"/>
  <c r="F389" l="1"/>
  <c r="E389"/>
  <c r="D389"/>
  <c r="F387"/>
  <c r="E387"/>
  <c r="D387"/>
  <c r="H178" i="61"/>
  <c r="G178"/>
  <c r="F178"/>
  <c r="F199"/>
  <c r="H201" i="2"/>
  <c r="D555" i="3"/>
  <c r="D569"/>
  <c r="H211" i="2"/>
  <c r="F209" i="61"/>
  <c r="D537" i="3"/>
  <c r="H196" i="2"/>
  <c r="F195" i="61"/>
  <c r="F194" s="1"/>
  <c r="F193" s="1"/>
  <c r="F192" s="1"/>
  <c r="G194"/>
  <c r="G193" s="1"/>
  <c r="G192" s="1"/>
  <c r="H194"/>
  <c r="H193" s="1"/>
  <c r="H192" s="1"/>
  <c r="J178" i="2" l="1"/>
  <c r="I178"/>
  <c r="H178"/>
  <c r="J176"/>
  <c r="I176"/>
  <c r="H176"/>
  <c r="G176" i="61"/>
  <c r="H176"/>
  <c r="F176"/>
  <c r="F29" l="1"/>
  <c r="H46" i="2"/>
  <c r="D616" i="3"/>
  <c r="F33" i="61"/>
  <c r="H29" i="2"/>
  <c r="D624" i="3"/>
  <c r="F62" i="61"/>
  <c r="H38" i="2"/>
  <c r="D629" i="3"/>
  <c r="I307" i="2" l="1"/>
  <c r="J307"/>
  <c r="H307"/>
  <c r="G269" i="61" l="1"/>
  <c r="H269"/>
  <c r="F269"/>
  <c r="F30" i="3" l="1"/>
  <c r="E30"/>
  <c r="J38" i="2"/>
  <c r="I38"/>
  <c r="F629" i="3"/>
  <c r="E629"/>
  <c r="D184" l="1"/>
  <c r="D182" s="1"/>
  <c r="F182"/>
  <c r="E182"/>
  <c r="H736" i="2"/>
  <c r="H734" s="1"/>
  <c r="J734"/>
  <c r="I734"/>
  <c r="F634" i="61"/>
  <c r="F632" s="1"/>
  <c r="H632"/>
  <c r="G632"/>
  <c r="F135" i="3" l="1"/>
  <c r="E135"/>
  <c r="J607" i="2"/>
  <c r="I607"/>
  <c r="H543" i="61"/>
  <c r="G543"/>
  <c r="F207" i="3"/>
  <c r="E207"/>
  <c r="J662" i="2"/>
  <c r="I662"/>
  <c r="H495" i="61"/>
  <c r="G495"/>
  <c r="F144" i="3"/>
  <c r="E144"/>
  <c r="J690" i="2"/>
  <c r="I690"/>
  <c r="H553" i="61"/>
  <c r="G553"/>
  <c r="F213" i="3"/>
  <c r="E213"/>
  <c r="J724" i="2"/>
  <c r="J723" s="1"/>
  <c r="J722" s="1"/>
  <c r="I724"/>
  <c r="I723" s="1"/>
  <c r="I722" s="1"/>
  <c r="H586" i="61"/>
  <c r="G586"/>
  <c r="H35"/>
  <c r="G35"/>
  <c r="J31" i="2"/>
  <c r="I31"/>
  <c r="F626" i="3"/>
  <c r="E626"/>
  <c r="F624"/>
  <c r="E624"/>
  <c r="J29" i="2"/>
  <c r="I29"/>
  <c r="H33" i="61"/>
  <c r="G33"/>
  <c r="F618" i="3"/>
  <c r="E618"/>
  <c r="J55" i="2"/>
  <c r="I55"/>
  <c r="H45" i="61"/>
  <c r="G45"/>
  <c r="F616" i="3"/>
  <c r="E616"/>
  <c r="J46" i="2"/>
  <c r="I46"/>
  <c r="H29" i="61"/>
  <c r="G29"/>
  <c r="J753" i="2"/>
  <c r="I753"/>
  <c r="H57" i="61"/>
  <c r="G57"/>
  <c r="H62"/>
  <c r="G62"/>
  <c r="H93"/>
  <c r="G93"/>
  <c r="J89" i="2"/>
  <c r="I89"/>
  <c r="F608" i="3"/>
  <c r="E608"/>
  <c r="F611"/>
  <c r="E611"/>
  <c r="J92" i="2"/>
  <c r="I92"/>
  <c r="H96" i="61"/>
  <c r="G96"/>
  <c r="F604" i="3"/>
  <c r="E604"/>
  <c r="J129" i="2"/>
  <c r="I129"/>
  <c r="H129" i="61"/>
  <c r="G129"/>
  <c r="F88" i="3"/>
  <c r="E88"/>
  <c r="J541" i="2"/>
  <c r="I541"/>
  <c r="H446" i="61"/>
  <c r="G446"/>
  <c r="H412"/>
  <c r="G412"/>
  <c r="F45" i="3"/>
  <c r="E45"/>
  <c r="J501" i="2"/>
  <c r="I501"/>
  <c r="I502"/>
  <c r="J488"/>
  <c r="I488"/>
  <c r="H401" i="61"/>
  <c r="G401"/>
  <c r="E294" i="3"/>
  <c r="F294"/>
  <c r="D294"/>
  <c r="F78" l="1"/>
  <c r="F77" s="1"/>
  <c r="E78"/>
  <c r="E77" s="1"/>
  <c r="D78"/>
  <c r="D77" s="1"/>
  <c r="J526" i="2"/>
  <c r="J525" s="1"/>
  <c r="I526"/>
  <c r="I525" s="1"/>
  <c r="H526"/>
  <c r="H525" s="1"/>
  <c r="F127" i="3" l="1"/>
  <c r="E127"/>
  <c r="D127"/>
  <c r="J599" i="2"/>
  <c r="I599"/>
  <c r="H599"/>
  <c r="F122" i="3"/>
  <c r="E122"/>
  <c r="J594" i="2"/>
  <c r="I594"/>
  <c r="G531" i="61"/>
  <c r="H531"/>
  <c r="G536"/>
  <c r="H536"/>
  <c r="F536"/>
  <c r="D90" i="3"/>
  <c r="D89" s="1"/>
  <c r="F89"/>
  <c r="F87" s="1"/>
  <c r="E89"/>
  <c r="E87" s="1"/>
  <c r="D88"/>
  <c r="D87" s="1"/>
  <c r="H543" i="2"/>
  <c r="H542" s="1"/>
  <c r="J542"/>
  <c r="J540" s="1"/>
  <c r="I542"/>
  <c r="I540" s="1"/>
  <c r="H541"/>
  <c r="H540" s="1"/>
  <c r="F446" i="61"/>
  <c r="F445" s="1"/>
  <c r="F448"/>
  <c r="F447" s="1"/>
  <c r="G447"/>
  <c r="G445" s="1"/>
  <c r="H447"/>
  <c r="H445" s="1"/>
  <c r="F57" l="1"/>
  <c r="H753" i="2"/>
  <c r="E61" i="1" l="1"/>
  <c r="F193" i="3"/>
  <c r="E193"/>
  <c r="D193"/>
  <c r="J745" i="2"/>
  <c r="I745"/>
  <c r="H745"/>
  <c r="G642" i="61"/>
  <c r="H642"/>
  <c r="F642"/>
  <c r="D578" i="3" l="1"/>
  <c r="D604" l="1"/>
  <c r="H129" i="2"/>
  <c r="F129" i="61"/>
  <c r="F360" i="3"/>
  <c r="E360"/>
  <c r="D360"/>
  <c r="J334" i="2"/>
  <c r="I334"/>
  <c r="H334"/>
  <c r="G314" i="61"/>
  <c r="H314"/>
  <c r="F314"/>
  <c r="D355" i="3"/>
  <c r="H329" i="2"/>
  <c r="F310" i="61"/>
  <c r="D567" i="3" l="1"/>
  <c r="H209" i="2"/>
  <c r="F207" i="61"/>
  <c r="D572" i="3"/>
  <c r="H214" i="2"/>
  <c r="F211" i="61"/>
  <c r="F385" i="3"/>
  <c r="E385"/>
  <c r="D385"/>
  <c r="J174" i="2"/>
  <c r="I174"/>
  <c r="H174"/>
  <c r="H174" i="61"/>
  <c r="G174"/>
  <c r="F174"/>
  <c r="D402" i="3" l="1"/>
  <c r="H191" i="2"/>
  <c r="F191" i="61"/>
  <c r="D540" i="3"/>
  <c r="H409" i="2"/>
  <c r="F376" i="61"/>
  <c r="H689" i="2"/>
  <c r="D207" i="3"/>
  <c r="H662" i="2"/>
  <c r="F495" i="61"/>
  <c r="D45" i="3" l="1"/>
  <c r="H501" i="2"/>
  <c r="F412" i="61"/>
  <c r="H292"/>
  <c r="G292"/>
  <c r="F292"/>
  <c r="F35" l="1"/>
  <c r="H31" i="2"/>
  <c r="D626" i="3"/>
  <c r="F543" i="61"/>
  <c r="H607" i="2"/>
  <c r="D135" i="3"/>
  <c r="D608"/>
  <c r="H89" i="2"/>
  <c r="F93" i="61"/>
  <c r="D213" i="3"/>
  <c r="H724" i="2"/>
  <c r="H723" s="1"/>
  <c r="H722" s="1"/>
  <c r="F586" i="61"/>
  <c r="F188" i="3" l="1"/>
  <c r="E188"/>
  <c r="D188"/>
  <c r="J740" i="2"/>
  <c r="I740"/>
  <c r="H740"/>
  <c r="G638" i="61"/>
  <c r="H638"/>
  <c r="F638"/>
  <c r="E384" i="3" l="1"/>
  <c r="I173" i="2"/>
  <c r="G173" i="61"/>
  <c r="F316" i="3" l="1"/>
  <c r="E316"/>
  <c r="D319"/>
  <c r="E319"/>
  <c r="F319"/>
  <c r="J281" i="2"/>
  <c r="I281"/>
  <c r="F528" i="3"/>
  <c r="E528"/>
  <c r="D528"/>
  <c r="J400" i="2"/>
  <c r="I400"/>
  <c r="H400"/>
  <c r="H369" i="61"/>
  <c r="G369"/>
  <c r="F369"/>
  <c r="F506" i="3" l="1"/>
  <c r="E506"/>
  <c r="D506"/>
  <c r="F504"/>
  <c r="E504"/>
  <c r="D504"/>
  <c r="J451" i="2"/>
  <c r="I451"/>
  <c r="H451"/>
  <c r="G620" i="61"/>
  <c r="H620"/>
  <c r="F620"/>
  <c r="F503" i="3" l="1"/>
  <c r="E503"/>
  <c r="D503"/>
  <c r="D515"/>
  <c r="H460" i="2"/>
  <c r="F627" i="61"/>
  <c r="F545" i="3" l="1"/>
  <c r="E545"/>
  <c r="D545"/>
  <c r="F543"/>
  <c r="E543"/>
  <c r="D543"/>
  <c r="F541"/>
  <c r="E541"/>
  <c r="D541"/>
  <c r="J414" i="2"/>
  <c r="I414"/>
  <c r="H414"/>
  <c r="J412"/>
  <c r="I412"/>
  <c r="H412"/>
  <c r="J410"/>
  <c r="I410"/>
  <c r="H410"/>
  <c r="D539" i="3" l="1"/>
  <c r="D538" s="1"/>
  <c r="F539"/>
  <c r="F538" s="1"/>
  <c r="E539"/>
  <c r="E538" s="1"/>
  <c r="H381" i="61" l="1"/>
  <c r="G381"/>
  <c r="F381"/>
  <c r="H379"/>
  <c r="G379"/>
  <c r="F379"/>
  <c r="H377"/>
  <c r="G377"/>
  <c r="F377"/>
  <c r="E95" i="3"/>
  <c r="F95"/>
  <c r="I548" i="2"/>
  <c r="J548"/>
  <c r="G453" i="61"/>
  <c r="H453"/>
  <c r="D95" i="3"/>
  <c r="H548" i="2"/>
  <c r="F453" i="61"/>
  <c r="F271" i="3" l="1"/>
  <c r="E271"/>
  <c r="D271"/>
  <c r="J471" i="2"/>
  <c r="I471"/>
  <c r="H471"/>
  <c r="G653" i="61"/>
  <c r="H653"/>
  <c r="F653"/>
  <c r="F124" i="3" l="1"/>
  <c r="E124"/>
  <c r="E123" s="1"/>
  <c r="D123"/>
  <c r="F123"/>
  <c r="J596" i="2"/>
  <c r="I596"/>
  <c r="I595" s="1"/>
  <c r="H595"/>
  <c r="J595"/>
  <c r="G533" i="61"/>
  <c r="G532" s="1"/>
  <c r="H533"/>
  <c r="H532" s="1"/>
  <c r="F532"/>
  <c r="H208" l="1"/>
  <c r="G208"/>
  <c r="F208"/>
  <c r="H206"/>
  <c r="G206"/>
  <c r="F206"/>
  <c r="J210" i="2"/>
  <c r="I210"/>
  <c r="H210"/>
  <c r="J208"/>
  <c r="I208"/>
  <c r="H208"/>
  <c r="F568" i="3"/>
  <c r="E568"/>
  <c r="D568"/>
  <c r="H111" i="61"/>
  <c r="G111"/>
  <c r="H109"/>
  <c r="G109"/>
  <c r="J108" i="2"/>
  <c r="I108"/>
  <c r="J106"/>
  <c r="I106"/>
  <c r="H241" i="61"/>
  <c r="G241"/>
  <c r="F241"/>
  <c r="H239"/>
  <c r="G239"/>
  <c r="F239"/>
  <c r="H237"/>
  <c r="G237"/>
  <c r="F237"/>
  <c r="H235"/>
  <c r="G235"/>
  <c r="F235"/>
  <c r="H233"/>
  <c r="G233"/>
  <c r="F233"/>
  <c r="J248" i="2"/>
  <c r="I248"/>
  <c r="H248"/>
  <c r="J246"/>
  <c r="I246"/>
  <c r="H246"/>
  <c r="J244"/>
  <c r="I244"/>
  <c r="H244"/>
  <c r="J242"/>
  <c r="I242"/>
  <c r="H242"/>
  <c r="J240"/>
  <c r="I240"/>
  <c r="H240"/>
  <c r="H231" i="61"/>
  <c r="G231"/>
  <c r="F231"/>
  <c r="H229"/>
  <c r="G229"/>
  <c r="F229"/>
  <c r="H227"/>
  <c r="G227"/>
  <c r="F227"/>
  <c r="H225"/>
  <c r="G225"/>
  <c r="F225"/>
  <c r="J237" i="2"/>
  <c r="I237"/>
  <c r="H237"/>
  <c r="J235"/>
  <c r="I235"/>
  <c r="H235"/>
  <c r="J233"/>
  <c r="I233"/>
  <c r="H233"/>
  <c r="J231"/>
  <c r="I231"/>
  <c r="H231"/>
  <c r="H152" i="61"/>
  <c r="H151" s="1"/>
  <c r="G152"/>
  <c r="G151" s="1"/>
  <c r="F152"/>
  <c r="F151" s="1"/>
  <c r="H317" i="2" l="1"/>
  <c r="H550" i="61" l="1"/>
  <c r="G550"/>
  <c r="J687" i="2"/>
  <c r="I687"/>
  <c r="F141" i="3"/>
  <c r="E141"/>
  <c r="F191" l="1"/>
  <c r="F190" s="1"/>
  <c r="E191"/>
  <c r="E190" s="1"/>
  <c r="D191"/>
  <c r="D190" s="1"/>
  <c r="J743" i="2"/>
  <c r="J742" s="1"/>
  <c r="I743"/>
  <c r="I742" s="1"/>
  <c r="H743"/>
  <c r="H742" s="1"/>
  <c r="H640" i="61"/>
  <c r="G640"/>
  <c r="F640"/>
  <c r="H557" l="1"/>
  <c r="G557"/>
  <c r="F557"/>
  <c r="H556"/>
  <c r="G556"/>
  <c r="F556"/>
  <c r="H555"/>
  <c r="G555"/>
  <c r="G554" s="1"/>
  <c r="F555"/>
  <c r="H552"/>
  <c r="G552"/>
  <c r="F552"/>
  <c r="H549"/>
  <c r="G549"/>
  <c r="F550"/>
  <c r="F549" s="1"/>
  <c r="F148" i="3"/>
  <c r="E148"/>
  <c r="D148"/>
  <c r="F147"/>
  <c r="E147"/>
  <c r="D147"/>
  <c r="F146"/>
  <c r="E146"/>
  <c r="D146"/>
  <c r="D145" s="1"/>
  <c r="E143"/>
  <c r="D143"/>
  <c r="F143"/>
  <c r="E140"/>
  <c r="D141"/>
  <c r="D140" s="1"/>
  <c r="F140"/>
  <c r="D156"/>
  <c r="E157"/>
  <c r="E156" s="1"/>
  <c r="F157"/>
  <c r="F156" s="1"/>
  <c r="I693" i="2"/>
  <c r="J693"/>
  <c r="H693"/>
  <c r="H687"/>
  <c r="I692"/>
  <c r="J692"/>
  <c r="H692"/>
  <c r="F161" i="3"/>
  <c r="E161"/>
  <c r="D161"/>
  <c r="J641" i="2"/>
  <c r="I641"/>
  <c r="H641"/>
  <c r="J637"/>
  <c r="I637"/>
  <c r="H468" i="61"/>
  <c r="G468"/>
  <c r="G472"/>
  <c r="H472"/>
  <c r="F472"/>
  <c r="D139" i="3" l="1"/>
  <c r="F554" i="61"/>
  <c r="E145" i="3"/>
  <c r="E139" s="1"/>
  <c r="F145"/>
  <c r="F139" s="1"/>
  <c r="H554" i="61"/>
  <c r="H413"/>
  <c r="G413"/>
  <c r="F413"/>
  <c r="H411"/>
  <c r="G411"/>
  <c r="F411"/>
  <c r="H409"/>
  <c r="G409"/>
  <c r="F409"/>
  <c r="J502" i="2"/>
  <c r="H502"/>
  <c r="J500"/>
  <c r="I500"/>
  <c r="H500"/>
  <c r="J498"/>
  <c r="I498"/>
  <c r="H498"/>
  <c r="F231" i="3" l="1"/>
  <c r="E231"/>
  <c r="J222" i="2"/>
  <c r="I222"/>
  <c r="H218" i="61"/>
  <c r="G218"/>
  <c r="F238" i="3"/>
  <c r="F237" s="1"/>
  <c r="E238"/>
  <c r="E237" s="1"/>
  <c r="D238"/>
  <c r="D237" s="1"/>
  <c r="J146" i="2" l="1"/>
  <c r="J145" s="1"/>
  <c r="J144" s="1"/>
  <c r="J143" s="1"/>
  <c r="J142" s="1"/>
  <c r="I146"/>
  <c r="I145" s="1"/>
  <c r="I144" s="1"/>
  <c r="I143" s="1"/>
  <c r="I142" s="1"/>
  <c r="H146"/>
  <c r="H145" s="1"/>
  <c r="H144" s="1"/>
  <c r="H143" s="1"/>
  <c r="H142" s="1"/>
  <c r="H148" i="61"/>
  <c r="H147" s="1"/>
  <c r="H146" s="1"/>
  <c r="H145" s="1"/>
  <c r="G148"/>
  <c r="G147" s="1"/>
  <c r="G146" s="1"/>
  <c r="G145" s="1"/>
  <c r="F148"/>
  <c r="F147" s="1"/>
  <c r="F146" s="1"/>
  <c r="F145" s="1"/>
  <c r="H624" l="1"/>
  <c r="G624"/>
  <c r="F624"/>
  <c r="H622"/>
  <c r="G622"/>
  <c r="F622"/>
  <c r="J456" i="2"/>
  <c r="I456"/>
  <c r="J454"/>
  <c r="I454"/>
  <c r="F203" i="61"/>
  <c r="H205" i="2"/>
  <c r="D559" i="3"/>
  <c r="D342"/>
  <c r="D340"/>
  <c r="H316" i="2"/>
  <c r="H314"/>
  <c r="H535" l="1"/>
  <c r="F441" i="61"/>
  <c r="H457" l="1"/>
  <c r="J553" i="2"/>
  <c r="F100" i="3"/>
  <c r="F51" i="61" l="1"/>
  <c r="H61" i="2"/>
  <c r="I45"/>
  <c r="J45"/>
  <c r="H45"/>
  <c r="H585" i="61" l="1"/>
  <c r="G585"/>
  <c r="F585"/>
  <c r="H497"/>
  <c r="G497"/>
  <c r="F497"/>
  <c r="J664" i="2"/>
  <c r="I664"/>
  <c r="H664"/>
  <c r="H494" i="61"/>
  <c r="G494"/>
  <c r="F494"/>
  <c r="J661" i="2"/>
  <c r="I661"/>
  <c r="H661"/>
  <c r="H492" i="61"/>
  <c r="G492"/>
  <c r="F492"/>
  <c r="H490"/>
  <c r="G490"/>
  <c r="F490"/>
  <c r="H488"/>
  <c r="G488"/>
  <c r="F488"/>
  <c r="H486"/>
  <c r="G486"/>
  <c r="F486"/>
  <c r="J658" i="2"/>
  <c r="I658"/>
  <c r="H658"/>
  <c r="J656"/>
  <c r="I656"/>
  <c r="H656"/>
  <c r="J654"/>
  <c r="I654"/>
  <c r="H654"/>
  <c r="J652"/>
  <c r="I652"/>
  <c r="H652"/>
  <c r="H635" i="61"/>
  <c r="G635"/>
  <c r="F635"/>
  <c r="F631" s="1"/>
  <c r="J737" i="2"/>
  <c r="I737"/>
  <c r="H737"/>
  <c r="H733" s="1"/>
  <c r="H732" s="1"/>
  <c r="H566" i="61"/>
  <c r="G566"/>
  <c r="F566"/>
  <c r="H564"/>
  <c r="G564"/>
  <c r="F564"/>
  <c r="J704" i="2"/>
  <c r="I704"/>
  <c r="H704"/>
  <c r="J702"/>
  <c r="I702"/>
  <c r="H702"/>
  <c r="J640"/>
  <c r="I640"/>
  <c r="H640"/>
  <c r="J638"/>
  <c r="I638"/>
  <c r="H638"/>
  <c r="J636"/>
  <c r="I636"/>
  <c r="H636"/>
  <c r="J694"/>
  <c r="I694"/>
  <c r="H694"/>
  <c r="J691"/>
  <c r="I691"/>
  <c r="H691"/>
  <c r="J689"/>
  <c r="I689"/>
  <c r="J686"/>
  <c r="I686"/>
  <c r="H686"/>
  <c r="F185" i="3"/>
  <c r="E185"/>
  <c r="D185"/>
  <c r="H473" i="61"/>
  <c r="G473"/>
  <c r="F473"/>
  <c r="J643" i="2"/>
  <c r="J642" s="1"/>
  <c r="I643"/>
  <c r="I642" s="1"/>
  <c r="H643"/>
  <c r="H642" s="1"/>
  <c r="E178" i="3"/>
  <c r="E177" s="1"/>
  <c r="F178"/>
  <c r="F177" s="1"/>
  <c r="D178"/>
  <c r="D177" s="1"/>
  <c r="I685" i="2" l="1"/>
  <c r="J685"/>
  <c r="H685"/>
  <c r="H631" i="61"/>
  <c r="H630" s="1"/>
  <c r="J733" i="2"/>
  <c r="J732" s="1"/>
  <c r="G631" i="61"/>
  <c r="G630" s="1"/>
  <c r="I733" i="2"/>
  <c r="I732" s="1"/>
  <c r="G570" i="61"/>
  <c r="H570"/>
  <c r="F570"/>
  <c r="F170" i="3" l="1"/>
  <c r="E170"/>
  <c r="D170"/>
  <c r="F168"/>
  <c r="F167" s="1"/>
  <c r="E168"/>
  <c r="D168"/>
  <c r="H568" i="61"/>
  <c r="H548" s="1"/>
  <c r="G568"/>
  <c r="G548" s="1"/>
  <c r="F568"/>
  <c r="F548" s="1"/>
  <c r="J707" i="2"/>
  <c r="I707"/>
  <c r="H707"/>
  <c r="D167" i="3" l="1"/>
  <c r="E167"/>
  <c r="F422"/>
  <c r="E422"/>
  <c r="D422"/>
  <c r="F420"/>
  <c r="E420"/>
  <c r="D420"/>
  <c r="F430"/>
  <c r="E430"/>
  <c r="D430"/>
  <c r="F428"/>
  <c r="E428"/>
  <c r="D428"/>
  <c r="F426"/>
  <c r="E426"/>
  <c r="D426"/>
  <c r="H510" i="61"/>
  <c r="G510"/>
  <c r="F510"/>
  <c r="H508"/>
  <c r="G508"/>
  <c r="F508"/>
  <c r="H506"/>
  <c r="G506"/>
  <c r="F506"/>
  <c r="I679" i="2"/>
  <c r="J679"/>
  <c r="H679"/>
  <c r="I677"/>
  <c r="J677"/>
  <c r="H677"/>
  <c r="I675"/>
  <c r="J675"/>
  <c r="H675"/>
  <c r="J671"/>
  <c r="I671"/>
  <c r="H671"/>
  <c r="J669"/>
  <c r="I669"/>
  <c r="H669"/>
  <c r="E419" i="3" l="1"/>
  <c r="F419"/>
  <c r="G505" i="61"/>
  <c r="D419" i="3"/>
  <c r="D425"/>
  <c r="D424" s="1"/>
  <c r="H505" i="61"/>
  <c r="J674" i="2"/>
  <c r="J673" s="1"/>
  <c r="F425" i="3"/>
  <c r="F424" s="1"/>
  <c r="F418" s="1"/>
  <c r="E425"/>
  <c r="E424" s="1"/>
  <c r="E418" s="1"/>
  <c r="F505" i="61"/>
  <c r="H674" i="2"/>
  <c r="H673" s="1"/>
  <c r="I674"/>
  <c r="I673" s="1"/>
  <c r="D418" i="3" l="1"/>
  <c r="I521" i="2"/>
  <c r="J521"/>
  <c r="H521"/>
  <c r="G429" i="61"/>
  <c r="H429"/>
  <c r="F429"/>
  <c r="H544"/>
  <c r="G544"/>
  <c r="F544"/>
  <c r="J608" i="2"/>
  <c r="I608"/>
  <c r="H608"/>
  <c r="E136" i="3"/>
  <c r="F136"/>
  <c r="D136"/>
  <c r="H537" i="61"/>
  <c r="G537"/>
  <c r="F537"/>
  <c r="H535"/>
  <c r="G535"/>
  <c r="F535"/>
  <c r="J600" i="2"/>
  <c r="I600"/>
  <c r="H600"/>
  <c r="J598"/>
  <c r="I598"/>
  <c r="H598"/>
  <c r="H463" i="61"/>
  <c r="G463"/>
  <c r="F463"/>
  <c r="J560" i="2"/>
  <c r="I560"/>
  <c r="H560"/>
  <c r="H526" i="61"/>
  <c r="G526"/>
  <c r="F526"/>
  <c r="J587" i="2"/>
  <c r="I587"/>
  <c r="H587"/>
  <c r="H454" i="61"/>
  <c r="G454"/>
  <c r="F454"/>
  <c r="H452"/>
  <c r="G452"/>
  <c r="F452"/>
  <c r="J549" i="2"/>
  <c r="I549"/>
  <c r="H549"/>
  <c r="J547"/>
  <c r="I547"/>
  <c r="H547"/>
  <c r="H433" i="61"/>
  <c r="G433"/>
  <c r="F433"/>
  <c r="I539" i="2" l="1"/>
  <c r="H539"/>
  <c r="J539"/>
  <c r="J577"/>
  <c r="I577"/>
  <c r="H577"/>
  <c r="H427" i="61"/>
  <c r="G427"/>
  <c r="F427"/>
  <c r="H425"/>
  <c r="G425"/>
  <c r="F425"/>
  <c r="H423"/>
  <c r="G423"/>
  <c r="F423"/>
  <c r="J518" i="2"/>
  <c r="I518"/>
  <c r="H518"/>
  <c r="J516"/>
  <c r="I516"/>
  <c r="H516"/>
  <c r="J514"/>
  <c r="I514"/>
  <c r="H514"/>
  <c r="H419" i="61"/>
  <c r="G419"/>
  <c r="F419"/>
  <c r="J509" i="2"/>
  <c r="I509"/>
  <c r="H509"/>
  <c r="E53" i="3"/>
  <c r="F53"/>
  <c r="D53"/>
  <c r="H417" i="61"/>
  <c r="G417"/>
  <c r="F417"/>
  <c r="H415"/>
  <c r="G415"/>
  <c r="F415"/>
  <c r="J507" i="2"/>
  <c r="I507"/>
  <c r="H507"/>
  <c r="J505"/>
  <c r="I505"/>
  <c r="H505"/>
  <c r="H620"/>
  <c r="I620"/>
  <c r="H504" l="1"/>
  <c r="J504"/>
  <c r="I504"/>
  <c r="I497"/>
  <c r="H404" i="61"/>
  <c r="G404"/>
  <c r="F404"/>
  <c r="H402"/>
  <c r="G402"/>
  <c r="F402"/>
  <c r="J492" i="2"/>
  <c r="I492"/>
  <c r="H492"/>
  <c r="J490"/>
  <c r="I490"/>
  <c r="H490"/>
  <c r="H400" i="61"/>
  <c r="G400"/>
  <c r="F400"/>
  <c r="H398"/>
  <c r="G398"/>
  <c r="F398"/>
  <c r="J487" i="2"/>
  <c r="I487"/>
  <c r="H487"/>
  <c r="J485"/>
  <c r="I485"/>
  <c r="H485"/>
  <c r="G397" i="61" l="1"/>
  <c r="H397"/>
  <c r="H489" i="2"/>
  <c r="J489"/>
  <c r="I489"/>
  <c r="F397" i="61"/>
  <c r="H589" l="1"/>
  <c r="H588" s="1"/>
  <c r="G589"/>
  <c r="G588" s="1"/>
  <c r="F589"/>
  <c r="F588" s="1"/>
  <c r="J727" i="2"/>
  <c r="J726" s="1"/>
  <c r="I727"/>
  <c r="I726" s="1"/>
  <c r="H727"/>
  <c r="H726" s="1"/>
  <c r="D601" i="3"/>
  <c r="D593"/>
  <c r="F477" i="61"/>
  <c r="H440"/>
  <c r="H439" s="1"/>
  <c r="G440"/>
  <c r="G439" s="1"/>
  <c r="F440"/>
  <c r="F439" s="1"/>
  <c r="J534" i="2"/>
  <c r="J533" s="1"/>
  <c r="I534"/>
  <c r="I533" s="1"/>
  <c r="H534"/>
  <c r="H533" s="1"/>
  <c r="H363" i="61"/>
  <c r="G363"/>
  <c r="F363"/>
  <c r="H361"/>
  <c r="G361"/>
  <c r="F361"/>
  <c r="H359"/>
  <c r="G359"/>
  <c r="F359"/>
  <c r="H357"/>
  <c r="G357"/>
  <c r="F357"/>
  <c r="H355"/>
  <c r="G355"/>
  <c r="F355"/>
  <c r="H353"/>
  <c r="G353"/>
  <c r="F353"/>
  <c r="J383" i="2"/>
  <c r="I383"/>
  <c r="H383"/>
  <c r="J381"/>
  <c r="I381"/>
  <c r="H381"/>
  <c r="H350" i="61"/>
  <c r="G350"/>
  <c r="F350"/>
  <c r="H348"/>
  <c r="G348"/>
  <c r="F348"/>
  <c r="H345"/>
  <c r="G345"/>
  <c r="H342"/>
  <c r="G342"/>
  <c r="F342"/>
  <c r="H340"/>
  <c r="G340"/>
  <c r="F340"/>
  <c r="H337"/>
  <c r="G337"/>
  <c r="F337"/>
  <c r="H335"/>
  <c r="G335"/>
  <c r="F335"/>
  <c r="H330"/>
  <c r="G330"/>
  <c r="F330"/>
  <c r="J393" i="2"/>
  <c r="I393"/>
  <c r="H393"/>
  <c r="J391"/>
  <c r="I391"/>
  <c r="H391"/>
  <c r="J388"/>
  <c r="I388"/>
  <c r="H388"/>
  <c r="J386"/>
  <c r="I386"/>
  <c r="H386"/>
  <c r="J377"/>
  <c r="I377"/>
  <c r="H377"/>
  <c r="J375"/>
  <c r="I375"/>
  <c r="H375"/>
  <c r="J368"/>
  <c r="J367" s="1"/>
  <c r="I368"/>
  <c r="I367" s="1"/>
  <c r="H368"/>
  <c r="H367" s="1"/>
  <c r="J365"/>
  <c r="J364" s="1"/>
  <c r="I365"/>
  <c r="I364" s="1"/>
  <c r="H365"/>
  <c r="H364" s="1"/>
  <c r="J361"/>
  <c r="J360" s="1"/>
  <c r="I361"/>
  <c r="I360" s="1"/>
  <c r="H361"/>
  <c r="H360" s="1"/>
  <c r="J358"/>
  <c r="I358"/>
  <c r="H358"/>
  <c r="J353"/>
  <c r="I353"/>
  <c r="H353"/>
  <c r="E492" i="3"/>
  <c r="F492"/>
  <c r="D492"/>
  <c r="F454"/>
  <c r="E454"/>
  <c r="D454"/>
  <c r="F452"/>
  <c r="E452"/>
  <c r="D452"/>
  <c r="F448"/>
  <c r="E448"/>
  <c r="F446"/>
  <c r="E446"/>
  <c r="F441"/>
  <c r="F440" s="1"/>
  <c r="F439" s="1"/>
  <c r="E441"/>
  <c r="E440" s="1"/>
  <c r="E439" s="1"/>
  <c r="D441"/>
  <c r="D440" s="1"/>
  <c r="D439" s="1"/>
  <c r="F437"/>
  <c r="E437"/>
  <c r="D437"/>
  <c r="F435"/>
  <c r="E435"/>
  <c r="D435"/>
  <c r="J125" i="2"/>
  <c r="I125"/>
  <c r="H125"/>
  <c r="J123"/>
  <c r="I123"/>
  <c r="H123"/>
  <c r="J119"/>
  <c r="I119"/>
  <c r="J117"/>
  <c r="I117"/>
  <c r="J112"/>
  <c r="I112"/>
  <c r="H112"/>
  <c r="H108"/>
  <c r="H106"/>
  <c r="H390" l="1"/>
  <c r="D445" i="3"/>
  <c r="D444" s="1"/>
  <c r="J363" i="2"/>
  <c r="I390"/>
  <c r="H380"/>
  <c r="D451" i="3"/>
  <c r="D450" s="1"/>
  <c r="E451"/>
  <c r="E450" s="1"/>
  <c r="E445"/>
  <c r="E444" s="1"/>
  <c r="I371" i="2"/>
  <c r="I370" s="1"/>
  <c r="H385"/>
  <c r="J390"/>
  <c r="I380"/>
  <c r="J352"/>
  <c r="J351" s="1"/>
  <c r="J371"/>
  <c r="J370" s="1"/>
  <c r="E434" i="3"/>
  <c r="F445"/>
  <c r="F444" s="1"/>
  <c r="F434"/>
  <c r="H371" i="2"/>
  <c r="H370" s="1"/>
  <c r="G352" i="61"/>
  <c r="H352" i="2"/>
  <c r="H351" s="1"/>
  <c r="H363"/>
  <c r="J385"/>
  <c r="F451" i="3"/>
  <c r="F450" s="1"/>
  <c r="D434"/>
  <c r="I352" i="2"/>
  <c r="I351" s="1"/>
  <c r="I363"/>
  <c r="I385"/>
  <c r="J380"/>
  <c r="F352" i="61"/>
  <c r="H352"/>
  <c r="F363" i="3"/>
  <c r="F362" s="1"/>
  <c r="E363"/>
  <c r="E362" s="1"/>
  <c r="D363"/>
  <c r="D362" s="1"/>
  <c r="F358"/>
  <c r="F357" s="1"/>
  <c r="E358"/>
  <c r="E357" s="1"/>
  <c r="D358"/>
  <c r="D357" s="1"/>
  <c r="F354"/>
  <c r="F353" s="1"/>
  <c r="E354"/>
  <c r="E353" s="1"/>
  <c r="D354"/>
  <c r="D353" s="1"/>
  <c r="F351"/>
  <c r="E351"/>
  <c r="D351"/>
  <c r="F349"/>
  <c r="E349"/>
  <c r="D349"/>
  <c r="F345"/>
  <c r="E345"/>
  <c r="D345"/>
  <c r="F343"/>
  <c r="E343"/>
  <c r="F340"/>
  <c r="F339" s="1"/>
  <c r="E340"/>
  <c r="E339" s="1"/>
  <c r="D339"/>
  <c r="H332" i="2"/>
  <c r="H331" s="1"/>
  <c r="I332"/>
  <c r="J332"/>
  <c r="H337"/>
  <c r="H336" s="1"/>
  <c r="I337"/>
  <c r="I336" s="1"/>
  <c r="J337"/>
  <c r="J336" s="1"/>
  <c r="H379" l="1"/>
  <c r="D356" i="3"/>
  <c r="F348"/>
  <c r="F347" s="1"/>
  <c r="I379" i="2"/>
  <c r="E356" i="3"/>
  <c r="F342"/>
  <c r="F338" s="1"/>
  <c r="J379" i="2"/>
  <c r="D348" i="3"/>
  <c r="D347" s="1"/>
  <c r="D338"/>
  <c r="E348"/>
  <c r="E347" s="1"/>
  <c r="E342"/>
  <c r="E338" s="1"/>
  <c r="F356"/>
  <c r="F328"/>
  <c r="F327" s="1"/>
  <c r="E328"/>
  <c r="E327" s="1"/>
  <c r="D328"/>
  <c r="D327" s="1"/>
  <c r="F325"/>
  <c r="F324" s="1"/>
  <c r="E325"/>
  <c r="E324" s="1"/>
  <c r="D325"/>
  <c r="D324" s="1"/>
  <c r="F321"/>
  <c r="E321"/>
  <c r="D321"/>
  <c r="F313"/>
  <c r="E313"/>
  <c r="D313"/>
  <c r="F311"/>
  <c r="E311"/>
  <c r="D311"/>
  <c r="F309"/>
  <c r="E309"/>
  <c r="D309"/>
  <c r="F305"/>
  <c r="F304" s="1"/>
  <c r="E305"/>
  <c r="E304" s="1"/>
  <c r="D305"/>
  <c r="D304" s="1"/>
  <c r="D300"/>
  <c r="F300"/>
  <c r="E300"/>
  <c r="J270" i="2"/>
  <c r="J269" s="1"/>
  <c r="I270"/>
  <c r="I269" s="1"/>
  <c r="H270"/>
  <c r="H269" s="1"/>
  <c r="H274"/>
  <c r="I274"/>
  <c r="J274"/>
  <c r="H276"/>
  <c r="I276"/>
  <c r="J276"/>
  <c r="H278"/>
  <c r="I278"/>
  <c r="J278"/>
  <c r="H284"/>
  <c r="I284"/>
  <c r="J284"/>
  <c r="H286"/>
  <c r="I286"/>
  <c r="J286"/>
  <c r="F308" i="3" l="1"/>
  <c r="D299"/>
  <c r="F323"/>
  <c r="F299"/>
  <c r="D323"/>
  <c r="D315"/>
  <c r="E315"/>
  <c r="F315"/>
  <c r="F307" s="1"/>
  <c r="D308"/>
  <c r="E308"/>
  <c r="E299"/>
  <c r="E323"/>
  <c r="J280" i="2"/>
  <c r="I280"/>
  <c r="H280"/>
  <c r="E307" i="3" l="1"/>
  <c r="D307"/>
  <c r="E619"/>
  <c r="F619"/>
  <c r="G44" i="61"/>
  <c r="H44"/>
  <c r="F44"/>
  <c r="E615" i="3"/>
  <c r="F615"/>
  <c r="D615"/>
  <c r="H163" i="61" l="1"/>
  <c r="G163"/>
  <c r="F163"/>
  <c r="H161"/>
  <c r="G161"/>
  <c r="F161"/>
  <c r="H159"/>
  <c r="G159"/>
  <c r="F159"/>
  <c r="H157"/>
  <c r="G157"/>
  <c r="F157"/>
  <c r="H190"/>
  <c r="G190"/>
  <c r="F190"/>
  <c r="H188"/>
  <c r="G188"/>
  <c r="F188"/>
  <c r="H186"/>
  <c r="G186"/>
  <c r="F186"/>
  <c r="H184"/>
  <c r="G184"/>
  <c r="F184"/>
  <c r="H182"/>
  <c r="G182"/>
  <c r="F182"/>
  <c r="H180"/>
  <c r="G180"/>
  <c r="F180"/>
  <c r="H172"/>
  <c r="G172"/>
  <c r="F172"/>
  <c r="H170"/>
  <c r="G170"/>
  <c r="F170"/>
  <c r="H168"/>
  <c r="G168"/>
  <c r="F168"/>
  <c r="J162" i="2"/>
  <c r="I162"/>
  <c r="H162"/>
  <c r="J160"/>
  <c r="I160"/>
  <c r="H160"/>
  <c r="J158"/>
  <c r="I158"/>
  <c r="H158"/>
  <c r="J156"/>
  <c r="I156"/>
  <c r="H156"/>
  <c r="J190"/>
  <c r="I190"/>
  <c r="H190"/>
  <c r="J188"/>
  <c r="I188"/>
  <c r="H188"/>
  <c r="J186"/>
  <c r="I186"/>
  <c r="H186"/>
  <c r="J184"/>
  <c r="I184"/>
  <c r="H184"/>
  <c r="J182"/>
  <c r="I182"/>
  <c r="H182"/>
  <c r="J180"/>
  <c r="I180"/>
  <c r="H180"/>
  <c r="J172"/>
  <c r="I172"/>
  <c r="H172"/>
  <c r="J170"/>
  <c r="I170"/>
  <c r="H170"/>
  <c r="J168"/>
  <c r="I168"/>
  <c r="H168"/>
  <c r="E401" i="3"/>
  <c r="F401"/>
  <c r="D401"/>
  <c r="G167" i="61" l="1"/>
  <c r="H167"/>
  <c r="J167" i="2"/>
  <c r="J166" s="1"/>
  <c r="I167"/>
  <c r="I166" s="1"/>
  <c r="H167"/>
  <c r="H166" s="1"/>
  <c r="F167" i="61"/>
  <c r="H155" i="2"/>
  <c r="I155"/>
  <c r="J155"/>
  <c r="H212" i="61"/>
  <c r="G212"/>
  <c r="F212"/>
  <c r="H210"/>
  <c r="G210"/>
  <c r="F210"/>
  <c r="J215" i="2"/>
  <c r="I215"/>
  <c r="H215"/>
  <c r="J213"/>
  <c r="I213"/>
  <c r="H213"/>
  <c r="H204" i="61"/>
  <c r="G204"/>
  <c r="F204"/>
  <c r="J206" i="2"/>
  <c r="I206"/>
  <c r="H206"/>
  <c r="H202" i="61"/>
  <c r="G202"/>
  <c r="F202"/>
  <c r="H200"/>
  <c r="G200"/>
  <c r="F200"/>
  <c r="H198"/>
  <c r="G198"/>
  <c r="F198"/>
  <c r="J204" i="2"/>
  <c r="I204"/>
  <c r="H204"/>
  <c r="J202"/>
  <c r="I202"/>
  <c r="H202"/>
  <c r="J200"/>
  <c r="I200"/>
  <c r="H200"/>
  <c r="H141" i="61"/>
  <c r="G141"/>
  <c r="F141"/>
  <c r="H139"/>
  <c r="G139"/>
  <c r="F139"/>
  <c r="J138" i="2"/>
  <c r="I138"/>
  <c r="H138"/>
  <c r="J136"/>
  <c r="I136"/>
  <c r="H136"/>
  <c r="D560" i="3"/>
  <c r="E560"/>
  <c r="F560"/>
  <c r="D562"/>
  <c r="E562"/>
  <c r="F562"/>
  <c r="D556"/>
  <c r="E556"/>
  <c r="F556"/>
  <c r="H326" i="61"/>
  <c r="G326"/>
  <c r="F326"/>
  <c r="H324"/>
  <c r="G324"/>
  <c r="F324"/>
  <c r="J348" i="2"/>
  <c r="I348"/>
  <c r="H348"/>
  <c r="J346"/>
  <c r="I346"/>
  <c r="H346"/>
  <c r="H221" i="61" l="1"/>
  <c r="G221"/>
  <c r="F221"/>
  <c r="J226" i="2"/>
  <c r="I226"/>
  <c r="J224"/>
  <c r="I224"/>
  <c r="E235" i="3"/>
  <c r="F235"/>
  <c r="F233"/>
  <c r="E233"/>
  <c r="E232" s="1"/>
  <c r="F223"/>
  <c r="E223"/>
  <c r="D223"/>
  <c r="F221"/>
  <c r="E221"/>
  <c r="D221"/>
  <c r="J72" i="2"/>
  <c r="I72"/>
  <c r="H72"/>
  <c r="J70"/>
  <c r="I70"/>
  <c r="H70"/>
  <c r="D232" i="3" l="1"/>
  <c r="F232"/>
  <c r="H223" i="2"/>
  <c r="J223"/>
  <c r="I223"/>
  <c r="G251" i="61"/>
  <c r="G249"/>
  <c r="G247"/>
  <c r="G245"/>
  <c r="I259" i="2"/>
  <c r="I257"/>
  <c r="I255"/>
  <c r="I253"/>
  <c r="F372" i="61"/>
  <c r="F371" s="1"/>
  <c r="H371"/>
  <c r="G371"/>
  <c r="H367"/>
  <c r="G367"/>
  <c r="F367"/>
  <c r="H404" i="2"/>
  <c r="H403" s="1"/>
  <c r="H402" s="1"/>
  <c r="J403"/>
  <c r="J402" s="1"/>
  <c r="I403"/>
  <c r="I402" s="1"/>
  <c r="J398"/>
  <c r="J397" s="1"/>
  <c r="I398"/>
  <c r="I397" s="1"/>
  <c r="H398"/>
  <c r="H397" s="1"/>
  <c r="D532" i="3"/>
  <c r="F366" i="61" l="1"/>
  <c r="G366"/>
  <c r="H366"/>
  <c r="H251"/>
  <c r="F251"/>
  <c r="H249"/>
  <c r="F249"/>
  <c r="H247"/>
  <c r="F247"/>
  <c r="H245"/>
  <c r="F245"/>
  <c r="J259" i="2"/>
  <c r="H259"/>
  <c r="J257"/>
  <c r="H257"/>
  <c r="J255"/>
  <c r="H255"/>
  <c r="J253"/>
  <c r="H253"/>
  <c r="H290" i="61"/>
  <c r="G290"/>
  <c r="F290"/>
  <c r="H288"/>
  <c r="G288"/>
  <c r="F288"/>
  <c r="H286"/>
  <c r="G286"/>
  <c r="F286"/>
  <c r="H284"/>
  <c r="G284"/>
  <c r="F284"/>
  <c r="J305" i="2"/>
  <c r="I305"/>
  <c r="H305"/>
  <c r="J303"/>
  <c r="I303"/>
  <c r="H303"/>
  <c r="J301"/>
  <c r="I301"/>
  <c r="H301"/>
  <c r="J299"/>
  <c r="I299"/>
  <c r="H299"/>
  <c r="H392" i="61"/>
  <c r="G392"/>
  <c r="F392"/>
  <c r="H390"/>
  <c r="G390"/>
  <c r="F390"/>
  <c r="J426" i="2"/>
  <c r="I426"/>
  <c r="H426"/>
  <c r="J424"/>
  <c r="I424"/>
  <c r="H424"/>
  <c r="H658" i="61"/>
  <c r="G658"/>
  <c r="F658"/>
  <c r="H656"/>
  <c r="G656"/>
  <c r="F656"/>
  <c r="H654"/>
  <c r="G654"/>
  <c r="F654"/>
  <c r="H652"/>
  <c r="G652"/>
  <c r="F652"/>
  <c r="H650"/>
  <c r="G650"/>
  <c r="F650"/>
  <c r="H648"/>
  <c r="G648"/>
  <c r="F648"/>
  <c r="J477" i="2"/>
  <c r="I477"/>
  <c r="H477"/>
  <c r="J475"/>
  <c r="I475"/>
  <c r="H475"/>
  <c r="J472"/>
  <c r="I472"/>
  <c r="H472"/>
  <c r="J470"/>
  <c r="I470"/>
  <c r="H470"/>
  <c r="J468"/>
  <c r="I468"/>
  <c r="H468"/>
  <c r="J466"/>
  <c r="I466"/>
  <c r="H466"/>
  <c r="F283" i="61" l="1"/>
  <c r="G283"/>
  <c r="H283"/>
  <c r="H298" i="2"/>
  <c r="I298"/>
  <c r="J298"/>
  <c r="J297" s="1"/>
  <c r="I297"/>
  <c r="H297"/>
  <c r="H474"/>
  <c r="I474"/>
  <c r="H230"/>
  <c r="I230"/>
  <c r="J230"/>
  <c r="J474"/>
  <c r="E599" i="3"/>
  <c r="E598" s="1"/>
  <c r="D599"/>
  <c r="D598" s="1"/>
  <c r="F598"/>
  <c r="I764" i="2"/>
  <c r="I763" s="1"/>
  <c r="I762" s="1"/>
  <c r="I761" s="1"/>
  <c r="I760" s="1"/>
  <c r="H764"/>
  <c r="H763" s="1"/>
  <c r="H762" s="1"/>
  <c r="H761" s="1"/>
  <c r="H760" s="1"/>
  <c r="J763"/>
  <c r="J762" s="1"/>
  <c r="J761" s="1"/>
  <c r="J760" s="1"/>
  <c r="G664" i="61"/>
  <c r="G663" s="1"/>
  <c r="G662" s="1"/>
  <c r="G661" s="1"/>
  <c r="G660" s="1"/>
  <c r="F664"/>
  <c r="F663" s="1"/>
  <c r="F662" s="1"/>
  <c r="F661" s="1"/>
  <c r="F660" s="1"/>
  <c r="H663"/>
  <c r="H662" s="1"/>
  <c r="H661" s="1"/>
  <c r="H660" s="1"/>
  <c r="G64" i="1"/>
  <c r="F64"/>
  <c r="E64"/>
  <c r="E566" i="3" l="1"/>
  <c r="F566"/>
  <c r="D566"/>
  <c r="E564"/>
  <c r="F564"/>
  <c r="D564"/>
  <c r="F292" l="1"/>
  <c r="E292"/>
  <c r="D292"/>
  <c r="F290"/>
  <c r="E290"/>
  <c r="D290"/>
  <c r="F288"/>
  <c r="E288"/>
  <c r="D288"/>
  <c r="F286"/>
  <c r="E286"/>
  <c r="D286"/>
  <c r="D285" s="1"/>
  <c r="E262"/>
  <c r="F262"/>
  <c r="D262"/>
  <c r="E285" l="1"/>
  <c r="F285"/>
  <c r="E251"/>
  <c r="F251"/>
  <c r="D251"/>
  <c r="F249"/>
  <c r="E249"/>
  <c r="D249"/>
  <c r="J575" i="2" l="1"/>
  <c r="I575"/>
  <c r="H575"/>
  <c r="J712" l="1"/>
  <c r="J711" s="1"/>
  <c r="I712"/>
  <c r="I711" s="1"/>
  <c r="H712"/>
  <c r="H711" s="1"/>
  <c r="G575" i="61"/>
  <c r="H575"/>
  <c r="F575"/>
  <c r="J646" i="2" l="1"/>
  <c r="J645" s="1"/>
  <c r="I646"/>
  <c r="I645" s="1"/>
  <c r="H646"/>
  <c r="H645" s="1"/>
  <c r="H573" i="61"/>
  <c r="H572" s="1"/>
  <c r="G573"/>
  <c r="G572" s="1"/>
  <c r="F573"/>
  <c r="F572" s="1"/>
  <c r="F592" i="3"/>
  <c r="E592"/>
  <c r="D592"/>
  <c r="J563" i="2"/>
  <c r="J562" s="1"/>
  <c r="I563"/>
  <c r="I562" s="1"/>
  <c r="H563"/>
  <c r="H562" s="1"/>
  <c r="H476" i="61"/>
  <c r="H475" s="1"/>
  <c r="G476"/>
  <c r="G475" s="1"/>
  <c r="F476"/>
  <c r="F475" s="1"/>
  <c r="F600" i="3"/>
  <c r="E600"/>
  <c r="D600"/>
  <c r="J340" i="2"/>
  <c r="J339" s="1"/>
  <c r="I340"/>
  <c r="I339" s="1"/>
  <c r="H340"/>
  <c r="H339" s="1"/>
  <c r="H319" i="61"/>
  <c r="H318" s="1"/>
  <c r="G319"/>
  <c r="G318" s="1"/>
  <c r="F319"/>
  <c r="F318" s="1"/>
  <c r="F32" i="1" l="1"/>
  <c r="G32"/>
  <c r="I79" i="2"/>
  <c r="I78" s="1"/>
  <c r="I99"/>
  <c r="I96" s="1"/>
  <c r="I128"/>
  <c r="I127" s="1"/>
  <c r="I408"/>
  <c r="J408"/>
  <c r="I150"/>
  <c r="I149" s="1"/>
  <c r="I148" s="1"/>
  <c r="I147" s="1"/>
  <c r="I141" s="1"/>
  <c r="J150"/>
  <c r="J149" s="1"/>
  <c r="J148" s="1"/>
  <c r="J147" s="1"/>
  <c r="J141" s="1"/>
  <c r="I433"/>
  <c r="I432" s="1"/>
  <c r="J433"/>
  <c r="J432" s="1"/>
  <c r="I439"/>
  <c r="I437" s="1"/>
  <c r="I436" s="1"/>
  <c r="I435" s="1"/>
  <c r="J439"/>
  <c r="J437" s="1"/>
  <c r="J436" s="1"/>
  <c r="J435" s="1"/>
  <c r="I449"/>
  <c r="I448" s="1"/>
  <c r="J449"/>
  <c r="J448" s="1"/>
  <c r="I221"/>
  <c r="I220" s="1"/>
  <c r="J221"/>
  <c r="J220" s="1"/>
  <c r="J128"/>
  <c r="J127" s="1"/>
  <c r="J99"/>
  <c r="J96" s="1"/>
  <c r="J79"/>
  <c r="J78" s="1"/>
  <c r="I67"/>
  <c r="I66" s="1"/>
  <c r="J67"/>
  <c r="J66" s="1"/>
  <c r="I50"/>
  <c r="I49" s="1"/>
  <c r="J50"/>
  <c r="J49" s="1"/>
  <c r="I43"/>
  <c r="I42" s="1"/>
  <c r="J44"/>
  <c r="I28"/>
  <c r="J28"/>
  <c r="H128" i="61"/>
  <c r="G128"/>
  <c r="F128"/>
  <c r="H128" i="2"/>
  <c r="H496" i="61"/>
  <c r="G496"/>
  <c r="F496"/>
  <c r="J663" i="2"/>
  <c r="I663"/>
  <c r="H663"/>
  <c r="J660"/>
  <c r="I660"/>
  <c r="H660"/>
  <c r="H580" i="61"/>
  <c r="H579" s="1"/>
  <c r="G580"/>
  <c r="G579" s="1"/>
  <c r="F580"/>
  <c r="F579" s="1"/>
  <c r="J718" i="2"/>
  <c r="J717" s="1"/>
  <c r="I718"/>
  <c r="I717" s="1"/>
  <c r="H718"/>
  <c r="H717" s="1"/>
  <c r="J709"/>
  <c r="J706" s="1"/>
  <c r="I709"/>
  <c r="I706" s="1"/>
  <c r="H709"/>
  <c r="H706" s="1"/>
  <c r="H471" i="61"/>
  <c r="G471"/>
  <c r="F471"/>
  <c r="H469"/>
  <c r="G469"/>
  <c r="F469"/>
  <c r="H467"/>
  <c r="G467"/>
  <c r="F467"/>
  <c r="J407" i="2" l="1"/>
  <c r="J406" s="1"/>
  <c r="J405" s="1"/>
  <c r="I407"/>
  <c r="I406" s="1"/>
  <c r="I405" s="1"/>
  <c r="G466" i="61"/>
  <c r="H466"/>
  <c r="F466"/>
  <c r="H651" i="2"/>
  <c r="H650" s="1"/>
  <c r="H649" s="1"/>
  <c r="H154"/>
  <c r="I165"/>
  <c r="J154"/>
  <c r="J153" s="1"/>
  <c r="J152" s="1"/>
  <c r="I154"/>
  <c r="I153" s="1"/>
  <c r="I152" s="1"/>
  <c r="I651"/>
  <c r="I650" s="1"/>
  <c r="I649" s="1"/>
  <c r="J635"/>
  <c r="I635"/>
  <c r="J165"/>
  <c r="I98"/>
  <c r="I97" s="1"/>
  <c r="J431"/>
  <c r="J430" s="1"/>
  <c r="J429" s="1"/>
  <c r="I431"/>
  <c r="I430" s="1"/>
  <c r="I429" s="1"/>
  <c r="J438"/>
  <c r="I438"/>
  <c r="J98"/>
  <c r="J97" s="1"/>
  <c r="I44"/>
  <c r="J43"/>
  <c r="J42" s="1"/>
  <c r="H701"/>
  <c r="I701"/>
  <c r="H635"/>
  <c r="H634" s="1"/>
  <c r="J701"/>
  <c r="J651"/>
  <c r="J650" s="1"/>
  <c r="J649" s="1"/>
  <c r="J731" l="1"/>
  <c r="J730" s="1"/>
  <c r="J729" s="1"/>
  <c r="I731"/>
  <c r="I730" s="1"/>
  <c r="I729" s="1"/>
  <c r="I634"/>
  <c r="I633" s="1"/>
  <c r="I632" s="1"/>
  <c r="J634"/>
  <c r="J633" s="1"/>
  <c r="J632" s="1"/>
  <c r="J684"/>
  <c r="J683" s="1"/>
  <c r="J682" s="1"/>
  <c r="I684"/>
  <c r="I683" s="1"/>
  <c r="I682" s="1"/>
  <c r="H125" i="61"/>
  <c r="G125"/>
  <c r="F125"/>
  <c r="H123"/>
  <c r="G123"/>
  <c r="F123"/>
  <c r="H120"/>
  <c r="G120"/>
  <c r="F120"/>
  <c r="H118"/>
  <c r="G118"/>
  <c r="F118"/>
  <c r="H114"/>
  <c r="G114"/>
  <c r="F114"/>
  <c r="F111"/>
  <c r="F109"/>
  <c r="J111" i="2"/>
  <c r="J110" s="1"/>
  <c r="I111"/>
  <c r="I110" s="1"/>
  <c r="H111"/>
  <c r="H110" s="1"/>
  <c r="G197" i="61"/>
  <c r="J199" i="2"/>
  <c r="F573" i="3"/>
  <c r="E573"/>
  <c r="D573"/>
  <c r="F571"/>
  <c r="E571"/>
  <c r="D571"/>
  <c r="H503" i="61"/>
  <c r="G503"/>
  <c r="F503"/>
  <c r="H501"/>
  <c r="G501"/>
  <c r="F501"/>
  <c r="H135"/>
  <c r="G135"/>
  <c r="F135"/>
  <c r="J629" i="2"/>
  <c r="J628" s="1"/>
  <c r="I629"/>
  <c r="I628" s="1"/>
  <c r="I627" s="1"/>
  <c r="I626" s="1"/>
  <c r="I625" s="1"/>
  <c r="H629"/>
  <c r="H628" s="1"/>
  <c r="I199" l="1"/>
  <c r="H199"/>
  <c r="H197" i="61"/>
  <c r="F197"/>
  <c r="H122"/>
  <c r="H122" i="2"/>
  <c r="H121" s="1"/>
  <c r="F122" i="61"/>
  <c r="G122"/>
  <c r="J668" i="2"/>
  <c r="J667" s="1"/>
  <c r="H116"/>
  <c r="H115" s="1"/>
  <c r="I122"/>
  <c r="I121" s="1"/>
  <c r="J122"/>
  <c r="J121" s="1"/>
  <c r="D570" i="3"/>
  <c r="I116" i="2"/>
  <c r="I115" s="1"/>
  <c r="I105"/>
  <c r="I104"/>
  <c r="J104"/>
  <c r="J105"/>
  <c r="H668"/>
  <c r="H667" s="1"/>
  <c r="J212"/>
  <c r="J116"/>
  <c r="J115" s="1"/>
  <c r="E570" i="3"/>
  <c r="H212" i="2"/>
  <c r="I668"/>
  <c r="I667" s="1"/>
  <c r="I212"/>
  <c r="F570" i="3"/>
  <c r="H105" i="2"/>
  <c r="H104"/>
  <c r="H198" l="1"/>
  <c r="H197" s="1"/>
  <c r="I198"/>
  <c r="I197" s="1"/>
  <c r="J103"/>
  <c r="J102" s="1"/>
  <c r="J198"/>
  <c r="J197" s="1"/>
  <c r="H103"/>
  <c r="I103"/>
  <c r="I102" s="1"/>
  <c r="H408" l="1"/>
  <c r="H407" s="1"/>
  <c r="H406" l="1"/>
  <c r="H405" s="1"/>
  <c r="H195"/>
  <c r="H194" s="1"/>
  <c r="J195"/>
  <c r="J194" s="1"/>
  <c r="I195"/>
  <c r="I194" s="1"/>
  <c r="H375" i="61" l="1"/>
  <c r="G375"/>
  <c r="F375"/>
  <c r="F374" s="1"/>
  <c r="J193" i="2"/>
  <c r="J192" s="1"/>
  <c r="J164" s="1"/>
  <c r="I193"/>
  <c r="I192" s="1"/>
  <c r="I164" s="1"/>
  <c r="H193"/>
  <c r="H192" s="1"/>
  <c r="G374" i="61" l="1"/>
  <c r="G373" s="1"/>
  <c r="H374"/>
  <c r="H373" s="1"/>
  <c r="F373"/>
  <c r="J396" i="2"/>
  <c r="J395" s="1"/>
  <c r="I396"/>
  <c r="I395" s="1"/>
  <c r="H396"/>
  <c r="H395" s="1"/>
  <c r="F41" i="1"/>
  <c r="G41"/>
  <c r="E41"/>
  <c r="H329" i="61" l="1"/>
  <c r="H339"/>
  <c r="F339"/>
  <c r="H344"/>
  <c r="F344"/>
  <c r="G344"/>
  <c r="G329"/>
  <c r="G339"/>
  <c r="F329"/>
  <c r="H439" i="2"/>
  <c r="H618" i="61"/>
  <c r="G618"/>
  <c r="F618"/>
  <c r="H626"/>
  <c r="G626"/>
  <c r="F626"/>
  <c r="J459" i="2"/>
  <c r="J458" s="1"/>
  <c r="I459"/>
  <c r="I458" s="1"/>
  <c r="H459"/>
  <c r="H458" s="1"/>
  <c r="H279" i="61"/>
  <c r="G279"/>
  <c r="F279"/>
  <c r="H277"/>
  <c r="G277"/>
  <c r="F277"/>
  <c r="H274"/>
  <c r="G274"/>
  <c r="F274"/>
  <c r="H272"/>
  <c r="G272"/>
  <c r="F272"/>
  <c r="H267"/>
  <c r="G267"/>
  <c r="F267"/>
  <c r="H265"/>
  <c r="G265"/>
  <c r="F265"/>
  <c r="H263"/>
  <c r="G263"/>
  <c r="F263"/>
  <c r="J293" i="2"/>
  <c r="J292" s="1"/>
  <c r="I293"/>
  <c r="I292" s="1"/>
  <c r="H293"/>
  <c r="H292" s="1"/>
  <c r="J290"/>
  <c r="J289" s="1"/>
  <c r="I290"/>
  <c r="I289" s="1"/>
  <c r="H290"/>
  <c r="H289" s="1"/>
  <c r="G617" i="61" l="1"/>
  <c r="H617"/>
  <c r="F617"/>
  <c r="I350" i="2"/>
  <c r="J350"/>
  <c r="H328" i="61"/>
  <c r="I273" i="2"/>
  <c r="I272" s="1"/>
  <c r="H350"/>
  <c r="J288"/>
  <c r="G328" i="61"/>
  <c r="F328"/>
  <c r="H288" i="2"/>
  <c r="H273"/>
  <c r="H272" s="1"/>
  <c r="J273"/>
  <c r="J272" s="1"/>
  <c r="F262" i="61"/>
  <c r="G262"/>
  <c r="H262"/>
  <c r="I288" i="2"/>
  <c r="H219" i="61"/>
  <c r="G219"/>
  <c r="F219"/>
  <c r="H217"/>
  <c r="G217"/>
  <c r="F217"/>
  <c r="J219" i="2"/>
  <c r="J218" s="1"/>
  <c r="I219"/>
  <c r="I218" s="1"/>
  <c r="H221"/>
  <c r="H220" s="1"/>
  <c r="H76" i="61"/>
  <c r="G76"/>
  <c r="F76"/>
  <c r="H74"/>
  <c r="G74"/>
  <c r="F74"/>
  <c r="H67" i="2"/>
  <c r="H66" s="1"/>
  <c r="H72" i="61"/>
  <c r="G72"/>
  <c r="F72"/>
  <c r="H456"/>
  <c r="G456"/>
  <c r="F456"/>
  <c r="J552" i="2"/>
  <c r="I552"/>
  <c r="H552"/>
  <c r="H542" i="61"/>
  <c r="H541" s="1"/>
  <c r="G542"/>
  <c r="G541" s="1"/>
  <c r="F542"/>
  <c r="F541" s="1"/>
  <c r="J606" i="2"/>
  <c r="J605" s="1"/>
  <c r="I606"/>
  <c r="I605" s="1"/>
  <c r="H606"/>
  <c r="H605" s="1"/>
  <c r="H520" i="61"/>
  <c r="J580" i="2"/>
  <c r="J574" s="1"/>
  <c r="H530" i="61"/>
  <c r="G530"/>
  <c r="F530"/>
  <c r="J593" i="2"/>
  <c r="I593"/>
  <c r="H593"/>
  <c r="H524" i="61"/>
  <c r="G524"/>
  <c r="F524"/>
  <c r="H528"/>
  <c r="G528"/>
  <c r="F528"/>
  <c r="J590" i="2"/>
  <c r="I590"/>
  <c r="H590"/>
  <c r="H481" i="61"/>
  <c r="G481"/>
  <c r="F481"/>
  <c r="J569" i="2"/>
  <c r="I569"/>
  <c r="H569"/>
  <c r="H462" i="61"/>
  <c r="G462"/>
  <c r="F462"/>
  <c r="J559" i="2"/>
  <c r="J558" s="1"/>
  <c r="I559"/>
  <c r="I558" s="1"/>
  <c r="H559"/>
  <c r="H558" s="1"/>
  <c r="G520" i="61"/>
  <c r="F520"/>
  <c r="I580" i="2"/>
  <c r="I574" s="1"/>
  <c r="H580"/>
  <c r="H574" s="1"/>
  <c r="F103" i="3"/>
  <c r="E103"/>
  <c r="D103"/>
  <c r="F101"/>
  <c r="E101"/>
  <c r="D101"/>
  <c r="F99"/>
  <c r="E99"/>
  <c r="D99"/>
  <c r="J556" i="2"/>
  <c r="I556"/>
  <c r="H556"/>
  <c r="J554"/>
  <c r="I554"/>
  <c r="H554"/>
  <c r="H517" i="61"/>
  <c r="G517"/>
  <c r="F517"/>
  <c r="H515"/>
  <c r="G515"/>
  <c r="F515"/>
  <c r="H431"/>
  <c r="H408" s="1"/>
  <c r="G431"/>
  <c r="G408" s="1"/>
  <c r="F431"/>
  <c r="F408" s="1"/>
  <c r="J523" i="2"/>
  <c r="I523"/>
  <c r="H523"/>
  <c r="E75" i="3"/>
  <c r="F75"/>
  <c r="D75"/>
  <c r="F34"/>
  <c r="E34"/>
  <c r="D34"/>
  <c r="F32"/>
  <c r="E32"/>
  <c r="D32"/>
  <c r="F29"/>
  <c r="E29"/>
  <c r="D29"/>
  <c r="F27"/>
  <c r="E27"/>
  <c r="D27"/>
  <c r="F523" i="61" l="1"/>
  <c r="H407"/>
  <c r="G407"/>
  <c r="J551" i="2"/>
  <c r="D98" i="3"/>
  <c r="E98"/>
  <c r="I551" i="2"/>
  <c r="H551"/>
  <c r="F98" i="3"/>
  <c r="D31"/>
  <c r="F31"/>
  <c r="E31"/>
  <c r="G514" i="61"/>
  <c r="F216"/>
  <c r="H216"/>
  <c r="G216"/>
  <c r="H514"/>
  <c r="F514"/>
  <c r="F26" i="3"/>
  <c r="E26"/>
  <c r="J69" i="2"/>
  <c r="J65" s="1"/>
  <c r="J64" s="1"/>
  <c r="I69"/>
  <c r="I65" s="1"/>
  <c r="I64" s="1"/>
  <c r="H219"/>
  <c r="H69"/>
  <c r="H592"/>
  <c r="G523" i="61"/>
  <c r="H523"/>
  <c r="I592" i="2"/>
  <c r="J592"/>
  <c r="H316" i="61" l="1"/>
  <c r="G316"/>
  <c r="F316"/>
  <c r="H312"/>
  <c r="G312"/>
  <c r="F312"/>
  <c r="H309"/>
  <c r="G309"/>
  <c r="F309"/>
  <c r="H307"/>
  <c r="G307"/>
  <c r="F307"/>
  <c r="H305"/>
  <c r="G305"/>
  <c r="F305"/>
  <c r="H302"/>
  <c r="G302"/>
  <c r="F302"/>
  <c r="H300"/>
  <c r="G300"/>
  <c r="F300"/>
  <c r="H298"/>
  <c r="G298"/>
  <c r="F298"/>
  <c r="J331" i="2"/>
  <c r="I331"/>
  <c r="J328"/>
  <c r="J327" s="1"/>
  <c r="I328"/>
  <c r="I327" s="1"/>
  <c r="H328"/>
  <c r="H327" s="1"/>
  <c r="J325"/>
  <c r="I325"/>
  <c r="H325"/>
  <c r="J323"/>
  <c r="I323"/>
  <c r="H323"/>
  <c r="J319"/>
  <c r="I319"/>
  <c r="H319"/>
  <c r="J317"/>
  <c r="I317"/>
  <c r="J314"/>
  <c r="J313" s="1"/>
  <c r="I314"/>
  <c r="I313" s="1"/>
  <c r="H313"/>
  <c r="F311" i="61" l="1"/>
  <c r="H311"/>
  <c r="H312" i="2"/>
  <c r="I330"/>
  <c r="H322"/>
  <c r="H321" s="1"/>
  <c r="G304" i="61"/>
  <c r="F304"/>
  <c r="G311"/>
  <c r="H330" i="2"/>
  <c r="I316"/>
  <c r="I312" s="1"/>
  <c r="F297" i="61"/>
  <c r="G297"/>
  <c r="H304"/>
  <c r="H297"/>
  <c r="J330" i="2"/>
  <c r="I322"/>
  <c r="I321" s="1"/>
  <c r="J322"/>
  <c r="J321" s="1"/>
  <c r="J316"/>
  <c r="J312" s="1"/>
  <c r="I465" l="1"/>
  <c r="J465"/>
  <c r="I311"/>
  <c r="J311"/>
  <c r="H311"/>
  <c r="H465"/>
  <c r="F647" i="61"/>
  <c r="G647"/>
  <c r="H647"/>
  <c r="E372" i="3"/>
  <c r="F372"/>
  <c r="D372"/>
  <c r="E374"/>
  <c r="I252" i="2" l="1"/>
  <c r="I251" s="1"/>
  <c r="I250" s="1"/>
  <c r="J464"/>
  <c r="I464"/>
  <c r="H252"/>
  <c r="H251" s="1"/>
  <c r="H464"/>
  <c r="J252"/>
  <c r="J251" s="1"/>
  <c r="F244" i="61"/>
  <c r="G244"/>
  <c r="H244"/>
  <c r="E335" i="3"/>
  <c r="F335"/>
  <c r="D335"/>
  <c r="I462" i="2" l="1"/>
  <c r="I461" s="1"/>
  <c r="I463"/>
  <c r="J463"/>
  <c r="J462"/>
  <c r="J461" s="1"/>
  <c r="J345"/>
  <c r="J344" s="1"/>
  <c r="J343" s="1"/>
  <c r="J342" s="1"/>
  <c r="G323" i="61"/>
  <c r="G322" s="1"/>
  <c r="H345" i="2"/>
  <c r="H344" s="1"/>
  <c r="H343" s="1"/>
  <c r="H342" s="1"/>
  <c r="F323" i="61"/>
  <c r="I345" i="2"/>
  <c r="I344" s="1"/>
  <c r="I343" s="1"/>
  <c r="I342" s="1"/>
  <c r="H323" i="61"/>
  <c r="H322" s="1"/>
  <c r="E603" i="3"/>
  <c r="F603"/>
  <c r="D603"/>
  <c r="H92" i="61" l="1"/>
  <c r="G92"/>
  <c r="F92"/>
  <c r="J88" i="2"/>
  <c r="I88"/>
  <c r="H88"/>
  <c r="H91"/>
  <c r="I91"/>
  <c r="J91"/>
  <c r="D617" i="3" l="1"/>
  <c r="F617"/>
  <c r="F625"/>
  <c r="E625"/>
  <c r="D625"/>
  <c r="F623"/>
  <c r="E623"/>
  <c r="D623"/>
  <c r="H34" i="61"/>
  <c r="G34"/>
  <c r="F34"/>
  <c r="H32"/>
  <c r="G32"/>
  <c r="F32"/>
  <c r="I30" i="2"/>
  <c r="I27" s="1"/>
  <c r="I26" s="1"/>
  <c r="I25" s="1"/>
  <c r="I24" s="1"/>
  <c r="I23" s="1"/>
  <c r="J30"/>
  <c r="J27" s="1"/>
  <c r="J26" s="1"/>
  <c r="J25" s="1"/>
  <c r="J24" s="1"/>
  <c r="J23" s="1"/>
  <c r="E617" i="3"/>
  <c r="H103" i="61"/>
  <c r="G103"/>
  <c r="F103"/>
  <c r="H99" i="2"/>
  <c r="E536" i="3" l="1"/>
  <c r="E535" s="1"/>
  <c r="E534" s="1"/>
  <c r="E533" s="1"/>
  <c r="F536"/>
  <c r="F535" s="1"/>
  <c r="F534" s="1"/>
  <c r="F533" s="1"/>
  <c r="D536"/>
  <c r="D535" s="1"/>
  <c r="D534" s="1"/>
  <c r="D533" s="1"/>
  <c r="H433" i="2" l="1"/>
  <c r="H432" s="1"/>
  <c r="H95" i="61"/>
  <c r="G95"/>
  <c r="F95"/>
  <c r="J620" i="2" l="1"/>
  <c r="H613" i="61"/>
  <c r="H604"/>
  <c r="G604"/>
  <c r="F604"/>
  <c r="H600"/>
  <c r="G600"/>
  <c r="F600"/>
  <c r="H595"/>
  <c r="G595"/>
  <c r="F595"/>
  <c r="H438" i="2"/>
  <c r="E494" i="3"/>
  <c r="E491" s="1"/>
  <c r="F494"/>
  <c r="F491" s="1"/>
  <c r="D494"/>
  <c r="D491" s="1"/>
  <c r="E499"/>
  <c r="F499"/>
  <c r="D499"/>
  <c r="E489" l="1"/>
  <c r="F489"/>
  <c r="D489"/>
  <c r="F497"/>
  <c r="F496" s="1"/>
  <c r="E497"/>
  <c r="E496" s="1"/>
  <c r="D497"/>
  <c r="D496" s="1"/>
  <c r="F487"/>
  <c r="E487"/>
  <c r="D487"/>
  <c r="H117" i="61"/>
  <c r="G113"/>
  <c r="H113"/>
  <c r="F113"/>
  <c r="H108"/>
  <c r="F127"/>
  <c r="G127"/>
  <c r="H127"/>
  <c r="H134"/>
  <c r="G134"/>
  <c r="F134"/>
  <c r="E486" i="3" l="1"/>
  <c r="E485" s="1"/>
  <c r="F486"/>
  <c r="F485" s="1"/>
  <c r="D486"/>
  <c r="I666" i="2"/>
  <c r="G117" i="61"/>
  <c r="F500"/>
  <c r="F499" s="1"/>
  <c r="F108"/>
  <c r="H500"/>
  <c r="H499" s="1"/>
  <c r="G500"/>
  <c r="G499" s="1"/>
  <c r="H107"/>
  <c r="F117"/>
  <c r="G108"/>
  <c r="J666" i="2"/>
  <c r="H666"/>
  <c r="H648" s="1"/>
  <c r="E409" i="3"/>
  <c r="F409"/>
  <c r="D409"/>
  <c r="F374"/>
  <c r="D374"/>
  <c r="I648" i="2" l="1"/>
  <c r="I631" s="1"/>
  <c r="J648"/>
  <c r="J631" s="1"/>
  <c r="G107" i="61"/>
  <c r="F107"/>
  <c r="D485" i="3"/>
  <c r="H156" i="61"/>
  <c r="G156"/>
  <c r="F156"/>
  <c r="F296" l="1"/>
  <c r="G296"/>
  <c r="H296"/>
  <c r="F322" l="1"/>
  <c r="H260"/>
  <c r="G260"/>
  <c r="F260"/>
  <c r="J265" i="2"/>
  <c r="I265"/>
  <c r="H265"/>
  <c r="J264" l="1"/>
  <c r="I264"/>
  <c r="H264"/>
  <c r="I263" l="1"/>
  <c r="I262" s="1"/>
  <c r="J263"/>
  <c r="J262" s="1"/>
  <c r="E283" i="3"/>
  <c r="F283"/>
  <c r="D283"/>
  <c r="F389" i="61" l="1"/>
  <c r="F388" s="1"/>
  <c r="F387" s="1"/>
  <c r="H389"/>
  <c r="H388" s="1"/>
  <c r="H387" s="1"/>
  <c r="I423" i="2"/>
  <c r="I422" s="1"/>
  <c r="I421" s="1"/>
  <c r="I420" s="1"/>
  <c r="G389" i="61"/>
  <c r="G388" s="1"/>
  <c r="G387" s="1"/>
  <c r="J423" i="2"/>
  <c r="J422" s="1"/>
  <c r="J421" s="1"/>
  <c r="J420" s="1"/>
  <c r="H423"/>
  <c r="H422" s="1"/>
  <c r="H421" s="1"/>
  <c r="H420" s="1"/>
  <c r="E277" i="3"/>
  <c r="F277"/>
  <c r="D277"/>
  <c r="E272"/>
  <c r="F272"/>
  <c r="D272"/>
  <c r="E270"/>
  <c r="F270"/>
  <c r="D270"/>
  <c r="E268"/>
  <c r="F268"/>
  <c r="D268"/>
  <c r="E266"/>
  <c r="F266"/>
  <c r="D266"/>
  <c r="E260"/>
  <c r="F260"/>
  <c r="D260"/>
  <c r="E258"/>
  <c r="F258"/>
  <c r="D258"/>
  <c r="E256"/>
  <c r="F256"/>
  <c r="D256"/>
  <c r="E254"/>
  <c r="F254"/>
  <c r="D254"/>
  <c r="H584" i="61"/>
  <c r="G584"/>
  <c r="F584"/>
  <c r="H751" i="2"/>
  <c r="H750" s="1"/>
  <c r="H749" s="1"/>
  <c r="H513" i="61"/>
  <c r="H512" s="1"/>
  <c r="G513"/>
  <c r="G512" s="1"/>
  <c r="J589" i="2"/>
  <c r="I589"/>
  <c r="H589"/>
  <c r="F265" i="3" l="1"/>
  <c r="E265"/>
  <c r="G224" i="61"/>
  <c r="F224"/>
  <c r="H224"/>
  <c r="F253" i="3"/>
  <c r="E253"/>
  <c r="D253"/>
  <c r="H239" i="2"/>
  <c r="H229" s="1"/>
  <c r="H228" s="1"/>
  <c r="H218"/>
  <c r="H485" i="61"/>
  <c r="H484" s="1"/>
  <c r="H483" s="1"/>
  <c r="D265" i="3"/>
  <c r="F485" i="61"/>
  <c r="F484" s="1"/>
  <c r="F483" s="1"/>
  <c r="F513"/>
  <c r="G485"/>
  <c r="G484" s="1"/>
  <c r="G483" s="1"/>
  <c r="H65" i="2"/>
  <c r="I239"/>
  <c r="I229" s="1"/>
  <c r="I228" s="1"/>
  <c r="J239"/>
  <c r="J229" s="1"/>
  <c r="J228" s="1"/>
  <c r="H684" l="1"/>
  <c r="J614" l="1"/>
  <c r="J613" s="1"/>
  <c r="J612" s="1"/>
  <c r="I614"/>
  <c r="I613" s="1"/>
  <c r="I612" s="1"/>
  <c r="H614"/>
  <c r="H613" s="1"/>
  <c r="H612" s="1"/>
  <c r="J585"/>
  <c r="I585"/>
  <c r="I584" s="1"/>
  <c r="I583" s="1"/>
  <c r="H585"/>
  <c r="J568"/>
  <c r="I568"/>
  <c r="H568"/>
  <c r="F114" i="3"/>
  <c r="E114"/>
  <c r="D114"/>
  <c r="H460" i="61"/>
  <c r="G460"/>
  <c r="F460"/>
  <c r="H458"/>
  <c r="G458"/>
  <c r="F458"/>
  <c r="J573" i="2"/>
  <c r="I573"/>
  <c r="H573"/>
  <c r="J520"/>
  <c r="I520"/>
  <c r="H520"/>
  <c r="H496" s="1"/>
  <c r="E245" i="3"/>
  <c r="F245"/>
  <c r="D245"/>
  <c r="E247"/>
  <c r="F247"/>
  <c r="D247"/>
  <c r="G444" i="61" l="1"/>
  <c r="G443" s="1"/>
  <c r="F444"/>
  <c r="F443" s="1"/>
  <c r="H444"/>
  <c r="H443" s="1"/>
  <c r="F244" i="3"/>
  <c r="E244"/>
  <c r="D244"/>
  <c r="J584" i="2"/>
  <c r="H584"/>
  <c r="H484"/>
  <c r="H483" s="1"/>
  <c r="I572"/>
  <c r="H497"/>
  <c r="I538"/>
  <c r="J538"/>
  <c r="I567"/>
  <c r="H513"/>
  <c r="H538"/>
  <c r="J567"/>
  <c r="H567"/>
  <c r="H396" i="61"/>
  <c r="H395" s="1"/>
  <c r="G396"/>
  <c r="G395" s="1"/>
  <c r="I484" i="2"/>
  <c r="I483" s="1"/>
  <c r="I482" s="1"/>
  <c r="I481" s="1"/>
  <c r="J497"/>
  <c r="I513"/>
  <c r="I495" s="1"/>
  <c r="J513"/>
  <c r="J484"/>
  <c r="J483" s="1"/>
  <c r="J482" s="1"/>
  <c r="J481" s="1"/>
  <c r="H583" l="1"/>
  <c r="H572" s="1"/>
  <c r="J583"/>
  <c r="J572" s="1"/>
  <c r="J495"/>
  <c r="H495"/>
  <c r="J537"/>
  <c r="J536" s="1"/>
  <c r="I537"/>
  <c r="I536" s="1"/>
  <c r="H537"/>
  <c r="H536" s="1"/>
  <c r="E203" i="3" l="1"/>
  <c r="F203"/>
  <c r="D203"/>
  <c r="E165" l="1"/>
  <c r="F165"/>
  <c r="D165"/>
  <c r="D160"/>
  <c r="E160"/>
  <c r="F160"/>
  <c r="E134"/>
  <c r="E133" s="1"/>
  <c r="F134"/>
  <c r="F133" s="1"/>
  <c r="D134"/>
  <c r="D133" s="1"/>
  <c r="E128"/>
  <c r="F128"/>
  <c r="D128"/>
  <c r="E126"/>
  <c r="F126"/>
  <c r="D126"/>
  <c r="E121"/>
  <c r="F121"/>
  <c r="D121"/>
  <c r="E118"/>
  <c r="F118"/>
  <c r="D118"/>
  <c r="E116"/>
  <c r="F116"/>
  <c r="D116"/>
  <c r="E111"/>
  <c r="F111"/>
  <c r="D111"/>
  <c r="E109"/>
  <c r="F109"/>
  <c r="D109"/>
  <c r="E107"/>
  <c r="F107"/>
  <c r="D107"/>
  <c r="D113" l="1"/>
  <c r="F113"/>
  <c r="E120"/>
  <c r="E113"/>
  <c r="F106"/>
  <c r="E106"/>
  <c r="D106"/>
  <c r="D120"/>
  <c r="F120"/>
  <c r="D105" l="1"/>
  <c r="E105"/>
  <c r="F105"/>
  <c r="E96"/>
  <c r="F96"/>
  <c r="D96"/>
  <c r="E94"/>
  <c r="F94"/>
  <c r="D94"/>
  <c r="E72"/>
  <c r="F72"/>
  <c r="D72"/>
  <c r="E70"/>
  <c r="F70"/>
  <c r="D70"/>
  <c r="E67"/>
  <c r="F67"/>
  <c r="D67"/>
  <c r="E65"/>
  <c r="F65"/>
  <c r="D65"/>
  <c r="F86" l="1"/>
  <c r="E86"/>
  <c r="E85" s="1"/>
  <c r="D86"/>
  <c r="D85" s="1"/>
  <c r="E64"/>
  <c r="D64"/>
  <c r="D40" s="1"/>
  <c r="F64"/>
  <c r="F85"/>
  <c r="E62"/>
  <c r="F62"/>
  <c r="D62"/>
  <c r="E60"/>
  <c r="F60"/>
  <c r="D60"/>
  <c r="E58"/>
  <c r="F58"/>
  <c r="D58"/>
  <c r="F57" l="1"/>
  <c r="E57"/>
  <c r="D57"/>
  <c r="E51"/>
  <c r="F51"/>
  <c r="D51"/>
  <c r="E49"/>
  <c r="F49"/>
  <c r="D49"/>
  <c r="E44"/>
  <c r="F44"/>
  <c r="D44"/>
  <c r="E46"/>
  <c r="F46"/>
  <c r="D46"/>
  <c r="E42"/>
  <c r="F42"/>
  <c r="D42"/>
  <c r="F48" l="1"/>
  <c r="E48"/>
  <c r="D48"/>
  <c r="F41"/>
  <c r="D41"/>
  <c r="E41"/>
  <c r="E37"/>
  <c r="E36" s="1"/>
  <c r="F37"/>
  <c r="F36" s="1"/>
  <c r="D37"/>
  <c r="D36" s="1"/>
  <c r="F531"/>
  <c r="F530" s="1"/>
  <c r="E531"/>
  <c r="E530" s="1"/>
  <c r="D531"/>
  <c r="D530" s="1"/>
  <c r="F526"/>
  <c r="F525" s="1"/>
  <c r="E526"/>
  <c r="E525" s="1"/>
  <c r="D526"/>
  <c r="D525" s="1"/>
  <c r="F25" l="1"/>
  <c r="E25"/>
  <c r="F24" l="1"/>
  <c r="E524"/>
  <c r="E523" s="1"/>
  <c r="E24"/>
  <c r="F524"/>
  <c r="F523" s="1"/>
  <c r="H578" i="61"/>
  <c r="H577" s="1"/>
  <c r="G578"/>
  <c r="G577" s="1"/>
  <c r="F578"/>
  <c r="F577" s="1"/>
  <c r="H547" l="1"/>
  <c r="H546" s="1"/>
  <c r="G547"/>
  <c r="G546" s="1"/>
  <c r="H30" i="2" l="1"/>
  <c r="H28"/>
  <c r="F474" i="3"/>
  <c r="F473" s="1"/>
  <c r="E474"/>
  <c r="E473" s="1"/>
  <c r="D474"/>
  <c r="D473" s="1"/>
  <c r="H27" i="2" l="1"/>
  <c r="E209" i="3"/>
  <c r="E208" s="1"/>
  <c r="F209"/>
  <c r="F208" s="1"/>
  <c r="D209"/>
  <c r="D208" s="1"/>
  <c r="G406" i="61" l="1"/>
  <c r="H406"/>
  <c r="F396"/>
  <c r="F395" s="1"/>
  <c r="F407"/>
  <c r="F406" s="1"/>
  <c r="H150" i="2" l="1"/>
  <c r="H149" s="1"/>
  <c r="F399" i="3"/>
  <c r="E399"/>
  <c r="D399"/>
  <c r="D471" l="1"/>
  <c r="D470" s="1"/>
  <c r="D469" s="1"/>
  <c r="F483"/>
  <c r="F481"/>
  <c r="F471"/>
  <c r="F470" s="1"/>
  <c r="F469" s="1"/>
  <c r="F467"/>
  <c r="F466" s="1"/>
  <c r="F464"/>
  <c r="F459"/>
  <c r="D459"/>
  <c r="F477" l="1"/>
  <c r="F476" s="1"/>
  <c r="F458"/>
  <c r="F457" s="1"/>
  <c r="F456" l="1"/>
  <c r="F397" l="1"/>
  <c r="E397"/>
  <c r="D397"/>
  <c r="F395"/>
  <c r="E395"/>
  <c r="D395"/>
  <c r="F393"/>
  <c r="E393"/>
  <c r="D393"/>
  <c r="F391"/>
  <c r="E391"/>
  <c r="D391"/>
  <c r="F383"/>
  <c r="E383"/>
  <c r="D383"/>
  <c r="E381"/>
  <c r="D381"/>
  <c r="F381"/>
  <c r="F379"/>
  <c r="E379"/>
  <c r="D379"/>
  <c r="F411"/>
  <c r="E411"/>
  <c r="D411"/>
  <c r="F407"/>
  <c r="E407"/>
  <c r="D407"/>
  <c r="F405"/>
  <c r="E405"/>
  <c r="D405"/>
  <c r="E378" l="1"/>
  <c r="E377" s="1"/>
  <c r="F378"/>
  <c r="F377" s="1"/>
  <c r="D378"/>
  <c r="F404"/>
  <c r="F403" s="1"/>
  <c r="E404"/>
  <c r="E403" s="1"/>
  <c r="D404"/>
  <c r="F376" l="1"/>
  <c r="E376"/>
  <c r="H135" i="2"/>
  <c r="H134" s="1"/>
  <c r="I135"/>
  <c r="I134" s="1"/>
  <c r="J135"/>
  <c r="J134" s="1"/>
  <c r="F138" i="61"/>
  <c r="F137" s="1"/>
  <c r="F416" i="3" l="1"/>
  <c r="F415" s="1"/>
  <c r="E416"/>
  <c r="E415" s="1"/>
  <c r="D416"/>
  <c r="D415" s="1"/>
  <c r="F230" l="1"/>
  <c r="F229" s="1"/>
  <c r="E230"/>
  <c r="E229" s="1"/>
  <c r="D230"/>
  <c r="D229" s="1"/>
  <c r="F218"/>
  <c r="F217" s="1"/>
  <c r="E218"/>
  <c r="E217" s="1"/>
  <c r="D218"/>
  <c r="D217" s="1"/>
  <c r="F220" l="1"/>
  <c r="E220"/>
  <c r="D220"/>
  <c r="F243" i="61" l="1"/>
  <c r="G243" l="1"/>
  <c r="H243"/>
  <c r="H250" i="2"/>
  <c r="J250"/>
  <c r="E628" i="3" l="1"/>
  <c r="D628"/>
  <c r="D622" s="1"/>
  <c r="E614"/>
  <c r="D614"/>
  <c r="E610"/>
  <c r="D610"/>
  <c r="E607"/>
  <c r="D607"/>
  <c r="E594"/>
  <c r="E591" s="1"/>
  <c r="D594"/>
  <c r="D591" s="1"/>
  <c r="E588"/>
  <c r="D588"/>
  <c r="E586"/>
  <c r="D586"/>
  <c r="E583"/>
  <c r="D583"/>
  <c r="E580"/>
  <c r="D580"/>
  <c r="E577"/>
  <c r="E576" s="1"/>
  <c r="D577"/>
  <c r="D576" s="1"/>
  <c r="E558"/>
  <c r="D558"/>
  <c r="E554"/>
  <c r="D554"/>
  <c r="E521"/>
  <c r="E520" s="1"/>
  <c r="D521"/>
  <c r="D520" s="1"/>
  <c r="E518"/>
  <c r="E517" s="1"/>
  <c r="D518"/>
  <c r="D517" s="1"/>
  <c r="E514"/>
  <c r="E513" s="1"/>
  <c r="D514"/>
  <c r="D513" s="1"/>
  <c r="E511"/>
  <c r="E509"/>
  <c r="E483"/>
  <c r="D483"/>
  <c r="E481"/>
  <c r="D481"/>
  <c r="E471"/>
  <c r="E470" s="1"/>
  <c r="E469" s="1"/>
  <c r="E467"/>
  <c r="E466" s="1"/>
  <c r="D467"/>
  <c r="D466" s="1"/>
  <c r="E464"/>
  <c r="D464"/>
  <c r="E459"/>
  <c r="E433"/>
  <c r="D433"/>
  <c r="E414"/>
  <c r="D414"/>
  <c r="D377"/>
  <c r="E370"/>
  <c r="D370"/>
  <c r="E368"/>
  <c r="D368"/>
  <c r="E333"/>
  <c r="D333"/>
  <c r="E281"/>
  <c r="E280" s="1"/>
  <c r="D281"/>
  <c r="D280" s="1"/>
  <c r="E275"/>
  <c r="E274" s="1"/>
  <c r="E264" s="1"/>
  <c r="D275"/>
  <c r="D274" s="1"/>
  <c r="D264" s="1"/>
  <c r="E242"/>
  <c r="E241" s="1"/>
  <c r="E240" s="1"/>
  <c r="D242"/>
  <c r="D228"/>
  <c r="E228"/>
  <c r="E216"/>
  <c r="E212"/>
  <c r="E211" s="1"/>
  <c r="D212"/>
  <c r="D211" s="1"/>
  <c r="E206"/>
  <c r="E205" s="1"/>
  <c r="D206"/>
  <c r="D205" s="1"/>
  <c r="E201"/>
  <c r="D201"/>
  <c r="E199"/>
  <c r="D199"/>
  <c r="E197"/>
  <c r="D197"/>
  <c r="E173"/>
  <c r="E172" s="1"/>
  <c r="D173"/>
  <c r="D172" s="1"/>
  <c r="E163"/>
  <c r="E162" s="1"/>
  <c r="D163"/>
  <c r="D162" s="1"/>
  <c r="E158"/>
  <c r="E155" s="1"/>
  <c r="D158"/>
  <c r="D155" s="1"/>
  <c r="E553" l="1"/>
  <c r="D553"/>
  <c r="D181"/>
  <c r="D180" s="1"/>
  <c r="E181"/>
  <c r="E180" s="1"/>
  <c r="E138"/>
  <c r="E552"/>
  <c r="E551" s="1"/>
  <c r="E458"/>
  <c r="E457" s="1"/>
  <c r="E477"/>
  <c r="E476" s="1"/>
  <c r="E332"/>
  <c r="E331" s="1"/>
  <c r="E330" s="1"/>
  <c r="D332"/>
  <c r="D331" s="1"/>
  <c r="D330" s="1"/>
  <c r="D602"/>
  <c r="D367"/>
  <c r="E367"/>
  <c r="E432"/>
  <c r="E602"/>
  <c r="D196"/>
  <c r="D195" s="1"/>
  <c r="D138"/>
  <c r="E196"/>
  <c r="E195" s="1"/>
  <c r="D432"/>
  <c r="E579"/>
  <c r="E622"/>
  <c r="D579"/>
  <c r="E516"/>
  <c r="D516"/>
  <c r="D524"/>
  <c r="D523" s="1"/>
  <c r="E337"/>
  <c r="E413"/>
  <c r="D477"/>
  <c r="D476" s="1"/>
  <c r="E508"/>
  <c r="E502" s="1"/>
  <c r="E279"/>
  <c r="E239" s="1"/>
  <c r="D337"/>
  <c r="D279"/>
  <c r="D508"/>
  <c r="D502" s="1"/>
  <c r="D26"/>
  <c r="D25" s="1"/>
  <c r="D24" s="1"/>
  <c r="D458"/>
  <c r="D241"/>
  <c r="D240" s="1"/>
  <c r="E215"/>
  <c r="D413"/>
  <c r="D216"/>
  <c r="D215" s="1"/>
  <c r="D403"/>
  <c r="D376" s="1"/>
  <c r="I758" i="2"/>
  <c r="I757" s="1"/>
  <c r="I756" s="1"/>
  <c r="H758"/>
  <c r="H757" s="1"/>
  <c r="H756" s="1"/>
  <c r="H748" s="1"/>
  <c r="H747" s="1"/>
  <c r="I751"/>
  <c r="I750" s="1"/>
  <c r="I749" s="1"/>
  <c r="H731"/>
  <c r="H730" s="1"/>
  <c r="H729" s="1"/>
  <c r="I716"/>
  <c r="H716"/>
  <c r="H463"/>
  <c r="I453"/>
  <c r="I447" s="1"/>
  <c r="I446" s="1"/>
  <c r="I445" s="1"/>
  <c r="I428" s="1"/>
  <c r="H453"/>
  <c r="H449"/>
  <c r="H448" s="1"/>
  <c r="H437"/>
  <c r="I296"/>
  <c r="H165"/>
  <c r="H164" s="1"/>
  <c r="H148"/>
  <c r="H147" s="1"/>
  <c r="H141" s="1"/>
  <c r="I133"/>
  <c r="H133"/>
  <c r="H132" s="1"/>
  <c r="H127"/>
  <c r="H98"/>
  <c r="H97" s="1"/>
  <c r="I83"/>
  <c r="H83"/>
  <c r="H79"/>
  <c r="H78" s="1"/>
  <c r="I61"/>
  <c r="I60" s="1"/>
  <c r="I59" s="1"/>
  <c r="I58" s="1"/>
  <c r="H60"/>
  <c r="H59" s="1"/>
  <c r="H58" s="1"/>
  <c r="I54"/>
  <c r="I53" s="1"/>
  <c r="I48" s="1"/>
  <c r="I47" s="1"/>
  <c r="H54"/>
  <c r="H53" s="1"/>
  <c r="H50"/>
  <c r="H49" s="1"/>
  <c r="H44"/>
  <c r="I37"/>
  <c r="I36" s="1"/>
  <c r="I35" s="1"/>
  <c r="I34" s="1"/>
  <c r="I33" s="1"/>
  <c r="H37"/>
  <c r="H36" s="1"/>
  <c r="H35" s="1"/>
  <c r="H34" s="1"/>
  <c r="H33" s="1"/>
  <c r="E137" i="3" l="1"/>
  <c r="H48" i="2"/>
  <c r="H47" s="1"/>
  <c r="I132"/>
  <c r="I95" s="1"/>
  <c r="I624"/>
  <c r="D552" i="3"/>
  <c r="D551" s="1"/>
  <c r="D239"/>
  <c r="D137"/>
  <c r="H82" i="2"/>
  <c r="I82"/>
  <c r="E456" i="3"/>
  <c r="E501"/>
  <c r="D501"/>
  <c r="D575"/>
  <c r="E575"/>
  <c r="D366"/>
  <c r="D365"/>
  <c r="E366"/>
  <c r="E365"/>
  <c r="D457"/>
  <c r="D456" s="1"/>
  <c r="D298"/>
  <c r="E298"/>
  <c r="I715" i="2"/>
  <c r="H566"/>
  <c r="H565" s="1"/>
  <c r="H87"/>
  <c r="H96"/>
  <c r="I87"/>
  <c r="I566"/>
  <c r="I565" s="1"/>
  <c r="H715"/>
  <c r="H714" s="1"/>
  <c r="H296"/>
  <c r="H295" s="1"/>
  <c r="H436"/>
  <c r="H435" s="1"/>
  <c r="I748"/>
  <c r="I747" s="1"/>
  <c r="H482"/>
  <c r="H481" s="1"/>
  <c r="H431"/>
  <c r="H430" s="1"/>
  <c r="H429" s="1"/>
  <c r="H217"/>
  <c r="H633"/>
  <c r="H632" s="1"/>
  <c r="I217"/>
  <c r="I140" s="1"/>
  <c r="H462"/>
  <c r="H461" s="1"/>
  <c r="H43"/>
  <c r="H42" s="1"/>
  <c r="H153"/>
  <c r="H152" s="1"/>
  <c r="H683"/>
  <c r="H682" s="1"/>
  <c r="H627"/>
  <c r="H626" s="1"/>
  <c r="H64"/>
  <c r="H26"/>
  <c r="H25" s="1"/>
  <c r="H24" s="1"/>
  <c r="H23" s="1"/>
  <c r="H447"/>
  <c r="H446" s="1"/>
  <c r="H445" s="1"/>
  <c r="F630" i="61"/>
  <c r="F629" s="1"/>
  <c r="F628" s="1"/>
  <c r="G603"/>
  <c r="F603"/>
  <c r="F602" s="1"/>
  <c r="G599"/>
  <c r="G598" s="1"/>
  <c r="F599"/>
  <c r="F598" s="1"/>
  <c r="G594"/>
  <c r="G593" s="1"/>
  <c r="G592" s="1"/>
  <c r="F594"/>
  <c r="F593" s="1"/>
  <c r="F592" s="1"/>
  <c r="G480"/>
  <c r="G479" s="1"/>
  <c r="G478" s="1"/>
  <c r="F480"/>
  <c r="F479" s="1"/>
  <c r="F478" s="1"/>
  <c r="G465"/>
  <c r="G442" s="1"/>
  <c r="F465"/>
  <c r="F442" s="1"/>
  <c r="G365"/>
  <c r="G321" s="1"/>
  <c r="F365"/>
  <c r="F321" s="1"/>
  <c r="G282"/>
  <c r="G281" s="1"/>
  <c r="F282"/>
  <c r="F281" s="1"/>
  <c r="G196"/>
  <c r="F196"/>
  <c r="G138"/>
  <c r="G137" s="1"/>
  <c r="G133"/>
  <c r="F133"/>
  <c r="G102"/>
  <c r="G101" s="1"/>
  <c r="F102"/>
  <c r="F101" s="1"/>
  <c r="G91"/>
  <c r="F91"/>
  <c r="G87"/>
  <c r="G86" s="1"/>
  <c r="F87"/>
  <c r="F86" s="1"/>
  <c r="G83"/>
  <c r="G82" s="1"/>
  <c r="F83"/>
  <c r="F82" s="1"/>
  <c r="G67"/>
  <c r="G66" s="1"/>
  <c r="G65" s="1"/>
  <c r="G64" s="1"/>
  <c r="F67"/>
  <c r="F66" s="1"/>
  <c r="F65" s="1"/>
  <c r="F64" s="1"/>
  <c r="G61"/>
  <c r="G60" s="1"/>
  <c r="F61"/>
  <c r="F60" s="1"/>
  <c r="G55"/>
  <c r="F55"/>
  <c r="G51"/>
  <c r="G50" s="1"/>
  <c r="G49" s="1"/>
  <c r="G48" s="1"/>
  <c r="F50"/>
  <c r="F49" s="1"/>
  <c r="F48" s="1"/>
  <c r="G43"/>
  <c r="F43"/>
  <c r="G40"/>
  <c r="G39" s="1"/>
  <c r="F40"/>
  <c r="F39" s="1"/>
  <c r="F31"/>
  <c r="F30" s="1"/>
  <c r="G28"/>
  <c r="G27" s="1"/>
  <c r="G26" s="1"/>
  <c r="G25" s="1"/>
  <c r="F28"/>
  <c r="F27" s="1"/>
  <c r="F26" s="1"/>
  <c r="F25" s="1"/>
  <c r="F597" l="1"/>
  <c r="H77" i="2"/>
  <c r="I714"/>
  <c r="I681" s="1"/>
  <c r="I623" s="1"/>
  <c r="I619" s="1"/>
  <c r="I618" s="1"/>
  <c r="I617" s="1"/>
  <c r="I616" s="1"/>
  <c r="I611" s="1"/>
  <c r="I610" s="1"/>
  <c r="I609" s="1"/>
  <c r="I77"/>
  <c r="I63" s="1"/>
  <c r="I41" s="1"/>
  <c r="F81" i="61"/>
  <c r="G81"/>
  <c r="H625" i="2"/>
  <c r="H624" s="1"/>
  <c r="D23" i="3"/>
  <c r="D22" s="1"/>
  <c r="E23"/>
  <c r="E22" s="1"/>
  <c r="G394" i="61"/>
  <c r="H140" i="2"/>
  <c r="H631"/>
  <c r="I295"/>
  <c r="I261" s="1"/>
  <c r="H681"/>
  <c r="H263"/>
  <c r="H262" s="1"/>
  <c r="H571"/>
  <c r="G602" i="61"/>
  <c r="G597" s="1"/>
  <c r="I571" i="2"/>
  <c r="G215" i="61"/>
  <c r="F215"/>
  <c r="F256"/>
  <c r="G256"/>
  <c r="G276"/>
  <c r="F132"/>
  <c r="G132"/>
  <c r="G155"/>
  <c r="G154" s="1"/>
  <c r="G150" s="1"/>
  <c r="G149" s="1"/>
  <c r="G144" s="1"/>
  <c r="F276"/>
  <c r="F223"/>
  <c r="G223"/>
  <c r="G71"/>
  <c r="G70" s="1"/>
  <c r="F646"/>
  <c r="F645" s="1"/>
  <c r="F644" s="1"/>
  <c r="G646"/>
  <c r="G645" s="1"/>
  <c r="G644" s="1"/>
  <c r="F616"/>
  <c r="G616"/>
  <c r="G629"/>
  <c r="G628" s="1"/>
  <c r="F547"/>
  <c r="F546" s="1"/>
  <c r="H102" i="2"/>
  <c r="H95" s="1"/>
  <c r="F155" i="61"/>
  <c r="F154" s="1"/>
  <c r="F150" s="1"/>
  <c r="F149" s="1"/>
  <c r="F144" s="1"/>
  <c r="G166"/>
  <c r="G165" s="1"/>
  <c r="F166"/>
  <c r="F165" s="1"/>
  <c r="F100"/>
  <c r="G100"/>
  <c r="F54"/>
  <c r="F53" s="1"/>
  <c r="G38"/>
  <c r="G37" s="1"/>
  <c r="G54"/>
  <c r="G53" s="1"/>
  <c r="H428" i="2"/>
  <c r="G31" i="61"/>
  <c r="G30" s="1"/>
  <c r="F512"/>
  <c r="F394" s="1"/>
  <c r="F71"/>
  <c r="F70" s="1"/>
  <c r="F38"/>
  <c r="F37" s="1"/>
  <c r="G613" l="1"/>
  <c r="G612" s="1"/>
  <c r="G611" s="1"/>
  <c r="G610" s="1"/>
  <c r="G591" s="1"/>
  <c r="F613"/>
  <c r="F612" s="1"/>
  <c r="F611" s="1"/>
  <c r="F610" s="1"/>
  <c r="F591" s="1"/>
  <c r="I494" i="2"/>
  <c r="I480" s="1"/>
  <c r="I479" s="1"/>
  <c r="H623"/>
  <c r="H619" s="1"/>
  <c r="H618" s="1"/>
  <c r="H617" s="1"/>
  <c r="H616" s="1"/>
  <c r="H611" s="1"/>
  <c r="H610" s="1"/>
  <c r="H609" s="1"/>
  <c r="I40"/>
  <c r="F545" i="61"/>
  <c r="G69"/>
  <c r="G24" s="1"/>
  <c r="F69"/>
  <c r="F24" s="1"/>
  <c r="H63" i="2"/>
  <c r="H41" s="1"/>
  <c r="H261"/>
  <c r="F255" i="61"/>
  <c r="F254" s="1"/>
  <c r="F253" s="1"/>
  <c r="F214"/>
  <c r="G214"/>
  <c r="G255"/>
  <c r="G254" s="1"/>
  <c r="G253" s="1"/>
  <c r="G106"/>
  <c r="G99" s="1"/>
  <c r="G545"/>
  <c r="F106"/>
  <c r="F99" s="1"/>
  <c r="H494" i="2" l="1"/>
  <c r="H480" s="1"/>
  <c r="H479" s="1"/>
  <c r="F143" i="61"/>
  <c r="F23" s="1"/>
  <c r="I22" i="2"/>
  <c r="G143" i="61"/>
  <c r="G23" s="1"/>
  <c r="H40" i="2"/>
  <c r="H22" l="1"/>
  <c r="F577" i="3" l="1"/>
  <c r="F163" l="1"/>
  <c r="F162" s="1"/>
  <c r="F511" l="1"/>
  <c r="F509"/>
  <c r="F508" l="1"/>
  <c r="F558"/>
  <c r="F554" l="1"/>
  <c r="J133" i="2"/>
  <c r="J132" s="1"/>
  <c r="J95" s="1"/>
  <c r="F553" i="3" l="1"/>
  <c r="F552" s="1"/>
  <c r="F551" s="1"/>
  <c r="H138" i="61"/>
  <c r="H137" s="1"/>
  <c r="F370" i="3" l="1"/>
  <c r="F368"/>
  <c r="F367" l="1"/>
  <c r="F365" s="1"/>
  <c r="H31" i="61" l="1"/>
  <c r="H61" l="1"/>
  <c r="H60" s="1"/>
  <c r="F607" i="3" l="1"/>
  <c r="F275" l="1"/>
  <c r="F274" s="1"/>
  <c r="F264" s="1"/>
  <c r="F242"/>
  <c r="F241" s="1"/>
  <c r="F240" s="1"/>
  <c r="H223" i="61" l="1"/>
  <c r="F588" i="3" l="1"/>
  <c r="F333" l="1"/>
  <c r="F332" s="1"/>
  <c r="F331" l="1"/>
  <c r="H55" i="61" l="1"/>
  <c r="H54" s="1"/>
  <c r="F576" i="3"/>
  <c r="F628"/>
  <c r="F622" s="1"/>
  <c r="F212"/>
  <c r="F211" s="1"/>
  <c r="F158"/>
  <c r="F155" s="1"/>
  <c r="H465" i="61" l="1"/>
  <c r="H442" s="1"/>
  <c r="H629"/>
  <c r="H545" l="1"/>
  <c r="H30" l="1"/>
  <c r="F610" i="3" l="1"/>
  <c r="J751" i="2"/>
  <c r="J750" s="1"/>
  <c r="J749" s="1"/>
  <c r="F514" i="3"/>
  <c r="F513" s="1"/>
  <c r="F366" l="1"/>
  <c r="F281" l="1"/>
  <c r="F280" s="1"/>
  <c r="J627" i="2" l="1"/>
  <c r="J626" s="1"/>
  <c r="J625" s="1"/>
  <c r="F414" i="3"/>
  <c r="F413" s="1"/>
  <c r="J624" i="2" l="1"/>
  <c r="F614" i="3" l="1"/>
  <c r="F594"/>
  <c r="F591" s="1"/>
  <c r="F586"/>
  <c r="F583"/>
  <c r="F580"/>
  <c r="F521"/>
  <c r="F520" s="1"/>
  <c r="F518"/>
  <c r="F517" s="1"/>
  <c r="F502"/>
  <c r="F337"/>
  <c r="F206"/>
  <c r="F205" s="1"/>
  <c r="F201"/>
  <c r="F199"/>
  <c r="F197"/>
  <c r="F173"/>
  <c r="J758" i="2"/>
  <c r="J757" s="1"/>
  <c r="J756" s="1"/>
  <c r="J748" s="1"/>
  <c r="J747" s="1"/>
  <c r="J619"/>
  <c r="J618" s="1"/>
  <c r="J617" s="1"/>
  <c r="J616" s="1"/>
  <c r="J611" s="1"/>
  <c r="J610" s="1"/>
  <c r="J87"/>
  <c r="J83"/>
  <c r="J61"/>
  <c r="J60" s="1"/>
  <c r="J59" s="1"/>
  <c r="J58" s="1"/>
  <c r="J54"/>
  <c r="J53" s="1"/>
  <c r="J48" s="1"/>
  <c r="J47" s="1"/>
  <c r="J37"/>
  <c r="J36" s="1"/>
  <c r="J35" s="1"/>
  <c r="J34" s="1"/>
  <c r="J33" s="1"/>
  <c r="H612" i="61"/>
  <c r="H611" s="1"/>
  <c r="H603"/>
  <c r="H599"/>
  <c r="H598" s="1"/>
  <c r="H594"/>
  <c r="H593" s="1"/>
  <c r="H592" s="1"/>
  <c r="H480"/>
  <c r="H479" s="1"/>
  <c r="H282"/>
  <c r="H281" s="1"/>
  <c r="H276"/>
  <c r="H196"/>
  <c r="H102"/>
  <c r="H101" s="1"/>
  <c r="H91"/>
  <c r="H87"/>
  <c r="H86" s="1"/>
  <c r="H83"/>
  <c r="H82" s="1"/>
  <c r="H67"/>
  <c r="H66" s="1"/>
  <c r="H65" s="1"/>
  <c r="H64" s="1"/>
  <c r="H53"/>
  <c r="H51"/>
  <c r="H50" s="1"/>
  <c r="H49" s="1"/>
  <c r="H48" s="1"/>
  <c r="H40"/>
  <c r="H39" s="1"/>
  <c r="H28"/>
  <c r="H27" s="1"/>
  <c r="H26" s="1"/>
  <c r="H25" s="1"/>
  <c r="F172" i="3" l="1"/>
  <c r="F138" s="1"/>
  <c r="F181"/>
  <c r="F180" s="1"/>
  <c r="H81" i="61"/>
  <c r="H478"/>
  <c r="H394" s="1"/>
  <c r="J82" i="2"/>
  <c r="F196" i="3"/>
  <c r="F195" s="1"/>
  <c r="F579"/>
  <c r="F516"/>
  <c r="F501" s="1"/>
  <c r="H215" i="61"/>
  <c r="H214" s="1"/>
  <c r="H166"/>
  <c r="H165" s="1"/>
  <c r="F279" i="3"/>
  <c r="F239" s="1"/>
  <c r="J571" i="2"/>
  <c r="H602" i="61"/>
  <c r="H597" s="1"/>
  <c r="H43"/>
  <c r="H38" s="1"/>
  <c r="H37" s="1"/>
  <c r="H646"/>
  <c r="H645" s="1"/>
  <c r="H644" s="1"/>
  <c r="H71"/>
  <c r="H70" s="1"/>
  <c r="H133"/>
  <c r="F228" i="3"/>
  <c r="H365" i="61"/>
  <c r="H321" s="1"/>
  <c r="F216" i="3"/>
  <c r="J566" i="2"/>
  <c r="J565" s="1"/>
  <c r="J217"/>
  <c r="J140" s="1"/>
  <c r="H616" i="61"/>
  <c r="H610" s="1"/>
  <c r="F602" i="3"/>
  <c r="F330"/>
  <c r="H155" i="61"/>
  <c r="H154" s="1"/>
  <c r="H150" s="1"/>
  <c r="H149" s="1"/>
  <c r="H144" s="1"/>
  <c r="J296" i="2"/>
  <c r="J295" s="1"/>
  <c r="J261" s="1"/>
  <c r="J453"/>
  <c r="J447" s="1"/>
  <c r="J446" s="1"/>
  <c r="J445" s="1"/>
  <c r="J428" s="1"/>
  <c r="J716"/>
  <c r="H256" i="61"/>
  <c r="H100"/>
  <c r="J609" i="2"/>
  <c r="F433" i="3"/>
  <c r="F137" l="1"/>
  <c r="J494" i="2"/>
  <c r="J480" s="1"/>
  <c r="J479" s="1"/>
  <c r="J77"/>
  <c r="J63" s="1"/>
  <c r="J41" s="1"/>
  <c r="H69" i="61"/>
  <c r="H24" s="1"/>
  <c r="H591"/>
  <c r="F432" i="3"/>
  <c r="H143" i="61"/>
  <c r="H106"/>
  <c r="F575" i="3"/>
  <c r="H132" i="61"/>
  <c r="F215" i="3"/>
  <c r="J715" i="2"/>
  <c r="H628" i="61"/>
  <c r="F298" i="3"/>
  <c r="H255" i="61"/>
  <c r="H254" s="1"/>
  <c r="H253" s="1"/>
  <c r="J714" i="2" l="1"/>
  <c r="J681" s="1"/>
  <c r="J623" s="1"/>
  <c r="F23" i="3"/>
  <c r="F22" s="1"/>
  <c r="H99" i="61"/>
  <c r="H23" s="1"/>
  <c r="J40"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<sst xmlns="http://schemas.openxmlformats.org/spreadsheetml/2006/main" count="6974" uniqueCount="784">
  <si>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</si>
  <si>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</si>
  <si>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</si>
  <si>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</si>
  <si>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</si>
  <si>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</si>
  <si>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</si>
  <si>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</si>
  <si>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</si>
  <si>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</si>
  <si>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</si>
  <si>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</si>
  <si>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</si>
  <si>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</si>
  <si>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</si>
  <si>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</si>
  <si>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</si>
  <si>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</si>
  <si>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</si>
  <si>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</si>
  <si>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</si>
  <si>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</si>
  <si>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</si>
  <si>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</si>
  <si>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</si>
  <si>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</si>
  <si>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</si>
  <si>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</si>
  <si>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</si>
  <si>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</si>
  <si>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</si>
  <si>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</si>
  <si>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</si>
  <si>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</si>
  <si>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</si>
  <si>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</si>
  <si>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</si>
  <si>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</si>
  <si>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</si>
  <si>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</si>
  <si>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</si>
  <si>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</si>
  <si>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</si>
  <si>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</si>
  <si>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</si>
  <si>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</si>
  <si>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</si>
  <si>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</si>
  <si>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</si>
  <si>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</si>
  <si>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</si>
  <si>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</si>
  <si>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</si>
  <si>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</si>
  <si>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</si>
  <si>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</si>
  <si>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</si>
  <si>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</si>
  <si>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</si>
  <si>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</si>
  <si>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</si>
  <si>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</si>
  <si>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</si>
  <si>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</si>
  <si>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</si>
  <si>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</si>
  <si>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</si>
  <si>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</si>
  <si>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</si>
  <si>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</si>
  <si>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</si>
  <si>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</si>
  <si>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</si>
  <si>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</si>
  <si>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</si>
  <si>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</si>
  <si>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</si>
  <si>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</si>
  <si>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</si>
  <si>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</si>
  <si>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</si>
  <si>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</si>
  <si>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</si>
  <si>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</si>
  <si>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</si>
  <si>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</si>
  <si>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</si>
  <si>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</si>
  <si>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</si>
  <si>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</si>
  <si>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</si>
  <si>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</si>
  <si>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</si>
  <si>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</si>
  <si>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</si>
  <si>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</si>
  <si>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</si>
  <si>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</si>
  <si>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</si>
  <si>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</si>
  <si>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</si>
  <si>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</si>
  <si>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</si>
  <si>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</si>
  <si>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</si>
  <si>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</si>
  <si>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</si>
  <si>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</si>
  <si>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</si>
  <si>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</si>
  <si>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</si>
  <si>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</si>
  <si>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</si>
  <si>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</si>
  <si>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</si>
  <si>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</si>
  <si>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</si>
  <si>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</si>
  <si>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</si>
  <si>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</si>
  <si>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</si>
  <si>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</si>
  <si>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</si>
  <si>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</si>
  <si>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</si>
  <si>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</si>
  <si>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</si>
  <si>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</si>
  <si>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</si>
  <si>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</si>
  <si>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</si>
  <si>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</si>
  <si>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</si>
  <si>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</si>
  <si>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</si>
  <si>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</si>
  <si>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</si>
  <si>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</si>
  <si>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</si>
  <si>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</si>
  <si>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</si>
  <si>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</si>
  <si>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</si>
  <si>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</si>
  <si>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</si>
  <si>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</si>
  <si>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</si>
  <si>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</si>
  <si>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</si>
  <si>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</si>
  <si>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</si>
  <si>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</si>
  <si>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</si>
  <si>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</si>
  <si>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</si>
  <si>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</si>
  <si>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</si>
  <si>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</si>
  <si>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</si>
  <si>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</si>
  <si>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</si>
  <si>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</si>
  <si>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</si>
  <si>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</si>
  <si>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</si>
  <si>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</si>
  <si>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</si>
  <si>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</si>
  <si>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</si>
  <si>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</si>
  <si>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</si>
  <si>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телевизионном эфире</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</si>
  <si>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</si>
  <si>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</si>
  <si>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</si>
  <si>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</si>
  <si>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</si>
  <si>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</si>
  <si>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</si>
  <si>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</si>
  <si>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</si>
  <si>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</si>
  <si>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</si>
  <si>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</si>
  <si>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</si>
  <si>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</si>
  <si>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</si>
  <si>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</si>
  <si>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</si>
  <si>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</si>
  <si>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</si>
  <si>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</si>
  <si>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</si>
  <si>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</si>
  <si>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</si>
  <si>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</si>
  <si>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</si>
  <si>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</si>
  <si>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</si>
  <si>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</si>
  <si>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</si>
  <si>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</si>
  <si>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</si>
  <si>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</si>
  <si>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</si>
  <si>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</si>
  <si>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</si>
  <si>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радиоэфире</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</si>
  <si>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</si>
  <si>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</si>
  <si>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</si>
  <si>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</si>
  <si>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</si>
  <si>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</si>
  <si>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</si>
  <si>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</si>
  <si>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</si>
  <si>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</si>
  <si>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</si>
  <si>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</si>
  <si>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</si>
  <si>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</si>
  <si>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</si>
  <si>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</si>
  <si>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</si>
  <si>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</si>
  <si>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</si>
  <si>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</si>
  <si>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</si>
  <si>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</si>
  <si>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</si>
  <si>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</si>
  <si>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</si>
  <si>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</si>
  <si>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</si>
  <si>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</si>
  <si>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</si>
  <si>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</si>
  <si>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</si>
  <si>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</si>
  <si>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</si>
  <si>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</si>
  <si>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</si>
  <si>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</si>
  <si>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</si>
  <si>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</si>
  <si>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</si>
  <si>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</si>
  <si>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</si>
  <si>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</si>
  <si>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</si>
  <si>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</si>
  <si>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</si>
  <si>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</si>
  <si>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</si>
  <si>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</si>
  <si>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</si>
  <si>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</si>
  <si>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</si>
  <si>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</si>
  <si>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</si>
  <si>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</si>
  <si>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</si>
  <si>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</si>
  <si>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</si>
  <si>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</si>
  <si>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</si>
  <si>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</si>
  <si>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</si>
  <si>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</si>
  <si>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</si>
  <si>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</si>
  <si>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</si>
  <si>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</si>
  <si>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</si>
  <si>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</si>
  <si>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</si>
  <si>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</si>
  <si>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</si>
  <si>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</si>
  <si>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</si>
  <si>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</si>
  <si>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</si>
  <si>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</si>
  <si>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</si>
  <si>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</si>
  <si>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</si>
  <si>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</si>
  <si>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</si>
  <si>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</si>
  <si>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</si>
  <si>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</si>
  <si>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</si>
  <si>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</si>
  <si>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</si>
  <si>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</si>
  <si>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</si>
  <si>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</si>
  <si>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</si>
  <si>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</si>
  <si>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</si>
  <si>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</si>
  <si>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</si>
  <si>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</si>
  <si>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</si>
  <si>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</si>
  <si>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</si>
  <si>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</si>
  <si>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</si>
  <si>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</si>
  <si>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</si>
  <si>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</si>
  <si>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</si>
  <si>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</si>
  <si>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</si>
  <si>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</si>
  <si>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</si>
  <si>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</si>
  <si>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</si>
  <si>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</si>
  <si>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</si>
  <si>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</si>
  <si>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</si>
  <si>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</si>
  <si>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</si>
  <si>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</si>
  <si>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</si>
  <si>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</si>
  <si>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</si>
  <si>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</si>
  <si>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</si>
  <si>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</si>
  <si>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</si>
  <si>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</si>
  <si>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</si>
  <si>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</si>
  <si>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</si>
  <si>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</si>
  <si>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</si>
  <si>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</si>
  <si>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</si>
  <si>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</si>
  <si>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</si>
  <si>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</si>
  <si>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</si>
  <si>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</si>
  <si>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</si>
  <si>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</si>
  <si>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</si>
  <si>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</si>
  <si>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</si>
  <si>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</si>
  <si>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</si>
  <si>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</si>
  <si>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</si>
  <si>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</si>
  <si>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</si>
  <si>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</si>
  <si>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</si>
  <si>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</si>
  <si>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</si>
  <si>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</si>
  <si>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</si>
  <si>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</si>
  <si>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</si>
  <si>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</si>
  <si>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</si>
  <si>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</si>
  <si>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</si>
  <si>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</si>
  <si>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</si>
  <si>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</si>
  <si>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</si>
  <si>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</si>
  <si>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</si>
  <si>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</si>
  <si>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</si>
  <si>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</si>
  <si>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</si>
  <si>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</si>
  <si>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</si>
  <si>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</si>
  <si>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</si>
  <si>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</si>
  <si>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</si>
  <si>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</si>
  <si>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</si>
  <si>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</si>
  <si>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</si>
  <si>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</si>
  <si>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</si>
  <si>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</si>
  <si>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</si>
  <si>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</si>
  <si>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</si>
  <si>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</si>
  <si>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</si>
  <si>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</si>
  <si>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</si>
  <si>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</si>
  <si>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</si>
  <si>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</si>
  <si>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</si>
  <si>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</si>
  <si>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</si>
  <si>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</si>
  <si>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</si>
  <si>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</si>
  <si>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</si>
  <si>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</si>
  <si>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</si>
  <si>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</si>
  <si>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</si>
  <si>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</si>
  <si>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</si>
  <si>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</si>
  <si>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</si>
  <si>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</si>
  <si>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</si>
  <si>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</si>
  <si>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</si>
  <si>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</si>
  <si>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</si>
  <si>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</si>
  <si>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</si>
  <si>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</si>
  <si>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</si>
  <si>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</si>
  <si>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</si>
  <si>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</si>
  <si>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</si>
  <si>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</si>
  <si>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</si>
  <si>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</si>
  <si>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</si>
  <si>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</si>
  <si>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</si>
  <si>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</si>
  <si>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</si>
  <si>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</si>
  <si>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</si>
  <si>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</si>
  <si>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</si>
  <si>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</si>
  <si>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</si>
  <si>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</si>
  <si>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</si>
  <si>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</si>
  <si>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</si>
  <si>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</si>
  <si>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</si>
  <si>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</si>
  <si>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</si>
  <si>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</si>
  <si>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</si>
  <si>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</si>
  <si>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</si>
  <si>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</si>
  <si>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</si>
  <si>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</si>
  <si>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</si>
  <si>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</si>
  <si>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</si>
  <si>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</si>
  <si>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</si>
  <si>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</si>
  <si>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</si>
  <si>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</si>
  <si>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</si>
  <si>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</si>
  <si>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</si>
  <si>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</si>
  <si>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</si>
  <si>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</si>
  <si>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</si>
  <si>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</si>
  <si>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</si>
  <si>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</si>
  <si>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</si>
  <si>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</si>
  <si>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</si>
  <si>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</si>
  <si>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</si>
  <si>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</si>
  <si>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</si>
  <si>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</si>
  <si>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</si>
  <si>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</si>
  <si>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</si>
  <si>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</si>
  <si>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</si>
  <si>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</si>
  <si>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</si>
  <si>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</si>
  <si>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</si>
  <si>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печатных изданиях</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</si>
  <si>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</si>
  <si>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</si>
  <si>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</si>
  <si>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</si>
  <si>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</si>
  <si>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</si>
  <si>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</si>
  <si>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</si>
  <si>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</si>
  <si>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</si>
  <si>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</si>
  <si>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</si>
  <si>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</si>
  <si>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</si>
  <si>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</si>
  <si>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</si>
  <si>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</si>
  <si>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</si>
  <si>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</si>
  <si>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</si>
  <si>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</si>
  <si>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</si>
  <si>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</si>
  <si>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</si>
  <si>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</si>
  <si>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</si>
  <si>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</si>
  <si>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</si>
  <si>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</si>
  <si>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</si>
  <si>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</si>
  <si>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</si>
  <si>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</si>
  <si>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</si>
  <si>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</si>
  <si>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</si>
  <si>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</si>
  <si>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</si>
  <si>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</si>
  <si>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</si>
  <si>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</si>
  <si>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</si>
  <si>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</si>
  <si>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</si>
  <si>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</si>
  <si>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</si>
  <si>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</si>
  <si>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</si>
  <si>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</si>
  <si>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</si>
  <si>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</si>
  <si>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</si>
  <si>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</si>
  <si>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</si>
  <si>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</si>
  <si>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</si>
  <si>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</si>
  <si>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</si>
  <si>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</si>
  <si>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</si>
  <si>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</si>
  <si>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</si>
  <si>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</si>
  <si>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</si>
  <si>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</si>
  <si>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</si>
  <si>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</si>
  <si>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</si>
  <si>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</si>
  <si>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</si>
  <si>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</si>
  <si>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</si>
  <si>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</si>
  <si>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</si>
  <si>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</si>
  <si>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</si>
  <si>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</si>
  <si>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</si>
  <si>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</si>
  <si>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</si>
  <si>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</si>
  <si>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</si>
  <si>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</si>
  <si>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</si>
  <si>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</si>
  <si>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</si>
  <si>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</si>
  <si>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</si>
  <si>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</si>
  <si>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</si>
  <si>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</si>
  <si>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</si>
  <si>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</si>
  <si>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</si>
  <si>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</si>
  <si>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</si>
  <si>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</si>
  <si>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</si>
  <si>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</si>
  <si>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</si>
  <si>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</si>
  <si>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</si>
  <si>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</si>
  <si>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</si>
  <si>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</si>
  <si>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</si>
  <si>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</si>
  <si>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</si>
  <si>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</si>
  <si>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</si>
  <si>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</si>
  <si>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</si>
  <si>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</si>
  <si>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</si>
  <si>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</si>
  <si>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</si>
  <si>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</si>
  <si>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</si>
  <si>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</si>
  <si>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</si>
  <si>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</si>
  <si>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</si>
  <si>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</si>
  <si>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</si>
  <si>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</si>
  <si>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</si>
  <si>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</si>
  <si>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</si>
  <si>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</si>
  <si>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</si>
  <si>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</si>
  <si>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</si>
  <si>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</si>
  <si>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</si>
  <si>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</si>
  <si>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</si>
  <si>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</si>
  <si>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</si>
  <si>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</si>
  <si>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</si>
  <si>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</si>
  <si>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</si>
  <si>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</si>
  <si>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</si>
  <si>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</si>
  <si>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Создание и развитие школы фермеров</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</si>
  <si>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</si>
  <si>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</si>
  <si>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</si>
  <si>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</si>
  <si>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</si>
  <si>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</si>
  <si>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</si>
  <si>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</si>
  <si>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</si>
  <si>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</si>
  <si>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</si>
  <si>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</si>
  <si>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</si>
  <si>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</si>
  <si>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</si>
  <si>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</si>
  <si>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</si>
  <si>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</si>
  <si>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</si>
  <si>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</si>
  <si>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</si>
  <si>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</si>
  <si>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</si>
  <si>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</si>
  <si>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</si>
  <si>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</si>
  <si>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</si>
  <si>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</si>
  <si>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</si>
  <si>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</si>
  <si>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Приобретение мультимедийной программы по правилам дорожного движения</t>
  </si>
  <si>
    <t>Изготовление средств защиты по правилам дорожного движения для безопасности детей</t>
  </si>
  <si>
    <t>021А255193</t>
  </si>
  <si>
    <t>Государственная поддержка отрасли культуры (в части оказания государственной поддержки лучшим сельским учреждениям культуры)</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</si>
  <si>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</si>
  <si>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</si>
  <si>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</si>
  <si>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</si>
  <si>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</si>
  <si>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</si>
  <si>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</si>
  <si>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</si>
  <si>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</si>
  <si>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</si>
  <si>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</si>
  <si>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</si>
  <si>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</si>
  <si>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</si>
  <si>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</si>
  <si>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</si>
  <si>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</si>
  <si>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</si>
  <si>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</si>
  <si>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</si>
  <si>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</si>
  <si>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</si>
  <si>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</si>
  <si>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</si>
  <si>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0410223225</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</si>
  <si>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</si>
  <si>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</si>
  <si>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</si>
  <si>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</si>
  <si>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</si>
  <si>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</si>
  <si>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</si>
  <si>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</si>
  <si>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</si>
  <si>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</si>
  <si>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</si>
  <si>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</si>
  <si>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</si>
  <si>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</si>
  <si>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</si>
  <si>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</si>
  <si>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</si>
  <si>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</si>
  <si>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</si>
  <si>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</si>
  <si>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</si>
  <si>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</si>
  <si>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</si>
  <si>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</si>
  <si>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</si>
  <si>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</si>
  <si>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</si>
  <si>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</si>
  <si>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</si>
  <si>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</si>
  <si>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</si>
  <si>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</si>
  <si>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</si>
  <si>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</si>
  <si>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</si>
  <si>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</si>
  <si>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</si>
  <si>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</si>
  <si>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</si>
  <si>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</si>
  <si>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</si>
  <si>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</si>
  <si>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620</t>
  </si>
  <si>
    <t>Субсидии автономным учреждениям</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</si>
  <si>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</si>
  <si>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</si>
  <si>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</si>
  <si>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</si>
  <si>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</si>
  <si>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</si>
  <si>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областной бюджет</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</si>
  <si>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</si>
  <si>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</si>
  <si>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</si>
  <si>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</si>
  <si>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</si>
  <si>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</si>
  <si>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</si>
  <si>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</si>
  <si>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</si>
  <si>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</si>
  <si>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</si>
  <si>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</si>
  <si>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</si>
  <si>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</si>
  <si>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</si>
  <si>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</si>
  <si>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</si>
  <si>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</si>
  <si>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</si>
  <si>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</si>
  <si>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</si>
  <si>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</si>
  <si>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</si>
  <si>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</si>
  <si>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</si>
  <si>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</si>
  <si>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</si>
  <si>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 xml:space="preserve">Думы от 20.09.2023  №165 </t>
  </si>
  <si>
    <t xml:space="preserve">Думы от 20.09.2023   №165 </t>
  </si>
  <si>
    <t xml:space="preserve">Думы от  20.09.2023 №165 </t>
  </si>
  <si>
    <t xml:space="preserve">Думы от  20.09.2023  №165 </t>
  </si>
  <si>
    <t xml:space="preserve">Думы от  20.09.2023  №165  </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</si>
</sst>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02">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0" fontId="0" fillId="0" borderId="1" xfId="0" applyBorder="1" applyAlignment="1">
      <alignment wrapText="1"/>
    </xf>
    <xf numFmtId="0" fontId="0" fillId="0" borderId="0" xfId="0"/>
    <xf numFmtId="0" fontId="0" fillId="0" borderId="0" xfId="0"/>
    <xf numFmtId="0" fontId="0" fillId="0" borderId="1" xfId="0" applyBorder="1" applyAlignment="1">
      <alignment horizontal="center" wrapText="1"/>
    </xf>
    <xf numFmtId="0" fontId="0" fillId="0" borderId="0" xfId="0"/>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view="pageBreakPreview" zoomScale="60" zoomScaleNormal="100" workbookViewId="0">
      <selection activeCell="C5" sqref="C5"/>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7" t="s">
        <v>138</v>
      </c>
    </row>
    <row r="2" spans="1:3">
      <c r="B2" s="157" t="s">
        <v>609</v>
      </c>
    </row>
    <row r="3" spans="1:3">
      <c r="B3" s="173" t="s">
        <v>779</v>
      </c>
    </row>
    <row r="4" spans="1:3">
      <c r="B4" s="157" t="s">
        <v>691</v>
      </c>
    </row>
    <row r="5" spans="1:3">
      <c r="B5" s="157" t="s">
        <v>692</v>
      </c>
    </row>
    <row r="6" spans="1:3">
      <c r="B6" s="157" t="s">
        <v>144</v>
      </c>
    </row>
    <row r="7" spans="1:3">
      <c r="B7" s="157" t="s">
        <v>634</v>
      </c>
    </row>
    <row r="11" spans="1:3">
      <c r="A11" s="7"/>
      <c r="B11" s="157" t="s">
        <v>138</v>
      </c>
      <c r="C11" s="88"/>
    </row>
    <row r="12" spans="1:3">
      <c r="A12" s="7"/>
      <c r="B12" s="157" t="s">
        <v>382</v>
      </c>
      <c r="C12" s="88"/>
    </row>
    <row r="13" spans="1:3">
      <c r="A13" s="7"/>
      <c r="B13" s="157" t="s">
        <v>690</v>
      </c>
      <c r="C13" s="88"/>
    </row>
    <row r="14" spans="1:3">
      <c r="A14" s="7"/>
      <c r="B14" s="157" t="s">
        <v>144</v>
      </c>
      <c r="C14" s="88"/>
    </row>
    <row r="15" spans="1:3">
      <c r="A15" s="7"/>
      <c r="B15" s="157" t="s">
        <v>634</v>
      </c>
      <c r="C15" s="88"/>
    </row>
    <row r="16" spans="1:3">
      <c r="A16" s="7"/>
      <c r="B16" s="157"/>
      <c r="C16" s="88"/>
    </row>
    <row r="17" spans="1:7">
      <c r="A17" s="7"/>
      <c r="B17" s="157"/>
      <c r="C17" s="88"/>
    </row>
    <row r="18" spans="1:7" ht="28.5" customHeight="1">
      <c r="A18" s="176" t="s">
        <v>737</v>
      </c>
      <c r="B18" s="177"/>
      <c r="C18" s="177"/>
      <c r="D18" s="178"/>
      <c r="E18" s="178"/>
      <c r="F18" s="178"/>
      <c r="G18" s="178"/>
    </row>
    <row r="20" spans="1:7">
      <c r="C20" s="112"/>
    </row>
    <row r="21" spans="1:7" s="114" customFormat="1" ht="12.75" customHeight="1">
      <c r="A21" s="179" t="s">
        <v>327</v>
      </c>
      <c r="B21" s="182" t="s">
        <v>91</v>
      </c>
      <c r="C21" s="185" t="s">
        <v>28</v>
      </c>
      <c r="D21" s="186"/>
      <c r="E21" s="186"/>
      <c r="F21" s="186"/>
      <c r="G21" s="187"/>
    </row>
    <row r="22" spans="1:7" s="114" customFormat="1" ht="12.75" customHeight="1">
      <c r="A22" s="180"/>
      <c r="B22" s="183"/>
      <c r="C22" s="188" t="s">
        <v>384</v>
      </c>
      <c r="D22" s="175" t="s">
        <v>141</v>
      </c>
      <c r="E22" s="175"/>
      <c r="F22" s="175" t="s">
        <v>141</v>
      </c>
      <c r="G22" s="175"/>
    </row>
    <row r="23" spans="1:7" s="114" customFormat="1">
      <c r="A23" s="181"/>
      <c r="B23" s="184"/>
      <c r="C23" s="188"/>
      <c r="D23" s="1" t="s">
        <v>142</v>
      </c>
      <c r="E23" s="1" t="s">
        <v>143</v>
      </c>
      <c r="F23" s="1" t="s">
        <v>484</v>
      </c>
      <c r="G23" s="1" t="s">
        <v>635</v>
      </c>
    </row>
    <row r="24" spans="1:7" s="114" customFormat="1" ht="48">
      <c r="A24" s="158" t="s">
        <v>680</v>
      </c>
      <c r="B24" s="159" t="s">
        <v>712</v>
      </c>
      <c r="C24" s="117">
        <v>0</v>
      </c>
      <c r="D24" s="117">
        <f>D25+D27</f>
        <v>-47400</v>
      </c>
      <c r="E24" s="117">
        <f>E25+E27</f>
        <v>-47400</v>
      </c>
      <c r="F24" s="117">
        <f>F25+F27</f>
        <v>-24975</v>
      </c>
      <c r="G24" s="117">
        <f>G25+G27</f>
        <v>0</v>
      </c>
    </row>
    <row r="25" spans="1:7" s="114" customFormat="1" ht="34.5" customHeight="1">
      <c r="A25" s="160" t="s">
        <v>713</v>
      </c>
      <c r="B25" s="115" t="s">
        <v>714</v>
      </c>
      <c r="C25" s="113">
        <v>0</v>
      </c>
      <c r="D25" s="113"/>
      <c r="E25" s="113"/>
      <c r="F25" s="113"/>
      <c r="G25" s="113"/>
    </row>
    <row r="26" spans="1:7" s="114" customFormat="1" ht="59.25" customHeight="1">
      <c r="A26" s="161" t="s">
        <v>715</v>
      </c>
      <c r="B26" s="116" t="s">
        <v>716</v>
      </c>
      <c r="C26" s="113">
        <v>0</v>
      </c>
      <c r="D26" s="113"/>
      <c r="E26" s="113"/>
      <c r="F26" s="113"/>
      <c r="G26" s="113"/>
    </row>
    <row r="27" spans="1:7" s="19" customFormat="1" ht="60">
      <c r="A27" s="160" t="s">
        <v>717</v>
      </c>
      <c r="B27" s="115" t="s">
        <v>718</v>
      </c>
      <c r="C27" s="113">
        <f>C28</f>
        <v>0</v>
      </c>
      <c r="D27" s="113">
        <f t="shared" ref="D27:G27" si="0">D28</f>
        <v>-47400</v>
      </c>
      <c r="E27" s="113">
        <f t="shared" si="0"/>
        <v>-47400</v>
      </c>
      <c r="F27" s="113">
        <f t="shared" si="0"/>
        <v>-24975</v>
      </c>
      <c r="G27" s="113">
        <f t="shared" si="0"/>
        <v>0</v>
      </c>
    </row>
    <row r="28" spans="1:7" ht="122.25" customHeight="1">
      <c r="A28" s="161" t="s">
        <v>719</v>
      </c>
      <c r="B28" s="116" t="s">
        <v>720</v>
      </c>
      <c r="C28" s="113">
        <v>0</v>
      </c>
      <c r="D28" s="113">
        <v>-47400</v>
      </c>
      <c r="E28" s="113">
        <v>-47400</v>
      </c>
      <c r="F28" s="113">
        <v>-24975</v>
      </c>
      <c r="G28" s="113">
        <v>0</v>
      </c>
    </row>
    <row r="29" spans="1:7" ht="24.75" customHeight="1">
      <c r="A29" s="91" t="s">
        <v>328</v>
      </c>
      <c r="B29" s="118" t="s">
        <v>329</v>
      </c>
      <c r="C29" s="117">
        <f t="shared" ref="C29:G29" si="1">C30+C32</f>
        <v>1220412.8</v>
      </c>
      <c r="D29" s="117">
        <f t="shared" si="1"/>
        <v>0</v>
      </c>
      <c r="E29" s="117">
        <f t="shared" si="1"/>
        <v>0</v>
      </c>
      <c r="F29" s="117">
        <f t="shared" si="1"/>
        <v>-23.599999999860302</v>
      </c>
      <c r="G29" s="117">
        <f t="shared" si="1"/>
        <v>0</v>
      </c>
    </row>
    <row r="30" spans="1:7" ht="26.25" customHeight="1">
      <c r="A30" s="24" t="s">
        <v>330</v>
      </c>
      <c r="B30" s="115" t="s">
        <v>331</v>
      </c>
      <c r="C30" s="119">
        <f>C31</f>
        <v>0</v>
      </c>
      <c r="D30" s="119">
        <f t="shared" ref="D30:F30" si="2">D31</f>
        <v>0</v>
      </c>
      <c r="E30" s="119">
        <f t="shared" si="2"/>
        <v>0</v>
      </c>
      <c r="F30" s="119">
        <f t="shared" si="2"/>
        <v>-1072632.7</v>
      </c>
      <c r="G30" s="119">
        <f>G31</f>
        <v>-1076737.8999999999</v>
      </c>
    </row>
    <row r="31" spans="1:7" ht="36">
      <c r="A31" s="25" t="s">
        <v>681</v>
      </c>
      <c r="B31" s="116" t="s">
        <v>332</v>
      </c>
      <c r="C31" s="113"/>
      <c r="D31" s="113"/>
      <c r="E31" s="113"/>
      <c r="F31" s="113">
        <f>-1072632.7</f>
        <v>-1072632.7</v>
      </c>
      <c r="G31" s="113">
        <f>-1076737.9</f>
        <v>-1076737.8999999999</v>
      </c>
    </row>
    <row r="32" spans="1:7" ht="24">
      <c r="A32" s="24" t="s">
        <v>333</v>
      </c>
      <c r="B32" s="115" t="s">
        <v>334</v>
      </c>
      <c r="C32" s="119">
        <f>C33</f>
        <v>1220412.8</v>
      </c>
      <c r="D32" s="119">
        <f t="shared" ref="D32:G32" si="3">D33</f>
        <v>0</v>
      </c>
      <c r="E32" s="119">
        <f t="shared" si="3"/>
        <v>0</v>
      </c>
      <c r="F32" s="119">
        <f>F33</f>
        <v>1072609.1000000001</v>
      </c>
      <c r="G32" s="119">
        <f t="shared" si="3"/>
        <v>1076737.8999999999</v>
      </c>
    </row>
    <row r="33" spans="1:7" ht="36">
      <c r="A33" s="120" t="s">
        <v>682</v>
      </c>
      <c r="B33" s="121" t="s">
        <v>335</v>
      </c>
      <c r="C33" s="113">
        <v>1220412.8</v>
      </c>
      <c r="D33" s="113"/>
      <c r="E33" s="113"/>
      <c r="F33" s="113">
        <f>1047634.1+24975</f>
        <v>1072609.1000000001</v>
      </c>
      <c r="G33" s="113">
        <v>1076737.8999999999</v>
      </c>
    </row>
    <row r="34" spans="1:7" ht="12.75" customHeight="1">
      <c r="A34" s="174" t="s">
        <v>336</v>
      </c>
      <c r="B34" s="175"/>
      <c r="C34" s="117">
        <f>C24+C30+C32</f>
        <v>1220412.8</v>
      </c>
      <c r="D34" s="117">
        <f t="shared" ref="D34:G34" si="4">D24+D30+D32</f>
        <v>-47400</v>
      </c>
      <c r="E34" s="117">
        <f t="shared" si="4"/>
        <v>-47400</v>
      </c>
      <c r="F34" s="117">
        <f t="shared" si="4"/>
        <v>-24998.59999999986</v>
      </c>
      <c r="G34" s="117">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view="pageBreakPreview" topLeftCell="A2" zoomScale="60" zoomScaleNormal="100" workbookViewId="0">
      <selection activeCell="E6" sqref="E6"/>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2" customWidth="1"/>
    <col min="7" max="7" width="12.42578125" customWidth="1"/>
  </cols>
  <sheetData>
    <row r="1" spans="1:7">
      <c r="D1" s="87" t="s">
        <v>606</v>
      </c>
    </row>
    <row r="2" spans="1:7">
      <c r="D2" s="87" t="s">
        <v>609</v>
      </c>
    </row>
    <row r="3" spans="1:7">
      <c r="D3" s="87" t="s">
        <v>780</v>
      </c>
    </row>
    <row r="4" spans="1:7">
      <c r="D4" s="87" t="s">
        <v>691</v>
      </c>
    </row>
    <row r="5" spans="1:7">
      <c r="D5" s="87" t="s">
        <v>693</v>
      </c>
    </row>
    <row r="6" spans="1:7">
      <c r="D6" s="87" t="s">
        <v>144</v>
      </c>
    </row>
    <row r="7" spans="1:7">
      <c r="D7" s="87" t="s">
        <v>634</v>
      </c>
    </row>
    <row r="9" spans="1:7">
      <c r="D9" s="87" t="s">
        <v>606</v>
      </c>
      <c r="E9" s="7"/>
    </row>
    <row r="10" spans="1:7">
      <c r="D10" s="87" t="s">
        <v>382</v>
      </c>
      <c r="E10" s="7"/>
    </row>
    <row r="11" spans="1:7">
      <c r="D11" s="87" t="s">
        <v>689</v>
      </c>
      <c r="E11" s="7"/>
    </row>
    <row r="12" spans="1:7">
      <c r="D12" s="87" t="s">
        <v>144</v>
      </c>
      <c r="E12" s="7"/>
    </row>
    <row r="13" spans="1:7">
      <c r="D13" s="87" t="s">
        <v>634</v>
      </c>
      <c r="E13" s="7"/>
    </row>
    <row r="14" spans="1:7">
      <c r="E14" s="7"/>
    </row>
    <row r="15" spans="1:7">
      <c r="E15" s="7"/>
    </row>
    <row r="16" spans="1:7" ht="47.25" customHeight="1">
      <c r="A16" s="176" t="s">
        <v>738</v>
      </c>
      <c r="B16" s="176"/>
      <c r="C16" s="176"/>
      <c r="D16" s="176"/>
      <c r="E16" s="176"/>
      <c r="F16" s="178"/>
      <c r="G16" s="178"/>
    </row>
    <row r="18" spans="1:7">
      <c r="E18" s="6"/>
    </row>
    <row r="19" spans="1:7" ht="12.75">
      <c r="A19" s="189" t="s">
        <v>88</v>
      </c>
      <c r="B19" s="192" t="s">
        <v>21</v>
      </c>
      <c r="C19" s="192" t="s">
        <v>27</v>
      </c>
      <c r="D19" s="182" t="s">
        <v>91</v>
      </c>
      <c r="E19" s="188" t="s">
        <v>28</v>
      </c>
      <c r="F19" s="175"/>
      <c r="G19" s="175"/>
    </row>
    <row r="20" spans="1:7" ht="12.75">
      <c r="A20" s="190"/>
      <c r="B20" s="193"/>
      <c r="C20" s="193"/>
      <c r="D20" s="183"/>
      <c r="E20" s="192" t="s">
        <v>384</v>
      </c>
      <c r="F20" s="175" t="s">
        <v>141</v>
      </c>
      <c r="G20" s="175"/>
    </row>
    <row r="21" spans="1:7" ht="12.75">
      <c r="A21" s="191"/>
      <c r="B21" s="194"/>
      <c r="C21" s="194"/>
      <c r="D21" s="184"/>
      <c r="E21" s="194"/>
      <c r="F21" s="1" t="s">
        <v>484</v>
      </c>
      <c r="G21" s="1" t="s">
        <v>635</v>
      </c>
    </row>
    <row r="22" spans="1:7" ht="12.75">
      <c r="A22" s="2">
        <v>1</v>
      </c>
      <c r="B22" s="2">
        <v>2</v>
      </c>
      <c r="C22" s="2">
        <v>3</v>
      </c>
      <c r="D22" s="2">
        <v>4</v>
      </c>
      <c r="E22" s="2">
        <v>5</v>
      </c>
      <c r="F22" s="2">
        <v>6</v>
      </c>
      <c r="G22" s="2">
        <v>7</v>
      </c>
    </row>
    <row r="23" spans="1:7" ht="18">
      <c r="A23" s="67"/>
      <c r="B23" s="12"/>
      <c r="C23" s="12"/>
      <c r="D23" s="9" t="s">
        <v>93</v>
      </c>
      <c r="E23" s="95">
        <f>E24+E32+E36+E41+E46+E53+E56+E60+E62+E64</f>
        <v>1220412.8</v>
      </c>
      <c r="F23" s="95">
        <f t="shared" ref="F23:G23" si="0">F24+F32+F36+F41+F46+F53+F56+F60+F62+F64</f>
        <v>1034647.7000000001</v>
      </c>
      <c r="G23" s="95">
        <f t="shared" si="0"/>
        <v>1049590.1000000001</v>
      </c>
    </row>
    <row r="24" spans="1:7" ht="15.75">
      <c r="A24" s="15">
        <v>1</v>
      </c>
      <c r="B24" s="4" t="s">
        <v>89</v>
      </c>
      <c r="C24" s="11"/>
      <c r="D24" s="3" t="s">
        <v>92</v>
      </c>
      <c r="E24" s="92">
        <f>SUM(E25:E31)</f>
        <v>138688.5</v>
      </c>
      <c r="F24" s="92">
        <f>SUM(F25:F31)</f>
        <v>117582.8</v>
      </c>
      <c r="G24" s="92">
        <f>SUM(G25:G31)</f>
        <v>116148.20000000001</v>
      </c>
    </row>
    <row r="25" spans="1:7" ht="38.25">
      <c r="A25" s="67"/>
      <c r="B25" s="5" t="s">
        <v>89</v>
      </c>
      <c r="C25" s="5" t="s">
        <v>90</v>
      </c>
      <c r="D25" s="22" t="s">
        <v>17</v>
      </c>
      <c r="E25" s="39">
        <v>2367.1</v>
      </c>
      <c r="F25" s="39">
        <v>1902</v>
      </c>
      <c r="G25" s="39">
        <v>1902</v>
      </c>
    </row>
    <row r="26" spans="1:7" ht="51">
      <c r="A26" s="67"/>
      <c r="B26" s="5" t="s">
        <v>89</v>
      </c>
      <c r="C26" s="5" t="s">
        <v>94</v>
      </c>
      <c r="D26" s="22" t="s">
        <v>128</v>
      </c>
      <c r="E26" s="39">
        <v>4140.6000000000004</v>
      </c>
      <c r="F26" s="39">
        <v>4120.3</v>
      </c>
      <c r="G26" s="39">
        <v>4120.3</v>
      </c>
    </row>
    <row r="27" spans="1:7" ht="51">
      <c r="A27" s="67"/>
      <c r="B27" s="5" t="s">
        <v>89</v>
      </c>
      <c r="C27" s="5" t="s">
        <v>95</v>
      </c>
      <c r="D27" s="22" t="s">
        <v>121</v>
      </c>
      <c r="E27" s="39">
        <f>53229.6-90-80.4-70-100-350</f>
        <v>52539.199999999997</v>
      </c>
      <c r="F27" s="39">
        <v>52850.1</v>
      </c>
      <c r="G27" s="39">
        <v>52853.7</v>
      </c>
    </row>
    <row r="28" spans="1:7">
      <c r="A28" s="67"/>
      <c r="B28" s="5" t="s">
        <v>89</v>
      </c>
      <c r="C28" s="5" t="s">
        <v>96</v>
      </c>
      <c r="D28" s="99" t="s">
        <v>293</v>
      </c>
      <c r="E28" s="107">
        <v>2.1</v>
      </c>
      <c r="F28" s="107">
        <v>2.2999999999999998</v>
      </c>
      <c r="G28" s="107">
        <v>2</v>
      </c>
    </row>
    <row r="29" spans="1:7" ht="38.25">
      <c r="A29" s="67"/>
      <c r="B29" s="5" t="s">
        <v>89</v>
      </c>
      <c r="C29" s="5" t="s">
        <v>97</v>
      </c>
      <c r="D29" s="99" t="s">
        <v>10</v>
      </c>
      <c r="E29" s="39">
        <v>12722.3</v>
      </c>
      <c r="F29" s="39">
        <v>12649.6</v>
      </c>
      <c r="G29" s="39">
        <v>12649.6</v>
      </c>
    </row>
    <row r="30" spans="1:7">
      <c r="A30" s="67"/>
      <c r="B30" s="5" t="s">
        <v>89</v>
      </c>
      <c r="C30" s="5" t="s">
        <v>103</v>
      </c>
      <c r="D30" s="99" t="s">
        <v>5</v>
      </c>
      <c r="E30" s="39">
        <f>600-50</f>
        <v>550</v>
      </c>
      <c r="F30" s="39">
        <v>500</v>
      </c>
      <c r="G30" s="39">
        <v>500</v>
      </c>
    </row>
    <row r="31" spans="1:7">
      <c r="A31" s="67"/>
      <c r="B31" s="5" t="s">
        <v>89</v>
      </c>
      <c r="C31" s="5" t="s">
        <v>9</v>
      </c>
      <c r="D31" s="1" t="s">
        <v>98</v>
      </c>
      <c r="E31" s="39">
        <f>65654.3+222.5+100+350+40.4</f>
        <v>66367.199999999997</v>
      </c>
      <c r="F31" s="39">
        <v>45558.5</v>
      </c>
      <c r="G31" s="39">
        <v>44120.6</v>
      </c>
    </row>
    <row r="32" spans="1:7" ht="33.75" customHeight="1">
      <c r="A32" s="15">
        <v>2</v>
      </c>
      <c r="B32" s="4" t="s">
        <v>94</v>
      </c>
      <c r="C32" s="3"/>
      <c r="D32" s="10" t="s">
        <v>99</v>
      </c>
      <c r="E32" s="92">
        <f>SUM(E33:E35)</f>
        <v>9582.2999999999993</v>
      </c>
      <c r="F32" s="92">
        <f t="shared" ref="F32:G32" si="1">SUM(F33:F35)</f>
        <v>8813.6</v>
      </c>
      <c r="G32" s="92">
        <f t="shared" si="1"/>
        <v>8843</v>
      </c>
    </row>
    <row r="33" spans="1:7" ht="15">
      <c r="A33" s="15"/>
      <c r="B33" s="5" t="s">
        <v>94</v>
      </c>
      <c r="C33" s="5" t="s">
        <v>95</v>
      </c>
      <c r="D33" s="99" t="s">
        <v>18</v>
      </c>
      <c r="E33" s="39">
        <v>1202</v>
      </c>
      <c r="F33" s="39">
        <v>1268.0999999999999</v>
      </c>
      <c r="G33" s="39">
        <v>1268.0999999999999</v>
      </c>
    </row>
    <row r="34" spans="1:7" ht="51">
      <c r="A34" s="67"/>
      <c r="B34" s="5" t="s">
        <v>94</v>
      </c>
      <c r="C34" s="5" t="s">
        <v>111</v>
      </c>
      <c r="D34" s="99" t="s">
        <v>385</v>
      </c>
      <c r="E34" s="39">
        <v>8346.2999999999993</v>
      </c>
      <c r="F34" s="39">
        <v>7511.5</v>
      </c>
      <c r="G34" s="39">
        <v>7511.5</v>
      </c>
    </row>
    <row r="35" spans="1:7" ht="38.25">
      <c r="A35" s="67"/>
      <c r="B35" s="5" t="s">
        <v>94</v>
      </c>
      <c r="C35" s="5" t="s">
        <v>122</v>
      </c>
      <c r="D35" s="97" t="s">
        <v>22</v>
      </c>
      <c r="E35" s="39">
        <v>34</v>
      </c>
      <c r="F35" s="39">
        <v>34</v>
      </c>
      <c r="G35" s="39">
        <v>63.4</v>
      </c>
    </row>
    <row r="36" spans="1:7" ht="15.75">
      <c r="A36" s="15">
        <v>3</v>
      </c>
      <c r="B36" s="4" t="s">
        <v>95</v>
      </c>
      <c r="C36" s="3"/>
      <c r="D36" s="10" t="s">
        <v>101</v>
      </c>
      <c r="E36" s="92">
        <f>SUM(E37:E40)</f>
        <v>213802.80000000002</v>
      </c>
      <c r="F36" s="92">
        <f>SUM(F37:F40)</f>
        <v>157267.79999999999</v>
      </c>
      <c r="G36" s="92">
        <f>SUM(G37:G40)</f>
        <v>180002.90000000002</v>
      </c>
    </row>
    <row r="37" spans="1:7">
      <c r="A37" s="67"/>
      <c r="B37" s="5" t="s">
        <v>95</v>
      </c>
      <c r="C37" s="5" t="s">
        <v>96</v>
      </c>
      <c r="D37" s="1" t="s">
        <v>104</v>
      </c>
      <c r="E37" s="39">
        <v>5021.8</v>
      </c>
      <c r="F37" s="39">
        <v>1563</v>
      </c>
      <c r="G37" s="39">
        <v>2222.9</v>
      </c>
    </row>
    <row r="38" spans="1:7">
      <c r="A38" s="67"/>
      <c r="B38" s="5" t="s">
        <v>95</v>
      </c>
      <c r="C38" s="5" t="s">
        <v>102</v>
      </c>
      <c r="D38" s="1" t="s">
        <v>1</v>
      </c>
      <c r="E38" s="39">
        <v>27326.400000000001</v>
      </c>
      <c r="F38" s="39">
        <v>25198.5</v>
      </c>
      <c r="G38" s="39">
        <v>25329.4</v>
      </c>
    </row>
    <row r="39" spans="1:7">
      <c r="A39" s="67"/>
      <c r="B39" s="5" t="s">
        <v>95</v>
      </c>
      <c r="C39" s="5" t="s">
        <v>100</v>
      </c>
      <c r="D39" s="1" t="s">
        <v>200</v>
      </c>
      <c r="E39" s="39">
        <v>177738.4</v>
      </c>
      <c r="F39" s="39">
        <v>128552.8</v>
      </c>
      <c r="G39" s="1">
        <v>150504.4</v>
      </c>
    </row>
    <row r="40" spans="1:7" ht="25.5">
      <c r="A40" s="67"/>
      <c r="B40" s="5" t="s">
        <v>95</v>
      </c>
      <c r="C40" s="5" t="s">
        <v>123</v>
      </c>
      <c r="D40" s="99" t="s">
        <v>4</v>
      </c>
      <c r="E40" s="39">
        <v>3716.2</v>
      </c>
      <c r="F40" s="39">
        <v>1953.5</v>
      </c>
      <c r="G40" s="39">
        <v>1946.2</v>
      </c>
    </row>
    <row r="41" spans="1:7" ht="15.75">
      <c r="A41" s="15">
        <v>4</v>
      </c>
      <c r="B41" s="4" t="s">
        <v>96</v>
      </c>
      <c r="C41" s="5"/>
      <c r="D41" s="49" t="s">
        <v>48</v>
      </c>
      <c r="E41" s="92">
        <f>SUM(E42:E45)</f>
        <v>93841.199999999983</v>
      </c>
      <c r="F41" s="92">
        <f t="shared" ref="F41:G41" si="2">SUM(F42:F45)</f>
        <v>35648.500000000007</v>
      </c>
      <c r="G41" s="92">
        <f t="shared" si="2"/>
        <v>36047.200000000004</v>
      </c>
    </row>
    <row r="42" spans="1:7" ht="15">
      <c r="A42" s="15"/>
      <c r="B42" s="16" t="s">
        <v>96</v>
      </c>
      <c r="C42" s="16" t="s">
        <v>89</v>
      </c>
      <c r="D42" s="51" t="s">
        <v>43</v>
      </c>
      <c r="E42" s="41">
        <v>7602.2</v>
      </c>
      <c r="F42" s="39">
        <f>6087.8-43.9</f>
        <v>6043.9000000000005</v>
      </c>
      <c r="G42" s="39">
        <v>6087.8</v>
      </c>
    </row>
    <row r="43" spans="1:7" ht="15">
      <c r="A43" s="15"/>
      <c r="B43" s="16" t="s">
        <v>96</v>
      </c>
      <c r="C43" s="16" t="s">
        <v>90</v>
      </c>
      <c r="D43" s="51" t="s">
        <v>42</v>
      </c>
      <c r="E43" s="41">
        <v>28027.9</v>
      </c>
      <c r="F43" s="39">
        <v>9613.7000000000007</v>
      </c>
      <c r="G43" s="39">
        <v>10942.2</v>
      </c>
    </row>
    <row r="44" spans="1:7">
      <c r="A44" s="67"/>
      <c r="B44" s="16" t="s">
        <v>96</v>
      </c>
      <c r="C44" s="16" t="s">
        <v>94</v>
      </c>
      <c r="D44" s="51" t="s">
        <v>49</v>
      </c>
      <c r="E44" s="41">
        <v>57030.2</v>
      </c>
      <c r="F44" s="149">
        <v>18810</v>
      </c>
      <c r="G44" s="1">
        <v>17836.3</v>
      </c>
    </row>
    <row r="45" spans="1:7" ht="27" customHeight="1">
      <c r="A45" s="67"/>
      <c r="B45" s="16" t="s">
        <v>96</v>
      </c>
      <c r="C45" s="82" t="s">
        <v>96</v>
      </c>
      <c r="D45" s="97" t="s">
        <v>501</v>
      </c>
      <c r="E45" s="41">
        <v>1180.9000000000001</v>
      </c>
      <c r="F45" s="41">
        <v>1180.9000000000001</v>
      </c>
      <c r="G45" s="41">
        <v>1180.9000000000001</v>
      </c>
    </row>
    <row r="46" spans="1:7" ht="15.75">
      <c r="A46" s="15">
        <v>5</v>
      </c>
      <c r="B46" s="4" t="s">
        <v>105</v>
      </c>
      <c r="C46" s="3"/>
      <c r="D46" s="10" t="s">
        <v>106</v>
      </c>
      <c r="E46" s="92">
        <f>SUM(E47:E52)</f>
        <v>619766.19999999995</v>
      </c>
      <c r="F46" s="92">
        <f t="shared" ref="F46:G46" si="3">SUM(F47:F52)</f>
        <v>622762</v>
      </c>
      <c r="G46" s="92">
        <f t="shared" si="3"/>
        <v>612597.59999999986</v>
      </c>
    </row>
    <row r="47" spans="1:7">
      <c r="A47" s="67"/>
      <c r="B47" s="5" t="s">
        <v>105</v>
      </c>
      <c r="C47" s="5" t="s">
        <v>89</v>
      </c>
      <c r="D47" s="1" t="s">
        <v>108</v>
      </c>
      <c r="E47" s="39">
        <f>160098.4-466.6</f>
        <v>159631.79999999999</v>
      </c>
      <c r="F47" s="39">
        <v>159972.79999999999</v>
      </c>
      <c r="G47" s="39">
        <v>159595.70000000001</v>
      </c>
    </row>
    <row r="48" spans="1:7">
      <c r="A48" s="67"/>
      <c r="B48" s="5" t="s">
        <v>105</v>
      </c>
      <c r="C48" s="5" t="s">
        <v>90</v>
      </c>
      <c r="D48" s="1" t="s">
        <v>109</v>
      </c>
      <c r="E48" s="39">
        <f>372245.4+685.4+466.6</f>
        <v>373397.4</v>
      </c>
      <c r="F48" s="39">
        <f>377110.9+2567.6</f>
        <v>379678.5</v>
      </c>
      <c r="G48" s="39">
        <f>367528.1+2567.6</f>
        <v>370095.69999999995</v>
      </c>
    </row>
    <row r="49" spans="1:7">
      <c r="A49" s="67"/>
      <c r="B49" s="5" t="s">
        <v>105</v>
      </c>
      <c r="C49" s="5" t="s">
        <v>94</v>
      </c>
      <c r="D49" s="1" t="s">
        <v>157</v>
      </c>
      <c r="E49" s="39">
        <f>61798+236</f>
        <v>62034</v>
      </c>
      <c r="F49" s="1">
        <v>61818.2</v>
      </c>
      <c r="G49" s="1">
        <v>61613.7</v>
      </c>
    </row>
    <row r="50" spans="1:7" ht="25.5">
      <c r="A50" s="67"/>
      <c r="B50" s="5" t="s">
        <v>105</v>
      </c>
      <c r="C50" s="5" t="s">
        <v>96</v>
      </c>
      <c r="D50" s="99" t="s">
        <v>2</v>
      </c>
      <c r="E50" s="39">
        <v>250</v>
      </c>
      <c r="F50" s="39">
        <v>250</v>
      </c>
      <c r="G50" s="39">
        <v>250</v>
      </c>
    </row>
    <row r="51" spans="1:7">
      <c r="A51" s="67"/>
      <c r="B51" s="5" t="s">
        <v>105</v>
      </c>
      <c r="C51" s="5" t="s">
        <v>105</v>
      </c>
      <c r="D51" s="1" t="s">
        <v>156</v>
      </c>
      <c r="E51" s="39">
        <f>10818.3-4</f>
        <v>10814.3</v>
      </c>
      <c r="F51" s="1">
        <v>7837.2</v>
      </c>
      <c r="G51" s="1">
        <v>7837.2</v>
      </c>
    </row>
    <row r="52" spans="1:7">
      <c r="A52" s="67"/>
      <c r="B52" s="5" t="s">
        <v>105</v>
      </c>
      <c r="C52" s="5" t="s">
        <v>100</v>
      </c>
      <c r="D52" s="1" t="s">
        <v>110</v>
      </c>
      <c r="E52" s="39">
        <f>13205.2+306.7+120+6.8</f>
        <v>13638.7</v>
      </c>
      <c r="F52" s="39">
        <v>13205.3</v>
      </c>
      <c r="G52" s="39">
        <v>13205.3</v>
      </c>
    </row>
    <row r="53" spans="1:7" ht="15.75">
      <c r="A53" s="15">
        <v>6</v>
      </c>
      <c r="B53" s="4" t="s">
        <v>102</v>
      </c>
      <c r="C53" s="3"/>
      <c r="D53" s="10" t="s">
        <v>20</v>
      </c>
      <c r="E53" s="92">
        <f>SUM(E54:E55)</f>
        <v>77688.7</v>
      </c>
      <c r="F53" s="92">
        <f t="shared" ref="F53:G53" si="4">SUM(F54:F55)</f>
        <v>63727.8</v>
      </c>
      <c r="G53" s="92">
        <f t="shared" si="4"/>
        <v>63727.8</v>
      </c>
    </row>
    <row r="54" spans="1:7">
      <c r="A54" s="67"/>
      <c r="B54" s="5" t="s">
        <v>102</v>
      </c>
      <c r="C54" s="5" t="s">
        <v>89</v>
      </c>
      <c r="D54" s="1" t="s">
        <v>107</v>
      </c>
      <c r="E54" s="39">
        <f>72845.2+611+120+20-25</f>
        <v>73571.199999999997</v>
      </c>
      <c r="F54" s="1">
        <v>60276.800000000003</v>
      </c>
      <c r="G54" s="1">
        <v>60276.800000000003</v>
      </c>
    </row>
    <row r="55" spans="1:7" ht="25.5">
      <c r="A55" s="67"/>
      <c r="B55" s="5" t="s">
        <v>102</v>
      </c>
      <c r="C55" s="5" t="s">
        <v>95</v>
      </c>
      <c r="D55" s="99" t="s">
        <v>7</v>
      </c>
      <c r="E55" s="39">
        <f>4017.5+100</f>
        <v>4117.5</v>
      </c>
      <c r="F55" s="39">
        <v>3451</v>
      </c>
      <c r="G55" s="39">
        <v>3451</v>
      </c>
    </row>
    <row r="56" spans="1:7" ht="15.75">
      <c r="A56" s="15">
        <v>7</v>
      </c>
      <c r="B56" s="4" t="s">
        <v>111</v>
      </c>
      <c r="C56" s="3"/>
      <c r="D56" s="10" t="s">
        <v>112</v>
      </c>
      <c r="E56" s="92">
        <f>SUM(E57:E59)</f>
        <v>57195.600000000006</v>
      </c>
      <c r="F56" s="92">
        <f t="shared" ref="F56:G56" si="5">SUM(F57:F59)</f>
        <v>24787.4</v>
      </c>
      <c r="G56" s="92">
        <f t="shared" si="5"/>
        <v>28190.6</v>
      </c>
    </row>
    <row r="57" spans="1:7">
      <c r="A57" s="67"/>
      <c r="B57" s="5" t="s">
        <v>111</v>
      </c>
      <c r="C57" s="5" t="s">
        <v>89</v>
      </c>
      <c r="D57" s="1" t="s">
        <v>113</v>
      </c>
      <c r="E57" s="39">
        <f>1585.3+753</f>
        <v>2338.3000000000002</v>
      </c>
      <c r="F57" s="39">
        <v>1585.3</v>
      </c>
      <c r="G57" s="39">
        <v>1585.3</v>
      </c>
    </row>
    <row r="58" spans="1:7">
      <c r="A58" s="67"/>
      <c r="B58" s="5" t="s">
        <v>111</v>
      </c>
      <c r="C58" s="5" t="s">
        <v>94</v>
      </c>
      <c r="D58" s="1" t="s">
        <v>117</v>
      </c>
      <c r="E58" s="39">
        <f>1840+50</f>
        <v>1890</v>
      </c>
      <c r="F58" s="39">
        <v>1790</v>
      </c>
      <c r="G58" s="39">
        <v>1790</v>
      </c>
    </row>
    <row r="59" spans="1:7">
      <c r="A59" s="67"/>
      <c r="B59" s="5" t="s">
        <v>111</v>
      </c>
      <c r="C59" s="5" t="s">
        <v>95</v>
      </c>
      <c r="D59" s="1" t="s">
        <v>13</v>
      </c>
      <c r="E59" s="39">
        <v>52967.3</v>
      </c>
      <c r="F59" s="39">
        <f>21368.2+43.9</f>
        <v>21412.100000000002</v>
      </c>
      <c r="G59" s="39">
        <v>24815.3</v>
      </c>
    </row>
    <row r="60" spans="1:7" ht="15.75">
      <c r="A60" s="15">
        <v>8</v>
      </c>
      <c r="B60" s="4" t="s">
        <v>103</v>
      </c>
      <c r="C60" s="5"/>
      <c r="D60" s="10" t="s">
        <v>124</v>
      </c>
      <c r="E60" s="92">
        <f>SUM(E61:E61)</f>
        <v>5986</v>
      </c>
      <c r="F60" s="92">
        <f t="shared" ref="F60:G60" si="6">SUM(F61:F61)</f>
        <v>496.3</v>
      </c>
      <c r="G60" s="92">
        <f t="shared" si="6"/>
        <v>496.3</v>
      </c>
    </row>
    <row r="61" spans="1:7">
      <c r="A61" s="67"/>
      <c r="B61" s="5" t="s">
        <v>103</v>
      </c>
      <c r="C61" s="5" t="s">
        <v>90</v>
      </c>
      <c r="D61" s="99" t="s">
        <v>6</v>
      </c>
      <c r="E61" s="39">
        <f>5786+200</f>
        <v>5986</v>
      </c>
      <c r="F61" s="39">
        <v>496.3</v>
      </c>
      <c r="G61" s="39">
        <v>496.3</v>
      </c>
    </row>
    <row r="62" spans="1:7" ht="15.75">
      <c r="A62" s="15">
        <v>9</v>
      </c>
      <c r="B62" s="4" t="s">
        <v>123</v>
      </c>
      <c r="C62" s="5"/>
      <c r="D62" s="10" t="s">
        <v>8</v>
      </c>
      <c r="E62" s="92">
        <f>SUM(E63:E63)</f>
        <v>3836.5</v>
      </c>
      <c r="F62" s="92">
        <f t="shared" ref="F62:G62" si="7">SUM(F63:F63)</f>
        <v>3536.5</v>
      </c>
      <c r="G62" s="92">
        <f t="shared" si="7"/>
        <v>3536.5</v>
      </c>
    </row>
    <row r="63" spans="1:7" ht="25.5">
      <c r="A63" s="67"/>
      <c r="B63" s="5" t="s">
        <v>123</v>
      </c>
      <c r="C63" s="5" t="s">
        <v>95</v>
      </c>
      <c r="D63" s="97" t="s">
        <v>14</v>
      </c>
      <c r="E63" s="39">
        <v>3836.5</v>
      </c>
      <c r="F63" s="39">
        <v>3536.5</v>
      </c>
      <c r="G63" s="39">
        <v>3536.5</v>
      </c>
    </row>
    <row r="64" spans="1:7" ht="31.5">
      <c r="A64" s="15">
        <v>10</v>
      </c>
      <c r="B64" s="4" t="s">
        <v>9</v>
      </c>
      <c r="C64" s="5"/>
      <c r="D64" s="10" t="s">
        <v>652</v>
      </c>
      <c r="E64" s="92">
        <f>SUM(E65:E65)</f>
        <v>25</v>
      </c>
      <c r="F64" s="92">
        <f t="shared" ref="F64:G64" si="8">SUM(F65:F65)</f>
        <v>25</v>
      </c>
      <c r="G64" s="92">
        <f t="shared" si="8"/>
        <v>0</v>
      </c>
    </row>
    <row r="65" spans="1:7" ht="25.5">
      <c r="A65" s="67"/>
      <c r="B65" s="147">
        <v>13</v>
      </c>
      <c r="C65" s="5" t="s">
        <v>89</v>
      </c>
      <c r="D65" s="99" t="s">
        <v>653</v>
      </c>
      <c r="E65" s="39">
        <v>25</v>
      </c>
      <c r="F65" s="39">
        <v>25</v>
      </c>
      <c r="G65" s="39">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64"/>
  <sheetViews>
    <sheetView view="pageBreakPreview" zoomScale="60" zoomScaleNormal="100" workbookViewId="0">
      <selection activeCell="F5" sqref="F5"/>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607</v>
      </c>
    </row>
    <row r="2" spans="1:8">
      <c r="E2" s="85" t="s">
        <v>609</v>
      </c>
    </row>
    <row r="3" spans="1:8">
      <c r="E3" s="85" t="s">
        <v>781</v>
      </c>
    </row>
    <row r="4" spans="1:8">
      <c r="E4" s="85" t="s">
        <v>691</v>
      </c>
    </row>
    <row r="5" spans="1:8">
      <c r="E5" s="85" t="s">
        <v>693</v>
      </c>
    </row>
    <row r="6" spans="1:8">
      <c r="E6" s="85" t="s">
        <v>144</v>
      </c>
    </row>
    <row r="7" spans="1:8">
      <c r="E7" s="85" t="s">
        <v>634</v>
      </c>
    </row>
    <row r="8" spans="1:8">
      <c r="E8" s="85"/>
    </row>
    <row r="9" spans="1:8">
      <c r="E9" s="85" t="s">
        <v>607</v>
      </c>
      <c r="F9" s="85"/>
      <c r="G9" s="86"/>
      <c r="H9" s="86"/>
    </row>
    <row r="10" spans="1:8">
      <c r="E10" s="85" t="s">
        <v>382</v>
      </c>
      <c r="F10" s="85"/>
      <c r="G10" s="86"/>
      <c r="H10" s="86"/>
    </row>
    <row r="11" spans="1:8">
      <c r="E11" s="85" t="s">
        <v>688</v>
      </c>
      <c r="F11" s="85"/>
      <c r="G11" s="86"/>
      <c r="H11" s="86"/>
    </row>
    <row r="12" spans="1:8">
      <c r="E12" s="85" t="s">
        <v>144</v>
      </c>
      <c r="F12" s="85"/>
      <c r="G12" s="86"/>
      <c r="H12" s="86"/>
    </row>
    <row r="13" spans="1:8">
      <c r="E13" s="85" t="s">
        <v>634</v>
      </c>
      <c r="F13" s="85"/>
      <c r="G13" s="86"/>
      <c r="H13" s="86"/>
    </row>
    <row r="14" spans="1:8">
      <c r="E14" s="85"/>
      <c r="F14" s="85"/>
      <c r="G14" s="86"/>
      <c r="H14" s="86"/>
    </row>
    <row r="15" spans="1:8">
      <c r="E15" s="85"/>
      <c r="F15" s="85"/>
      <c r="G15" s="86"/>
      <c r="H15" s="86"/>
    </row>
    <row r="16" spans="1:8" ht="75" customHeight="1">
      <c r="A16" s="176" t="s">
        <v>739</v>
      </c>
      <c r="B16" s="195"/>
      <c r="C16" s="195"/>
      <c r="D16" s="195"/>
      <c r="E16" s="195"/>
      <c r="F16" s="195"/>
      <c r="G16" s="196"/>
      <c r="H16" s="196"/>
    </row>
    <row r="18" spans="1:8">
      <c r="F18" s="6"/>
    </row>
    <row r="19" spans="1:8">
      <c r="A19" s="182" t="s">
        <v>118</v>
      </c>
      <c r="B19" s="182" t="s">
        <v>119</v>
      </c>
      <c r="C19" s="182" t="s">
        <v>120</v>
      </c>
      <c r="D19" s="182" t="s">
        <v>114</v>
      </c>
      <c r="E19" s="182" t="s">
        <v>91</v>
      </c>
      <c r="F19" s="188" t="s">
        <v>28</v>
      </c>
      <c r="G19" s="175"/>
      <c r="H19" s="175"/>
    </row>
    <row r="20" spans="1:8">
      <c r="A20" s="183"/>
      <c r="B20" s="183"/>
      <c r="C20" s="183"/>
      <c r="D20" s="183"/>
      <c r="E20" s="183"/>
      <c r="F20" s="192" t="s">
        <v>384</v>
      </c>
      <c r="G20" s="175" t="s">
        <v>141</v>
      </c>
      <c r="H20" s="175"/>
    </row>
    <row r="21" spans="1:8">
      <c r="A21" s="184"/>
      <c r="B21" s="184"/>
      <c r="C21" s="184"/>
      <c r="D21" s="184"/>
      <c r="E21" s="184"/>
      <c r="F21" s="194"/>
      <c r="G21" s="1" t="s">
        <v>484</v>
      </c>
      <c r="H21" s="1" t="s">
        <v>635</v>
      </c>
    </row>
    <row r="22" spans="1:8">
      <c r="A22" s="2">
        <v>1</v>
      </c>
      <c r="B22" s="2">
        <v>2</v>
      </c>
      <c r="C22" s="2">
        <v>3</v>
      </c>
      <c r="D22" s="2">
        <v>4</v>
      </c>
      <c r="E22" s="2">
        <v>5</v>
      </c>
      <c r="F22" s="2">
        <v>6</v>
      </c>
      <c r="G22" s="2">
        <v>7</v>
      </c>
      <c r="H22" s="2">
        <v>8</v>
      </c>
    </row>
    <row r="23" spans="1:8" ht="18">
      <c r="A23" s="12"/>
      <c r="B23" s="12"/>
      <c r="C23" s="12"/>
      <c r="D23" s="12"/>
      <c r="E23" s="9" t="s">
        <v>93</v>
      </c>
      <c r="F23" s="59">
        <f>F24+F99+F143+F253+F394+F545+F591+F628+F644+F660</f>
        <v>1220412.8</v>
      </c>
      <c r="G23" s="59">
        <f>G24+G99+G143+G253+G394+G545+G591+G628+G644+G660</f>
        <v>1034647.7000000001</v>
      </c>
      <c r="H23" s="59">
        <f>H24+H99+H143+H253+H394+H545+H591+H628+H644+H660</f>
        <v>1049590.1000000001</v>
      </c>
    </row>
    <row r="24" spans="1:8" ht="31.5">
      <c r="A24" s="4" t="s">
        <v>89</v>
      </c>
      <c r="B24" s="11"/>
      <c r="C24" s="11"/>
      <c r="D24" s="11"/>
      <c r="E24" s="10" t="s">
        <v>92</v>
      </c>
      <c r="F24" s="92">
        <f>F25+F30+F37+F48+F53+F64+F69</f>
        <v>138688.5</v>
      </c>
      <c r="G24" s="92">
        <f>G25+G30+G37+G48+G53+G64+G69</f>
        <v>117582.8</v>
      </c>
      <c r="H24" s="92">
        <f>H25+H30+H37+H48+H53+H64+H69</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9" t="s">
        <v>115</v>
      </c>
      <c r="F28" s="39">
        <f t="shared" si="0"/>
        <v>2367.1</v>
      </c>
      <c r="G28" s="39">
        <f t="shared" si="0"/>
        <v>1902</v>
      </c>
      <c r="H28" s="39">
        <f t="shared" si="0"/>
        <v>1902</v>
      </c>
    </row>
    <row r="29" spans="1:8" ht="38.25">
      <c r="A29" s="16" t="s">
        <v>89</v>
      </c>
      <c r="B29" s="16" t="s">
        <v>90</v>
      </c>
      <c r="C29" s="79">
        <v>9980022100</v>
      </c>
      <c r="D29" s="16" t="s">
        <v>63</v>
      </c>
      <c r="E29" s="99" t="s">
        <v>79</v>
      </c>
      <c r="F29" s="39">
        <f>1717-118.6+439.5+171.7+157.5-439.5-171.7+171.7+439.5</f>
        <v>2367.1</v>
      </c>
      <c r="G29" s="39">
        <f>1717-118.6+303.6</f>
        <v>1902</v>
      </c>
      <c r="H29" s="39">
        <f>1717-118.6+303.6</f>
        <v>1902</v>
      </c>
    </row>
    <row r="30" spans="1:8" ht="64.5">
      <c r="A30" s="30" t="s">
        <v>89</v>
      </c>
      <c r="B30" s="30" t="s">
        <v>94</v>
      </c>
      <c r="C30" s="31"/>
      <c r="D30" s="31"/>
      <c r="E30" s="48" t="s">
        <v>128</v>
      </c>
      <c r="F30" s="43">
        <f>F31</f>
        <v>4140.6000000000004</v>
      </c>
      <c r="G30" s="43">
        <f>G31</f>
        <v>4120.3</v>
      </c>
      <c r="H30" s="43">
        <f>H31</f>
        <v>4120.3</v>
      </c>
    </row>
    <row r="31" spans="1:8" ht="38.25">
      <c r="A31" s="16" t="s">
        <v>89</v>
      </c>
      <c r="B31" s="16" t="s">
        <v>94</v>
      </c>
      <c r="C31" s="79">
        <v>9990000000</v>
      </c>
      <c r="D31" s="16"/>
      <c r="E31" s="54" t="s">
        <v>29</v>
      </c>
      <c r="F31" s="41">
        <f>F32+F34</f>
        <v>4140.6000000000004</v>
      </c>
      <c r="G31" s="41">
        <f>G32+G34</f>
        <v>4120.3</v>
      </c>
      <c r="H31" s="41">
        <f>H32+H34</f>
        <v>4120.3</v>
      </c>
    </row>
    <row r="32" spans="1:8">
      <c r="A32" s="16" t="s">
        <v>89</v>
      </c>
      <c r="B32" s="16" t="s">
        <v>94</v>
      </c>
      <c r="C32" s="79">
        <v>9990022400</v>
      </c>
      <c r="D32" s="16"/>
      <c r="E32" s="98"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9" t="s">
        <v>633</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214</v>
      </c>
      <c r="E36" s="98" t="s">
        <v>215</v>
      </c>
      <c r="F36" s="39">
        <v>106.1</v>
      </c>
      <c r="G36" s="39">
        <v>106.1</v>
      </c>
      <c r="H36" s="39">
        <v>106.1</v>
      </c>
    </row>
    <row r="37" spans="1:8" s="32" customFormat="1" ht="76.5">
      <c r="A37" s="30" t="s">
        <v>89</v>
      </c>
      <c r="B37" s="30" t="s">
        <v>95</v>
      </c>
      <c r="C37" s="30"/>
      <c r="D37" s="30"/>
      <c r="E37" s="46" t="s">
        <v>125</v>
      </c>
      <c r="F37" s="40">
        <f>F38</f>
        <v>52539.199999999997</v>
      </c>
      <c r="G37" s="40">
        <f>G38</f>
        <v>52850.1</v>
      </c>
      <c r="H37" s="40">
        <f>H38</f>
        <v>52853.7</v>
      </c>
    </row>
    <row r="38" spans="1:8" ht="25.5">
      <c r="A38" s="16" t="s">
        <v>89</v>
      </c>
      <c r="B38" s="16" t="s">
        <v>95</v>
      </c>
      <c r="C38" s="79">
        <v>9900000000</v>
      </c>
      <c r="D38" s="16"/>
      <c r="E38" s="55" t="s">
        <v>145</v>
      </c>
      <c r="F38" s="39">
        <f>F39+F43</f>
        <v>52539.199999999997</v>
      </c>
      <c r="G38" s="39">
        <f>G39+G43</f>
        <v>52850.1</v>
      </c>
      <c r="H38" s="39">
        <f>H39+H43</f>
        <v>52853.7</v>
      </c>
    </row>
    <row r="39" spans="1:8" ht="25.5">
      <c r="A39" s="16" t="s">
        <v>89</v>
      </c>
      <c r="B39" s="16" t="s">
        <v>95</v>
      </c>
      <c r="C39" s="79">
        <v>9930000000</v>
      </c>
      <c r="D39" s="16"/>
      <c r="E39" s="22" t="s">
        <v>41</v>
      </c>
      <c r="F39" s="39">
        <f>F40</f>
        <v>422.6</v>
      </c>
      <c r="G39" s="39">
        <f>G40</f>
        <v>426.1</v>
      </c>
      <c r="H39" s="39">
        <f>H40</f>
        <v>429.7</v>
      </c>
    </row>
    <row r="40" spans="1:8" ht="62.25" customHeight="1">
      <c r="A40" s="16" t="s">
        <v>89</v>
      </c>
      <c r="B40" s="16" t="s">
        <v>95</v>
      </c>
      <c r="C40" s="79">
        <v>9930010510</v>
      </c>
      <c r="D40" s="16"/>
      <c r="E40" s="22" t="s">
        <v>15</v>
      </c>
      <c r="F40" s="39">
        <f>F41+F42</f>
        <v>422.6</v>
      </c>
      <c r="G40" s="39">
        <f>G41+G42</f>
        <v>426.1</v>
      </c>
      <c r="H40" s="39">
        <f>H41+H42</f>
        <v>429.7</v>
      </c>
    </row>
    <row r="41" spans="1:8" ht="38.25">
      <c r="A41" s="16" t="s">
        <v>89</v>
      </c>
      <c r="B41" s="16" t="s">
        <v>95</v>
      </c>
      <c r="C41" s="79">
        <v>9930010510</v>
      </c>
      <c r="D41" s="16" t="s">
        <v>63</v>
      </c>
      <c r="E41" s="102" t="s">
        <v>64</v>
      </c>
      <c r="F41" s="39">
        <v>397.3</v>
      </c>
      <c r="G41" s="39">
        <v>397.3</v>
      </c>
      <c r="H41" s="39">
        <v>397.3</v>
      </c>
    </row>
    <row r="42" spans="1:8" ht="38.25">
      <c r="A42" s="16" t="s">
        <v>89</v>
      </c>
      <c r="B42" s="16" t="s">
        <v>95</v>
      </c>
      <c r="C42" s="79">
        <v>9930010510</v>
      </c>
      <c r="D42" s="82" t="s">
        <v>214</v>
      </c>
      <c r="E42" s="98" t="s">
        <v>215</v>
      </c>
      <c r="F42" s="39">
        <v>25.3</v>
      </c>
      <c r="G42" s="39">
        <v>28.8</v>
      </c>
      <c r="H42" s="39">
        <v>32.4</v>
      </c>
    </row>
    <row r="43" spans="1:8" ht="38.25">
      <c r="A43" s="16" t="s">
        <v>89</v>
      </c>
      <c r="B43" s="16" t="s">
        <v>95</v>
      </c>
      <c r="C43" s="79">
        <v>9980000000</v>
      </c>
      <c r="D43" s="16"/>
      <c r="E43" s="54" t="s">
        <v>30</v>
      </c>
      <c r="F43" s="39">
        <f>F44</f>
        <v>52116.6</v>
      </c>
      <c r="G43" s="39">
        <f>G44</f>
        <v>52424</v>
      </c>
      <c r="H43" s="39">
        <f>H44</f>
        <v>52424</v>
      </c>
    </row>
    <row r="44" spans="1:8">
      <c r="A44" s="16" t="s">
        <v>89</v>
      </c>
      <c r="B44" s="16" t="s">
        <v>95</v>
      </c>
      <c r="C44" s="139">
        <v>9980022200</v>
      </c>
      <c r="D44" s="21"/>
      <c r="E44" s="99" t="s">
        <v>116</v>
      </c>
      <c r="F44" s="39">
        <f>SUM(F45:F47)</f>
        <v>52116.6</v>
      </c>
      <c r="G44" s="39">
        <f>SUM(G45:G47)</f>
        <v>52424</v>
      </c>
      <c r="H44" s="39">
        <f>SUM(H45:H47)</f>
        <v>52424</v>
      </c>
    </row>
    <row r="45" spans="1:8" ht="38.25">
      <c r="A45" s="16" t="s">
        <v>89</v>
      </c>
      <c r="B45" s="16" t="s">
        <v>95</v>
      </c>
      <c r="C45" s="139">
        <v>9980022200</v>
      </c>
      <c r="D45" s="16" t="s">
        <v>63</v>
      </c>
      <c r="E45" s="55" t="s">
        <v>64</v>
      </c>
      <c r="F45" s="39">
        <f>44902+375.4+4548.2-375.4+383-100-350</f>
        <v>49383.199999999997</v>
      </c>
      <c r="G45" s="39">
        <f>44902+4548.2</f>
        <v>49450.2</v>
      </c>
      <c r="H45" s="39">
        <f>44902+4548.2</f>
        <v>49450.2</v>
      </c>
    </row>
    <row r="46" spans="1:8" ht="38.25">
      <c r="A46" s="16" t="s">
        <v>89</v>
      </c>
      <c r="B46" s="16" t="s">
        <v>95</v>
      </c>
      <c r="C46" s="139">
        <v>9980022200</v>
      </c>
      <c r="D46" s="82" t="s">
        <v>214</v>
      </c>
      <c r="E46" s="98" t="s">
        <v>215</v>
      </c>
      <c r="F46" s="39">
        <f>2929.4-90-80.4-70</f>
        <v>2689</v>
      </c>
      <c r="G46" s="39">
        <v>2929.4</v>
      </c>
      <c r="H46" s="39">
        <v>2929.4</v>
      </c>
    </row>
    <row r="47" spans="1:8" ht="25.5">
      <c r="A47" s="16" t="s">
        <v>89</v>
      </c>
      <c r="B47" s="16" t="s">
        <v>95</v>
      </c>
      <c r="C47" s="139">
        <v>9980022200</v>
      </c>
      <c r="D47" s="82" t="s">
        <v>132</v>
      </c>
      <c r="E47" s="98" t="s">
        <v>133</v>
      </c>
      <c r="F47" s="41">
        <v>44.4</v>
      </c>
      <c r="G47" s="41">
        <v>44.4</v>
      </c>
      <c r="H47" s="41">
        <v>44.4</v>
      </c>
    </row>
    <row r="48" spans="1:8" ht="14.25">
      <c r="A48" s="35" t="s">
        <v>89</v>
      </c>
      <c r="B48" s="35" t="s">
        <v>96</v>
      </c>
      <c r="C48" s="35"/>
      <c r="D48" s="35"/>
      <c r="E48" s="46" t="s">
        <v>293</v>
      </c>
      <c r="F48" s="42">
        <f>SUM(F49)</f>
        <v>2.1</v>
      </c>
      <c r="G48" s="42">
        <f>SUM(G49)</f>
        <v>2.2999999999999998</v>
      </c>
      <c r="H48" s="42">
        <f>SUM(H49)</f>
        <v>2</v>
      </c>
    </row>
    <row r="49" spans="1:8" ht="25.5">
      <c r="A49" s="16" t="s">
        <v>89</v>
      </c>
      <c r="B49" s="82" t="s">
        <v>96</v>
      </c>
      <c r="C49" s="79">
        <v>9900000000</v>
      </c>
      <c r="D49" s="16"/>
      <c r="E49" s="55" t="s">
        <v>146</v>
      </c>
      <c r="F49" s="39">
        <f t="shared" ref="F49:H51" si="1">F50</f>
        <v>2.1</v>
      </c>
      <c r="G49" s="39">
        <f t="shared" si="1"/>
        <v>2.2999999999999998</v>
      </c>
      <c r="H49" s="39">
        <f t="shared" si="1"/>
        <v>2</v>
      </c>
    </row>
    <row r="50" spans="1:8" ht="25.5">
      <c r="A50" s="16" t="s">
        <v>89</v>
      </c>
      <c r="B50" s="82" t="s">
        <v>96</v>
      </c>
      <c r="C50" s="79">
        <v>9930000000</v>
      </c>
      <c r="D50" s="16"/>
      <c r="E50" s="22" t="s">
        <v>41</v>
      </c>
      <c r="F50" s="39">
        <f t="shared" si="1"/>
        <v>2.1</v>
      </c>
      <c r="G50" s="39">
        <f t="shared" si="1"/>
        <v>2.2999999999999998</v>
      </c>
      <c r="H50" s="39">
        <f t="shared" si="1"/>
        <v>2</v>
      </c>
    </row>
    <row r="51" spans="1:8" ht="63.75">
      <c r="A51" s="16" t="s">
        <v>89</v>
      </c>
      <c r="B51" s="82" t="s">
        <v>96</v>
      </c>
      <c r="C51" s="79">
        <v>9930051200</v>
      </c>
      <c r="D51" s="16"/>
      <c r="E51" s="54" t="s">
        <v>286</v>
      </c>
      <c r="F51" s="107">
        <f t="shared" si="1"/>
        <v>2.1</v>
      </c>
      <c r="G51" s="39">
        <f t="shared" si="1"/>
        <v>2.2999999999999998</v>
      </c>
      <c r="H51" s="39">
        <f t="shared" si="1"/>
        <v>2</v>
      </c>
    </row>
    <row r="52" spans="1:8" ht="38.25">
      <c r="A52" s="16" t="s">
        <v>89</v>
      </c>
      <c r="B52" s="82" t="s">
        <v>96</v>
      </c>
      <c r="C52" s="79">
        <v>9930051200</v>
      </c>
      <c r="D52" s="82" t="s">
        <v>214</v>
      </c>
      <c r="E52" s="98" t="s">
        <v>215</v>
      </c>
      <c r="F52" s="107">
        <v>2.1</v>
      </c>
      <c r="G52" s="107">
        <v>2.2999999999999998</v>
      </c>
      <c r="H52" s="107">
        <v>2</v>
      </c>
    </row>
    <row r="53" spans="1:8" s="37" customFormat="1" ht="63.75">
      <c r="A53" s="35" t="s">
        <v>89</v>
      </c>
      <c r="B53" s="35" t="s">
        <v>97</v>
      </c>
      <c r="C53" s="35"/>
      <c r="D53" s="35"/>
      <c r="E53" s="46" t="s">
        <v>126</v>
      </c>
      <c r="F53" s="42">
        <f>SUM(F54)</f>
        <v>12722.3</v>
      </c>
      <c r="G53" s="42">
        <f>SUM(G54)</f>
        <v>12649.6</v>
      </c>
      <c r="H53" s="42">
        <f>SUM(H54)</f>
        <v>12649.6</v>
      </c>
    </row>
    <row r="54" spans="1:8" ht="25.5">
      <c r="A54" s="16" t="s">
        <v>89</v>
      </c>
      <c r="B54" s="16" t="s">
        <v>97</v>
      </c>
      <c r="C54" s="79">
        <v>9900000000</v>
      </c>
      <c r="D54" s="16"/>
      <c r="E54" s="55" t="s">
        <v>145</v>
      </c>
      <c r="F54" s="39">
        <f>F55+F60</f>
        <v>12722.3</v>
      </c>
      <c r="G54" s="39">
        <f>G55+G60</f>
        <v>12649.6</v>
      </c>
      <c r="H54" s="39">
        <f>H55+H60</f>
        <v>12649.6</v>
      </c>
    </row>
    <row r="55" spans="1:8" ht="38.25">
      <c r="A55" s="16" t="s">
        <v>89</v>
      </c>
      <c r="B55" s="16" t="s">
        <v>97</v>
      </c>
      <c r="C55" s="79">
        <v>9980000000</v>
      </c>
      <c r="D55" s="16"/>
      <c r="E55" s="54" t="s">
        <v>30</v>
      </c>
      <c r="F55" s="39">
        <f>F56</f>
        <v>10869.9</v>
      </c>
      <c r="G55" s="39">
        <f>G56</f>
        <v>10813.5</v>
      </c>
      <c r="H55" s="39">
        <f>H56</f>
        <v>10813.5</v>
      </c>
    </row>
    <row r="56" spans="1:8">
      <c r="A56" s="16" t="s">
        <v>89</v>
      </c>
      <c r="B56" s="16" t="s">
        <v>97</v>
      </c>
      <c r="C56" s="139">
        <v>9980022200</v>
      </c>
      <c r="D56" s="21"/>
      <c r="E56" s="99" t="s">
        <v>116</v>
      </c>
      <c r="F56" s="39">
        <f>SUM(F57:F59)</f>
        <v>10869.9</v>
      </c>
      <c r="G56" s="39">
        <f t="shared" ref="G56:H56" si="2">SUM(G57:G59)</f>
        <v>10813.5</v>
      </c>
      <c r="H56" s="39">
        <f t="shared" si="2"/>
        <v>10813.5</v>
      </c>
    </row>
    <row r="57" spans="1:8" ht="38.25">
      <c r="A57" s="16" t="s">
        <v>89</v>
      </c>
      <c r="B57" s="16" t="s">
        <v>97</v>
      </c>
      <c r="C57" s="139">
        <v>9980022200</v>
      </c>
      <c r="D57" s="16" t="s">
        <v>63</v>
      </c>
      <c r="E57" s="102" t="s">
        <v>64</v>
      </c>
      <c r="F57" s="39">
        <f>9404.1+64.1+940.4-64.1+56.5</f>
        <v>10401</v>
      </c>
      <c r="G57" s="39">
        <f>9404.1+940.5</f>
        <v>10344.6</v>
      </c>
      <c r="H57" s="39">
        <f>9404.1+940.5</f>
        <v>10344.6</v>
      </c>
    </row>
    <row r="58" spans="1:8" ht="38.25">
      <c r="A58" s="16" t="s">
        <v>89</v>
      </c>
      <c r="B58" s="16" t="s">
        <v>97</v>
      </c>
      <c r="C58" s="139">
        <v>9980022200</v>
      </c>
      <c r="D58" s="82" t="s">
        <v>214</v>
      </c>
      <c r="E58" s="98" t="s">
        <v>215</v>
      </c>
      <c r="F58" s="39">
        <f>468.9-3</f>
        <v>465.9</v>
      </c>
      <c r="G58" s="39">
        <v>468.9</v>
      </c>
      <c r="H58" s="39">
        <v>468.9</v>
      </c>
    </row>
    <row r="59" spans="1:8" s="172" customFormat="1">
      <c r="A59" s="16" t="s">
        <v>89</v>
      </c>
      <c r="B59" s="16" t="s">
        <v>97</v>
      </c>
      <c r="C59" s="171">
        <v>9980022200</v>
      </c>
      <c r="D59" s="82" t="s">
        <v>726</v>
      </c>
      <c r="E59" s="98" t="s">
        <v>727</v>
      </c>
      <c r="F59" s="39">
        <v>3</v>
      </c>
      <c r="G59" s="39">
        <v>0</v>
      </c>
      <c r="H59" s="39">
        <v>0</v>
      </c>
    </row>
    <row r="60" spans="1:8" ht="38.25">
      <c r="A60" s="16" t="s">
        <v>89</v>
      </c>
      <c r="B60" s="16" t="s">
        <v>97</v>
      </c>
      <c r="C60" s="79">
        <v>9990000000</v>
      </c>
      <c r="D60" s="16"/>
      <c r="E60" s="54" t="s">
        <v>29</v>
      </c>
      <c r="F60" s="39">
        <f>F61</f>
        <v>1852.4</v>
      </c>
      <c r="G60" s="39">
        <f>G61</f>
        <v>1836.1000000000001</v>
      </c>
      <c r="H60" s="39">
        <f>H61</f>
        <v>1836.1000000000001</v>
      </c>
    </row>
    <row r="61" spans="1:8" ht="25.5">
      <c r="A61" s="16" t="s">
        <v>89</v>
      </c>
      <c r="B61" s="16" t="s">
        <v>97</v>
      </c>
      <c r="C61" s="79">
        <v>9990022300</v>
      </c>
      <c r="D61" s="21"/>
      <c r="E61" s="99" t="s">
        <v>202</v>
      </c>
      <c r="F61" s="41">
        <f>F62+F63</f>
        <v>1852.4</v>
      </c>
      <c r="G61" s="41">
        <f>G62+G63</f>
        <v>1836.1000000000001</v>
      </c>
      <c r="H61" s="41">
        <f>H62+H63</f>
        <v>1836.1000000000001</v>
      </c>
    </row>
    <row r="62" spans="1:8" ht="38.25">
      <c r="A62" s="16" t="s">
        <v>89</v>
      </c>
      <c r="B62" s="16" t="s">
        <v>97</v>
      </c>
      <c r="C62" s="79">
        <v>9990022300</v>
      </c>
      <c r="D62" s="16" t="s">
        <v>63</v>
      </c>
      <c r="E62" s="99" t="s">
        <v>79</v>
      </c>
      <c r="F62" s="39">
        <f>1668.4+164.2+16.3-109.5+109.5</f>
        <v>1848.9</v>
      </c>
      <c r="G62" s="39">
        <f>1668.4+164.2</f>
        <v>1832.6000000000001</v>
      </c>
      <c r="H62" s="39">
        <f>1668.4+164.2</f>
        <v>1832.6000000000001</v>
      </c>
    </row>
    <row r="63" spans="1:8" ht="38.25">
      <c r="A63" s="16" t="s">
        <v>89</v>
      </c>
      <c r="B63" s="16" t="s">
        <v>97</v>
      </c>
      <c r="C63" s="79">
        <v>9990022300</v>
      </c>
      <c r="D63" s="82" t="s">
        <v>214</v>
      </c>
      <c r="E63" s="98" t="s">
        <v>215</v>
      </c>
      <c r="F63" s="39">
        <v>3.5</v>
      </c>
      <c r="G63" s="39">
        <v>3.5</v>
      </c>
      <c r="H63" s="39">
        <v>3.5</v>
      </c>
    </row>
    <row r="64" spans="1:8" ht="14.25">
      <c r="A64" s="35" t="s">
        <v>89</v>
      </c>
      <c r="B64" s="35" t="s">
        <v>103</v>
      </c>
      <c r="C64" s="35"/>
      <c r="D64" s="35"/>
      <c r="E64" s="27" t="s">
        <v>5</v>
      </c>
      <c r="F64" s="42">
        <f t="shared" ref="F64:H67" si="3">F65</f>
        <v>550</v>
      </c>
      <c r="G64" s="42">
        <f t="shared" si="3"/>
        <v>500</v>
      </c>
      <c r="H64" s="42">
        <f t="shared" si="3"/>
        <v>500</v>
      </c>
    </row>
    <row r="65" spans="1:8" ht="25.5">
      <c r="A65" s="16" t="s">
        <v>89</v>
      </c>
      <c r="B65" s="16" t="s">
        <v>103</v>
      </c>
      <c r="C65" s="79">
        <v>9900000000</v>
      </c>
      <c r="D65" s="16"/>
      <c r="E65" s="55" t="s">
        <v>145</v>
      </c>
      <c r="F65" s="94">
        <f t="shared" si="3"/>
        <v>550</v>
      </c>
      <c r="G65" s="94">
        <f t="shared" si="3"/>
        <v>500</v>
      </c>
      <c r="H65" s="94">
        <f t="shared" si="3"/>
        <v>500</v>
      </c>
    </row>
    <row r="66" spans="1:8" ht="14.25">
      <c r="A66" s="16" t="s">
        <v>89</v>
      </c>
      <c r="B66" s="16" t="s">
        <v>103</v>
      </c>
      <c r="C66" s="79">
        <v>9920000000</v>
      </c>
      <c r="D66" s="35"/>
      <c r="E66" s="126" t="s">
        <v>5</v>
      </c>
      <c r="F66" s="94">
        <f t="shared" si="3"/>
        <v>550</v>
      </c>
      <c r="G66" s="94">
        <f t="shared" si="3"/>
        <v>500</v>
      </c>
      <c r="H66" s="94">
        <f t="shared" si="3"/>
        <v>500</v>
      </c>
    </row>
    <row r="67" spans="1:8" ht="25.5">
      <c r="A67" s="16" t="s">
        <v>89</v>
      </c>
      <c r="B67" s="16" t="s">
        <v>103</v>
      </c>
      <c r="C67" s="79">
        <v>9920026100</v>
      </c>
      <c r="D67" s="21"/>
      <c r="E67" s="99" t="s">
        <v>11</v>
      </c>
      <c r="F67" s="39">
        <f t="shared" si="3"/>
        <v>550</v>
      </c>
      <c r="G67" s="39">
        <f t="shared" si="3"/>
        <v>500</v>
      </c>
      <c r="H67" s="39">
        <f t="shared" si="3"/>
        <v>500</v>
      </c>
    </row>
    <row r="68" spans="1:8">
      <c r="A68" s="16" t="s">
        <v>89</v>
      </c>
      <c r="B68" s="16" t="s">
        <v>103</v>
      </c>
      <c r="C68" s="79">
        <v>9920026100</v>
      </c>
      <c r="D68" s="16" t="s">
        <v>85</v>
      </c>
      <c r="E68" s="98" t="s">
        <v>86</v>
      </c>
      <c r="F68" s="39">
        <f>500+100-50</f>
        <v>550</v>
      </c>
      <c r="G68" s="39">
        <v>500</v>
      </c>
      <c r="H68" s="39">
        <v>500</v>
      </c>
    </row>
    <row r="69" spans="1:8" s="32" customFormat="1" ht="14.25">
      <c r="A69" s="30" t="s">
        <v>89</v>
      </c>
      <c r="B69" s="30" t="s">
        <v>9</v>
      </c>
      <c r="C69" s="33"/>
      <c r="D69" s="33"/>
      <c r="E69" s="45" t="s">
        <v>98</v>
      </c>
      <c r="F69" s="40">
        <f>F70+F81</f>
        <v>66367.199999999997</v>
      </c>
      <c r="G69" s="40">
        <f>G70+G81</f>
        <v>45558.5</v>
      </c>
      <c r="H69" s="40">
        <f>H70+H81</f>
        <v>44120.6</v>
      </c>
    </row>
    <row r="70" spans="1:8" s="32" customFormat="1" ht="89.25">
      <c r="A70" s="16" t="s">
        <v>89</v>
      </c>
      <c r="B70" s="16" t="s">
        <v>9</v>
      </c>
      <c r="C70" s="73" t="s">
        <v>70</v>
      </c>
      <c r="D70" s="16"/>
      <c r="E70" s="143" t="s">
        <v>620</v>
      </c>
      <c r="F70" s="96">
        <f>F71</f>
        <v>27433.9</v>
      </c>
      <c r="G70" s="96">
        <f>G71</f>
        <v>7940</v>
      </c>
      <c r="H70" s="96">
        <f>H71</f>
        <v>7940</v>
      </c>
    </row>
    <row r="71" spans="1:8" s="32" customFormat="1" ht="38.25">
      <c r="A71" s="16" t="s">
        <v>89</v>
      </c>
      <c r="B71" s="16" t="s">
        <v>9</v>
      </c>
      <c r="C71" s="52" t="s">
        <v>71</v>
      </c>
      <c r="D71" s="16"/>
      <c r="E71" s="48" t="s">
        <v>158</v>
      </c>
      <c r="F71" s="93">
        <f>F72+F74+F76+F78</f>
        <v>27433.9</v>
      </c>
      <c r="G71" s="93">
        <f>G72+G74+G76+G78</f>
        <v>7940</v>
      </c>
      <c r="H71" s="93">
        <f>H72+H74+H76+H78</f>
        <v>7940</v>
      </c>
    </row>
    <row r="72" spans="1:8" s="32" customFormat="1" ht="38.25">
      <c r="A72" s="16" t="s">
        <v>89</v>
      </c>
      <c r="B72" s="16" t="s">
        <v>9</v>
      </c>
      <c r="C72" s="82" t="s">
        <v>477</v>
      </c>
      <c r="D72" s="16"/>
      <c r="E72" s="97" t="s">
        <v>159</v>
      </c>
      <c r="F72" s="41">
        <f>F73</f>
        <v>261</v>
      </c>
      <c r="G72" s="41">
        <f>G73</f>
        <v>250</v>
      </c>
      <c r="H72" s="41">
        <f>H73</f>
        <v>250</v>
      </c>
    </row>
    <row r="73" spans="1:8" s="32" customFormat="1" ht="38.25">
      <c r="A73" s="16" t="s">
        <v>89</v>
      </c>
      <c r="B73" s="16" t="s">
        <v>9</v>
      </c>
      <c r="C73" s="82" t="s">
        <v>477</v>
      </c>
      <c r="D73" s="82" t="s">
        <v>214</v>
      </c>
      <c r="E73" s="98" t="s">
        <v>215</v>
      </c>
      <c r="F73" s="41">
        <f>250+40-29</f>
        <v>261</v>
      </c>
      <c r="G73" s="41">
        <v>250</v>
      </c>
      <c r="H73" s="41">
        <v>250</v>
      </c>
    </row>
    <row r="74" spans="1:8" s="32" customFormat="1" ht="51">
      <c r="A74" s="16" t="s">
        <v>89</v>
      </c>
      <c r="B74" s="16" t="s">
        <v>9</v>
      </c>
      <c r="C74" s="136" t="s">
        <v>478</v>
      </c>
      <c r="D74" s="16"/>
      <c r="E74" s="97" t="s">
        <v>160</v>
      </c>
      <c r="F74" s="41">
        <f>F75</f>
        <v>171</v>
      </c>
      <c r="G74" s="41">
        <f>G75</f>
        <v>100</v>
      </c>
      <c r="H74" s="41">
        <f>H75</f>
        <v>100</v>
      </c>
    </row>
    <row r="75" spans="1:8" s="32" customFormat="1" ht="38.25">
      <c r="A75" s="16" t="s">
        <v>89</v>
      </c>
      <c r="B75" s="16" t="s">
        <v>9</v>
      </c>
      <c r="C75" s="136" t="s">
        <v>478</v>
      </c>
      <c r="D75" s="82" t="s">
        <v>214</v>
      </c>
      <c r="E75" s="98" t="s">
        <v>215</v>
      </c>
      <c r="F75" s="41">
        <f>100+29+42</f>
        <v>171</v>
      </c>
      <c r="G75" s="41">
        <v>100</v>
      </c>
      <c r="H75" s="41">
        <v>100</v>
      </c>
    </row>
    <row r="76" spans="1:8" s="32" customFormat="1" ht="76.5">
      <c r="A76" s="16" t="s">
        <v>89</v>
      </c>
      <c r="B76" s="16" t="s">
        <v>9</v>
      </c>
      <c r="C76" s="136" t="s">
        <v>479</v>
      </c>
      <c r="D76" s="16"/>
      <c r="E76" s="97" t="s">
        <v>161</v>
      </c>
      <c r="F76" s="41">
        <f>F77</f>
        <v>324.8</v>
      </c>
      <c r="G76" s="41">
        <f>G77</f>
        <v>100</v>
      </c>
      <c r="H76" s="41">
        <f>H77</f>
        <v>100</v>
      </c>
    </row>
    <row r="77" spans="1:8" s="32" customFormat="1" ht="38.25">
      <c r="A77" s="16" t="s">
        <v>89</v>
      </c>
      <c r="B77" s="16" t="s">
        <v>9</v>
      </c>
      <c r="C77" s="136" t="s">
        <v>479</v>
      </c>
      <c r="D77" s="82" t="s">
        <v>214</v>
      </c>
      <c r="E77" s="98" t="s">
        <v>215</v>
      </c>
      <c r="F77" s="41">
        <f>330-5.2</f>
        <v>324.8</v>
      </c>
      <c r="G77" s="41">
        <v>100</v>
      </c>
      <c r="H77" s="41">
        <v>100</v>
      </c>
    </row>
    <row r="78" spans="1:8" s="32" customFormat="1" ht="38.25">
      <c r="A78" s="16" t="s">
        <v>89</v>
      </c>
      <c r="B78" s="16" t="s">
        <v>9</v>
      </c>
      <c r="C78" s="74">
        <v>310223174</v>
      </c>
      <c r="D78" s="16"/>
      <c r="E78" s="97" t="s">
        <v>162</v>
      </c>
      <c r="F78" s="41">
        <f>SUM(F79:F80)</f>
        <v>26677.100000000002</v>
      </c>
      <c r="G78" s="41">
        <f t="shared" ref="G78:H78" si="4">SUM(G79:G80)</f>
        <v>7490</v>
      </c>
      <c r="H78" s="41">
        <f t="shared" si="4"/>
        <v>7490</v>
      </c>
    </row>
    <row r="79" spans="1:8" s="32" customFormat="1" ht="38.25">
      <c r="A79" s="16" t="s">
        <v>89</v>
      </c>
      <c r="B79" s="16" t="s">
        <v>9</v>
      </c>
      <c r="C79" s="74">
        <v>310223174</v>
      </c>
      <c r="D79" s="82" t="s">
        <v>214</v>
      </c>
      <c r="E79" s="98" t="s">
        <v>215</v>
      </c>
      <c r="F79" s="41">
        <f>9373.3+1497.8+15466.2+97.4+222.5-36.8</f>
        <v>26620.400000000001</v>
      </c>
      <c r="G79" s="41">
        <v>7490</v>
      </c>
      <c r="H79" s="41">
        <v>7490</v>
      </c>
    </row>
    <row r="80" spans="1:8" s="32" customFormat="1" ht="25.5">
      <c r="A80" s="16" t="s">
        <v>89</v>
      </c>
      <c r="B80" s="16" t="s">
        <v>9</v>
      </c>
      <c r="C80" s="74">
        <v>310223174</v>
      </c>
      <c r="D80" s="82" t="s">
        <v>132</v>
      </c>
      <c r="E80" s="98" t="s">
        <v>133</v>
      </c>
      <c r="F80" s="41">
        <f>16.3+40.4</f>
        <v>56.7</v>
      </c>
      <c r="G80" s="41">
        <v>0</v>
      </c>
      <c r="H80" s="41">
        <v>0</v>
      </c>
    </row>
    <row r="81" spans="1:8" s="32" customFormat="1" ht="25.5">
      <c r="A81" s="5" t="s">
        <v>89</v>
      </c>
      <c r="B81" s="5" t="s">
        <v>9</v>
      </c>
      <c r="C81" s="83">
        <v>9900000000</v>
      </c>
      <c r="D81" s="5"/>
      <c r="E81" s="84" t="s">
        <v>145</v>
      </c>
      <c r="F81" s="96">
        <f>F82+F91+F86</f>
        <v>38933.299999999996</v>
      </c>
      <c r="G81" s="96">
        <f>G82+G91+G86</f>
        <v>37618.5</v>
      </c>
      <c r="H81" s="96">
        <f>H82+H91+H86</f>
        <v>36180.6</v>
      </c>
    </row>
    <row r="82" spans="1:8" s="32" customFormat="1" ht="25.5">
      <c r="A82" s="16" t="s">
        <v>89</v>
      </c>
      <c r="B82" s="16" t="s">
        <v>9</v>
      </c>
      <c r="C82" s="79">
        <v>9930000000</v>
      </c>
      <c r="D82" s="16"/>
      <c r="E82" s="22" t="s">
        <v>41</v>
      </c>
      <c r="F82" s="39">
        <f>F83</f>
        <v>239.6</v>
      </c>
      <c r="G82" s="39">
        <f>G83</f>
        <v>241.6</v>
      </c>
      <c r="H82" s="39">
        <f>H83</f>
        <v>243.7</v>
      </c>
    </row>
    <row r="83" spans="1:8" s="32" customFormat="1" ht="38.25" customHeight="1">
      <c r="A83" s="16" t="s">
        <v>89</v>
      </c>
      <c r="B83" s="16" t="s">
        <v>9</v>
      </c>
      <c r="C83" s="79">
        <v>9930010540</v>
      </c>
      <c r="D83" s="16"/>
      <c r="E83" s="22" t="s">
        <v>16</v>
      </c>
      <c r="F83" s="39">
        <f>F84+F85</f>
        <v>239.6</v>
      </c>
      <c r="G83" s="39">
        <f>G84+G85</f>
        <v>241.6</v>
      </c>
      <c r="H83" s="39">
        <f>H84+H85</f>
        <v>243.7</v>
      </c>
    </row>
    <row r="84" spans="1:8" s="32" customFormat="1" ht="38.25">
      <c r="A84" s="16" t="s">
        <v>89</v>
      </c>
      <c r="B84" s="16" t="s">
        <v>9</v>
      </c>
      <c r="C84" s="79">
        <v>9930010540</v>
      </c>
      <c r="D84" s="16" t="s">
        <v>63</v>
      </c>
      <c r="E84" s="102" t="s">
        <v>64</v>
      </c>
      <c r="F84" s="39">
        <v>217.7</v>
      </c>
      <c r="G84" s="39">
        <v>217.7</v>
      </c>
      <c r="H84" s="39">
        <v>217.7</v>
      </c>
    </row>
    <row r="85" spans="1:8" s="32" customFormat="1" ht="38.25">
      <c r="A85" s="16" t="s">
        <v>89</v>
      </c>
      <c r="B85" s="16" t="s">
        <v>9</v>
      </c>
      <c r="C85" s="79">
        <v>9930010540</v>
      </c>
      <c r="D85" s="82" t="s">
        <v>214</v>
      </c>
      <c r="E85" s="98" t="s">
        <v>215</v>
      </c>
      <c r="F85" s="39">
        <v>21.9</v>
      </c>
      <c r="G85" s="39">
        <v>23.9</v>
      </c>
      <c r="H85" s="39">
        <v>26</v>
      </c>
    </row>
    <row r="86" spans="1:8" s="32" customFormat="1" ht="38.25">
      <c r="A86" s="16" t="s">
        <v>89</v>
      </c>
      <c r="B86" s="16" t="s">
        <v>9</v>
      </c>
      <c r="C86" s="16" t="s">
        <v>25</v>
      </c>
      <c r="D86" s="16"/>
      <c r="E86" s="99" t="s">
        <v>39</v>
      </c>
      <c r="F86" s="39">
        <f>F87</f>
        <v>2983.7</v>
      </c>
      <c r="G86" s="39">
        <f>G87</f>
        <v>1270</v>
      </c>
      <c r="H86" s="39">
        <f>H87</f>
        <v>1270</v>
      </c>
    </row>
    <row r="87" spans="1:8" s="32" customFormat="1" ht="25.5">
      <c r="A87" s="16" t="s">
        <v>89</v>
      </c>
      <c r="B87" s="16" t="s">
        <v>9</v>
      </c>
      <c r="C87" s="82" t="s">
        <v>574</v>
      </c>
      <c r="D87" s="16"/>
      <c r="E87" s="99" t="s">
        <v>40</v>
      </c>
      <c r="F87" s="39">
        <f>SUM(F88:F90)</f>
        <v>2983.7</v>
      </c>
      <c r="G87" s="39">
        <f>SUM(G88:G90)</f>
        <v>1270</v>
      </c>
      <c r="H87" s="39">
        <f>SUM(H88:H90)</f>
        <v>1270</v>
      </c>
    </row>
    <row r="88" spans="1:8" s="32" customFormat="1" ht="38.25">
      <c r="A88" s="16" t="s">
        <v>89</v>
      </c>
      <c r="B88" s="16" t="s">
        <v>9</v>
      </c>
      <c r="C88" s="82" t="s">
        <v>574</v>
      </c>
      <c r="D88" s="82" t="s">
        <v>214</v>
      </c>
      <c r="E88" s="98" t="s">
        <v>215</v>
      </c>
      <c r="F88" s="39">
        <f>242+70</f>
        <v>312</v>
      </c>
      <c r="G88" s="39">
        <v>242</v>
      </c>
      <c r="H88" s="39">
        <v>242</v>
      </c>
    </row>
    <row r="89" spans="1:8" s="32" customFormat="1" ht="14.25">
      <c r="A89" s="16" t="s">
        <v>89</v>
      </c>
      <c r="B89" s="16" t="s">
        <v>9</v>
      </c>
      <c r="C89" s="82" t="s">
        <v>574</v>
      </c>
      <c r="D89" s="16" t="s">
        <v>82</v>
      </c>
      <c r="E89" s="98" t="s">
        <v>83</v>
      </c>
      <c r="F89" s="39">
        <v>426</v>
      </c>
      <c r="G89" s="39">
        <v>426</v>
      </c>
      <c r="H89" s="39">
        <v>426</v>
      </c>
    </row>
    <row r="90" spans="1:8" s="32" customFormat="1" ht="25.5">
      <c r="A90" s="16" t="s">
        <v>89</v>
      </c>
      <c r="B90" s="16" t="s">
        <v>9</v>
      </c>
      <c r="C90" s="82" t="s">
        <v>574</v>
      </c>
      <c r="D90" s="82" t="s">
        <v>132</v>
      </c>
      <c r="E90" s="98" t="s">
        <v>133</v>
      </c>
      <c r="F90" s="39">
        <f>602+893.7+210+90+100+350</f>
        <v>2245.6999999999998</v>
      </c>
      <c r="G90" s="39">
        <v>602</v>
      </c>
      <c r="H90" s="39">
        <v>602</v>
      </c>
    </row>
    <row r="91" spans="1:8" s="32" customFormat="1" ht="25.5" customHeight="1">
      <c r="A91" s="16" t="s">
        <v>89</v>
      </c>
      <c r="B91" s="16" t="s">
        <v>9</v>
      </c>
      <c r="C91" s="82" t="s">
        <v>196</v>
      </c>
      <c r="D91" s="16"/>
      <c r="E91" s="99" t="s">
        <v>197</v>
      </c>
      <c r="F91" s="39">
        <f>F92+F95</f>
        <v>35710</v>
      </c>
      <c r="G91" s="39">
        <f>G92+G95</f>
        <v>36106.9</v>
      </c>
      <c r="H91" s="39">
        <f>H92+H95</f>
        <v>34666.9</v>
      </c>
    </row>
    <row r="92" spans="1:8" s="32" customFormat="1" ht="38.25">
      <c r="A92" s="16" t="s">
        <v>89</v>
      </c>
      <c r="B92" s="16" t="s">
        <v>9</v>
      </c>
      <c r="C92" s="21" t="s">
        <v>576</v>
      </c>
      <c r="D92" s="47"/>
      <c r="E92" s="54" t="s">
        <v>289</v>
      </c>
      <c r="F92" s="41">
        <f>SUM(F93:F94)</f>
        <v>9871</v>
      </c>
      <c r="G92" s="41">
        <f>SUM(G93:G94)</f>
        <v>9871.1</v>
      </c>
      <c r="H92" s="41">
        <f>SUM(H93:H94)</f>
        <v>9871.1</v>
      </c>
    </row>
    <row r="93" spans="1:8" s="32" customFormat="1" ht="25.5">
      <c r="A93" s="16" t="s">
        <v>89</v>
      </c>
      <c r="B93" s="16" t="s">
        <v>9</v>
      </c>
      <c r="C93" s="21" t="s">
        <v>576</v>
      </c>
      <c r="D93" s="16" t="s">
        <v>65</v>
      </c>
      <c r="E93" s="102" t="s">
        <v>131</v>
      </c>
      <c r="F93" s="41">
        <f>8277.8+830.1</f>
        <v>9107.9</v>
      </c>
      <c r="G93" s="41">
        <f>8277.8+830.2</f>
        <v>9108</v>
      </c>
      <c r="H93" s="41">
        <f>8277.8+830.2</f>
        <v>9108</v>
      </c>
    </row>
    <row r="94" spans="1:8" s="32" customFormat="1" ht="38.25">
      <c r="A94" s="16" t="s">
        <v>89</v>
      </c>
      <c r="B94" s="16" t="s">
        <v>9</v>
      </c>
      <c r="C94" s="21" t="s">
        <v>576</v>
      </c>
      <c r="D94" s="82" t="s">
        <v>214</v>
      </c>
      <c r="E94" s="98" t="s">
        <v>215</v>
      </c>
      <c r="F94" s="41">
        <v>763.1</v>
      </c>
      <c r="G94" s="41">
        <v>763.1</v>
      </c>
      <c r="H94" s="41">
        <v>763.1</v>
      </c>
    </row>
    <row r="95" spans="1:8" s="32" customFormat="1" ht="54.75" customHeight="1">
      <c r="A95" s="16" t="s">
        <v>89</v>
      </c>
      <c r="B95" s="16" t="s">
        <v>9</v>
      </c>
      <c r="C95" s="21" t="s">
        <v>578</v>
      </c>
      <c r="D95" s="47"/>
      <c r="E95" s="54" t="s">
        <v>577</v>
      </c>
      <c r="F95" s="41">
        <f>SUM(F96:F98)</f>
        <v>25838.999999999996</v>
      </c>
      <c r="G95" s="41">
        <f>SUM(G96:G98)</f>
        <v>26235.8</v>
      </c>
      <c r="H95" s="41">
        <f>SUM(H96:H98)</f>
        <v>24795.8</v>
      </c>
    </row>
    <row r="96" spans="1:8" s="32" customFormat="1" ht="25.5">
      <c r="A96" s="16" t="s">
        <v>89</v>
      </c>
      <c r="B96" s="16" t="s">
        <v>9</v>
      </c>
      <c r="C96" s="21" t="s">
        <v>578</v>
      </c>
      <c r="D96" s="16" t="s">
        <v>65</v>
      </c>
      <c r="E96" s="102" t="s">
        <v>131</v>
      </c>
      <c r="F96" s="41">
        <f>9754.4+975.4-235</f>
        <v>10494.8</v>
      </c>
      <c r="G96" s="41">
        <f>9754.4+975.4</f>
        <v>10729.8</v>
      </c>
      <c r="H96" s="41">
        <f>9754.4+975.4</f>
        <v>10729.8</v>
      </c>
    </row>
    <row r="97" spans="1:8" s="32" customFormat="1" ht="38.25">
      <c r="A97" s="16" t="s">
        <v>89</v>
      </c>
      <c r="B97" s="16" t="s">
        <v>9</v>
      </c>
      <c r="C97" s="21" t="s">
        <v>578</v>
      </c>
      <c r="D97" s="82" t="s">
        <v>214</v>
      </c>
      <c r="E97" s="98" t="s">
        <v>215</v>
      </c>
      <c r="F97" s="41">
        <v>15223.4</v>
      </c>
      <c r="G97" s="41">
        <v>15385.2</v>
      </c>
      <c r="H97" s="41">
        <v>13945.2</v>
      </c>
    </row>
    <row r="98" spans="1:8" s="32" customFormat="1" ht="25.5">
      <c r="A98" s="16" t="s">
        <v>89</v>
      </c>
      <c r="B98" s="16" t="s">
        <v>9</v>
      </c>
      <c r="C98" s="21" t="s">
        <v>578</v>
      </c>
      <c r="D98" s="82" t="s">
        <v>132</v>
      </c>
      <c r="E98" s="98" t="s">
        <v>133</v>
      </c>
      <c r="F98" s="107">
        <v>120.8</v>
      </c>
      <c r="G98" s="107">
        <v>120.8</v>
      </c>
      <c r="H98" s="107">
        <v>120.8</v>
      </c>
    </row>
    <row r="99" spans="1:8" ht="45">
      <c r="A99" s="4" t="s">
        <v>94</v>
      </c>
      <c r="B99" s="3"/>
      <c r="C99" s="3"/>
      <c r="D99" s="3"/>
      <c r="E99" s="49" t="s">
        <v>99</v>
      </c>
      <c r="F99" s="92">
        <f>F100+F106+F132</f>
        <v>9582.2999999999993</v>
      </c>
      <c r="G99" s="92">
        <f>G100+G106+G132</f>
        <v>8813.6</v>
      </c>
      <c r="H99" s="92">
        <f>H100+H106+H132</f>
        <v>8843</v>
      </c>
    </row>
    <row r="100" spans="1:8" ht="15">
      <c r="A100" s="28" t="s">
        <v>94</v>
      </c>
      <c r="B100" s="28" t="s">
        <v>95</v>
      </c>
      <c r="C100" s="28"/>
      <c r="D100" s="34"/>
      <c r="E100" s="46" t="s">
        <v>18</v>
      </c>
      <c r="F100" s="40">
        <f>F103</f>
        <v>1202</v>
      </c>
      <c r="G100" s="40">
        <f>G103</f>
        <v>1268.1000000000001</v>
      </c>
      <c r="H100" s="40">
        <f>H103</f>
        <v>1268.1000000000001</v>
      </c>
    </row>
    <row r="101" spans="1:8" ht="25.5">
      <c r="A101" s="16" t="s">
        <v>94</v>
      </c>
      <c r="B101" s="16" t="s">
        <v>95</v>
      </c>
      <c r="C101" s="79">
        <v>9900000000</v>
      </c>
      <c r="D101" s="34"/>
      <c r="E101" s="55" t="s">
        <v>145</v>
      </c>
      <c r="F101" s="41">
        <f t="shared" ref="F101:H102" si="5">F102</f>
        <v>1202</v>
      </c>
      <c r="G101" s="41">
        <f t="shared" si="5"/>
        <v>1268.1000000000001</v>
      </c>
      <c r="H101" s="41">
        <f t="shared" si="5"/>
        <v>1268.1000000000001</v>
      </c>
    </row>
    <row r="102" spans="1:8" ht="25.5">
      <c r="A102" s="16" t="s">
        <v>94</v>
      </c>
      <c r="B102" s="16" t="s">
        <v>95</v>
      </c>
      <c r="C102" s="79">
        <v>9930000000</v>
      </c>
      <c r="D102" s="16"/>
      <c r="E102" s="22" t="s">
        <v>41</v>
      </c>
      <c r="F102" s="41">
        <f t="shared" si="5"/>
        <v>1202</v>
      </c>
      <c r="G102" s="41">
        <f t="shared" si="5"/>
        <v>1268.1000000000001</v>
      </c>
      <c r="H102" s="41">
        <f t="shared" si="5"/>
        <v>1268.1000000000001</v>
      </c>
    </row>
    <row r="103" spans="1:8" ht="51">
      <c r="A103" s="16" t="s">
        <v>94</v>
      </c>
      <c r="B103" s="16" t="s">
        <v>95</v>
      </c>
      <c r="C103" s="79">
        <v>9930059302</v>
      </c>
      <c r="D103" s="16"/>
      <c r="E103" s="99" t="s">
        <v>373</v>
      </c>
      <c r="F103" s="39">
        <f>SUM(F104:F105)</f>
        <v>1202</v>
      </c>
      <c r="G103" s="39">
        <f>SUM(G104:G105)</f>
        <v>1268.1000000000001</v>
      </c>
      <c r="H103" s="39">
        <f>SUM(H104:H105)</f>
        <v>1268.1000000000001</v>
      </c>
    </row>
    <row r="104" spans="1:8" ht="38.25">
      <c r="A104" s="16" t="s">
        <v>94</v>
      </c>
      <c r="B104" s="16" t="s">
        <v>95</v>
      </c>
      <c r="C104" s="79">
        <v>9930059302</v>
      </c>
      <c r="D104" s="16" t="s">
        <v>63</v>
      </c>
      <c r="E104" s="55" t="s">
        <v>64</v>
      </c>
      <c r="F104" s="39">
        <v>1136.9000000000001</v>
      </c>
      <c r="G104" s="39">
        <v>1136.9000000000001</v>
      </c>
      <c r="H104" s="39">
        <v>1136.9000000000001</v>
      </c>
    </row>
    <row r="105" spans="1:8" ht="38.25">
      <c r="A105" s="16" t="s">
        <v>94</v>
      </c>
      <c r="B105" s="16" t="s">
        <v>95</v>
      </c>
      <c r="C105" s="79">
        <v>9930059302</v>
      </c>
      <c r="D105" s="82" t="s">
        <v>214</v>
      </c>
      <c r="E105" s="98" t="s">
        <v>215</v>
      </c>
      <c r="F105" s="39">
        <v>65.099999999999994</v>
      </c>
      <c r="G105" s="39">
        <v>131.19999999999999</v>
      </c>
      <c r="H105" s="39">
        <v>131.19999999999999</v>
      </c>
    </row>
    <row r="106" spans="1:8" s="32" customFormat="1" ht="51.75">
      <c r="A106" s="28" t="s">
        <v>94</v>
      </c>
      <c r="B106" s="28" t="s">
        <v>111</v>
      </c>
      <c r="C106" s="28"/>
      <c r="D106" s="34"/>
      <c r="E106" s="48" t="s">
        <v>385</v>
      </c>
      <c r="F106" s="40">
        <f>F107+F127</f>
        <v>8346.2999999999993</v>
      </c>
      <c r="G106" s="40">
        <f>G107+G127</f>
        <v>7511.5</v>
      </c>
      <c r="H106" s="40">
        <f>H107+H127</f>
        <v>7511.5</v>
      </c>
    </row>
    <row r="107" spans="1:8" s="32" customFormat="1" ht="90">
      <c r="A107" s="21" t="s">
        <v>94</v>
      </c>
      <c r="B107" s="21" t="s">
        <v>111</v>
      </c>
      <c r="C107" s="73" t="s">
        <v>51</v>
      </c>
      <c r="D107" s="16"/>
      <c r="E107" s="64" t="s">
        <v>627</v>
      </c>
      <c r="F107" s="59">
        <f>F108+F113+F117+F122</f>
        <v>2334.7999999999997</v>
      </c>
      <c r="G107" s="59">
        <f>G108+G113+G117+G122</f>
        <v>1500</v>
      </c>
      <c r="H107" s="59">
        <f>H108+H113+H117+H122</f>
        <v>1500</v>
      </c>
    </row>
    <row r="108" spans="1:8" s="32" customFormat="1" ht="63.75">
      <c r="A108" s="21" t="s">
        <v>94</v>
      </c>
      <c r="B108" s="21" t="s">
        <v>111</v>
      </c>
      <c r="C108" s="52" t="s">
        <v>52</v>
      </c>
      <c r="D108" s="16"/>
      <c r="E108" s="48" t="s">
        <v>205</v>
      </c>
      <c r="F108" s="93">
        <f>F109+F111</f>
        <v>337.4</v>
      </c>
      <c r="G108" s="93">
        <f>G109+G111</f>
        <v>80</v>
      </c>
      <c r="H108" s="93">
        <f>H109+H111</f>
        <v>80</v>
      </c>
    </row>
    <row r="109" spans="1:8" s="32" customFormat="1" ht="38.25">
      <c r="A109" s="21" t="s">
        <v>94</v>
      </c>
      <c r="B109" s="21" t="s">
        <v>111</v>
      </c>
      <c r="C109" s="74">
        <v>1110123305</v>
      </c>
      <c r="D109" s="16"/>
      <c r="E109" s="99" t="s">
        <v>220</v>
      </c>
      <c r="F109" s="39">
        <f>F110</f>
        <v>297.39999999999998</v>
      </c>
      <c r="G109" s="39">
        <f>G110</f>
        <v>40</v>
      </c>
      <c r="H109" s="39">
        <f>H110</f>
        <v>40</v>
      </c>
    </row>
    <row r="110" spans="1:8" s="32" customFormat="1" ht="38.25">
      <c r="A110" s="21" t="s">
        <v>94</v>
      </c>
      <c r="B110" s="21" t="s">
        <v>111</v>
      </c>
      <c r="C110" s="74">
        <v>1110123305</v>
      </c>
      <c r="D110" s="82" t="s">
        <v>214</v>
      </c>
      <c r="E110" s="98" t="s">
        <v>215</v>
      </c>
      <c r="F110" s="39">
        <v>297.39999999999998</v>
      </c>
      <c r="G110" s="39">
        <v>40</v>
      </c>
      <c r="H110" s="39">
        <v>40</v>
      </c>
    </row>
    <row r="111" spans="1:8" s="32" customFormat="1" ht="50.25" customHeight="1">
      <c r="A111" s="21" t="s">
        <v>94</v>
      </c>
      <c r="B111" s="21" t="s">
        <v>111</v>
      </c>
      <c r="C111" s="74">
        <v>1110123310</v>
      </c>
      <c r="D111" s="16"/>
      <c r="E111" s="99" t="s">
        <v>208</v>
      </c>
      <c r="F111" s="41">
        <f>F112</f>
        <v>40</v>
      </c>
      <c r="G111" s="41">
        <f>G112</f>
        <v>40</v>
      </c>
      <c r="H111" s="41">
        <f>H112</f>
        <v>40</v>
      </c>
    </row>
    <row r="112" spans="1:8" s="32" customFormat="1" ht="38.25">
      <c r="A112" s="21" t="s">
        <v>94</v>
      </c>
      <c r="B112" s="21" t="s">
        <v>111</v>
      </c>
      <c r="C112" s="74">
        <v>1110123310</v>
      </c>
      <c r="D112" s="82" t="s">
        <v>214</v>
      </c>
      <c r="E112" s="98" t="s">
        <v>215</v>
      </c>
      <c r="F112" s="41">
        <v>40</v>
      </c>
      <c r="G112" s="41">
        <v>40</v>
      </c>
      <c r="H112" s="41">
        <v>40</v>
      </c>
    </row>
    <row r="113" spans="1:8" s="32" customFormat="1" ht="38.25">
      <c r="A113" s="21" t="s">
        <v>94</v>
      </c>
      <c r="B113" s="21" t="s">
        <v>111</v>
      </c>
      <c r="C113" s="52" t="s">
        <v>53</v>
      </c>
      <c r="D113" s="16"/>
      <c r="E113" s="48" t="s">
        <v>201</v>
      </c>
      <c r="F113" s="93">
        <f>F114</f>
        <v>1972.3999999999999</v>
      </c>
      <c r="G113" s="93">
        <f>G114</f>
        <v>1400</v>
      </c>
      <c r="H113" s="93">
        <f>H114</f>
        <v>1400</v>
      </c>
    </row>
    <row r="114" spans="1:8" s="32" customFormat="1" ht="38.25">
      <c r="A114" s="21" t="s">
        <v>94</v>
      </c>
      <c r="B114" s="21" t="s">
        <v>111</v>
      </c>
      <c r="C114" s="74">
        <v>1120123315</v>
      </c>
      <c r="D114" s="16"/>
      <c r="E114" s="98" t="s">
        <v>542</v>
      </c>
      <c r="F114" s="41">
        <f>SUM(F115:F116)</f>
        <v>1972.3999999999999</v>
      </c>
      <c r="G114" s="41">
        <f>SUM(G115:G116)</f>
        <v>1400</v>
      </c>
      <c r="H114" s="41">
        <f>SUM(H115:H116)</f>
        <v>1400</v>
      </c>
    </row>
    <row r="115" spans="1:8" s="32" customFormat="1" ht="25.5">
      <c r="A115" s="21" t="s">
        <v>94</v>
      </c>
      <c r="B115" s="21" t="s">
        <v>111</v>
      </c>
      <c r="C115" s="74">
        <v>1120123315</v>
      </c>
      <c r="D115" s="82" t="s">
        <v>65</v>
      </c>
      <c r="E115" s="55" t="s">
        <v>131</v>
      </c>
      <c r="F115" s="41">
        <v>118.1</v>
      </c>
      <c r="G115" s="41">
        <v>51.2</v>
      </c>
      <c r="H115" s="41">
        <v>51.2</v>
      </c>
    </row>
    <row r="116" spans="1:8" s="32" customFormat="1" ht="38.25">
      <c r="A116" s="21" t="s">
        <v>94</v>
      </c>
      <c r="B116" s="21" t="s">
        <v>111</v>
      </c>
      <c r="C116" s="74">
        <v>1120123315</v>
      </c>
      <c r="D116" s="82" t="s">
        <v>214</v>
      </c>
      <c r="E116" s="98" t="s">
        <v>215</v>
      </c>
      <c r="F116" s="41">
        <v>1854.3</v>
      </c>
      <c r="G116" s="41">
        <v>1348.8</v>
      </c>
      <c r="H116" s="41">
        <v>1348.8</v>
      </c>
    </row>
    <row r="117" spans="1:8" s="32" customFormat="1" ht="51">
      <c r="A117" s="21" t="s">
        <v>94</v>
      </c>
      <c r="B117" s="21" t="s">
        <v>111</v>
      </c>
      <c r="C117" s="52" t="s">
        <v>54</v>
      </c>
      <c r="D117" s="16"/>
      <c r="E117" s="48" t="s">
        <v>255</v>
      </c>
      <c r="F117" s="93">
        <f>F118+F120</f>
        <v>10</v>
      </c>
      <c r="G117" s="93">
        <f>G118+G120</f>
        <v>5</v>
      </c>
      <c r="H117" s="93">
        <f>H118+H120</f>
        <v>5</v>
      </c>
    </row>
    <row r="118" spans="1:8" s="32" customFormat="1" ht="25.5">
      <c r="A118" s="21" t="s">
        <v>94</v>
      </c>
      <c r="B118" s="21" t="s">
        <v>111</v>
      </c>
      <c r="C118" s="74">
        <v>1130123320</v>
      </c>
      <c r="D118" s="16"/>
      <c r="E118" s="98" t="s">
        <v>256</v>
      </c>
      <c r="F118" s="41">
        <f>F119</f>
        <v>6.8</v>
      </c>
      <c r="G118" s="41">
        <f>G119</f>
        <v>4</v>
      </c>
      <c r="H118" s="41">
        <f>H119</f>
        <v>4</v>
      </c>
    </row>
    <row r="119" spans="1:8" s="32" customFormat="1" ht="38.25">
      <c r="A119" s="21" t="s">
        <v>94</v>
      </c>
      <c r="B119" s="21" t="s">
        <v>111</v>
      </c>
      <c r="C119" s="74">
        <v>1130123320</v>
      </c>
      <c r="D119" s="82" t="s">
        <v>214</v>
      </c>
      <c r="E119" s="98" t="s">
        <v>215</v>
      </c>
      <c r="F119" s="41">
        <f>8-1.2</f>
        <v>6.8</v>
      </c>
      <c r="G119" s="41">
        <v>4</v>
      </c>
      <c r="H119" s="41">
        <v>4</v>
      </c>
    </row>
    <row r="120" spans="1:8" s="32" customFormat="1" ht="38.25">
      <c r="A120" s="21" t="s">
        <v>94</v>
      </c>
      <c r="B120" s="21" t="s">
        <v>111</v>
      </c>
      <c r="C120" s="74">
        <v>1130123325</v>
      </c>
      <c r="D120" s="16"/>
      <c r="E120" s="98" t="s">
        <v>224</v>
      </c>
      <c r="F120" s="41">
        <f>F121</f>
        <v>3.2</v>
      </c>
      <c r="G120" s="41">
        <f>G121</f>
        <v>1</v>
      </c>
      <c r="H120" s="41">
        <f>H121</f>
        <v>1</v>
      </c>
    </row>
    <row r="121" spans="1:8" s="32" customFormat="1" ht="38.25">
      <c r="A121" s="21" t="s">
        <v>94</v>
      </c>
      <c r="B121" s="21" t="s">
        <v>111</v>
      </c>
      <c r="C121" s="74">
        <v>1130123325</v>
      </c>
      <c r="D121" s="82" t="s">
        <v>214</v>
      </c>
      <c r="E121" s="98" t="s">
        <v>215</v>
      </c>
      <c r="F121" s="41">
        <f>2+1.2</f>
        <v>3.2</v>
      </c>
      <c r="G121" s="41">
        <v>1</v>
      </c>
      <c r="H121" s="41">
        <v>1</v>
      </c>
    </row>
    <row r="122" spans="1:8" s="32" customFormat="1" ht="63.75">
      <c r="A122" s="21" t="s">
        <v>94</v>
      </c>
      <c r="B122" s="21" t="s">
        <v>111</v>
      </c>
      <c r="C122" s="52" t="s">
        <v>55</v>
      </c>
      <c r="D122" s="16"/>
      <c r="E122" s="48" t="s">
        <v>206</v>
      </c>
      <c r="F122" s="93">
        <f>F123+F125</f>
        <v>15</v>
      </c>
      <c r="G122" s="93">
        <f>G123+G125</f>
        <v>15</v>
      </c>
      <c r="H122" s="93">
        <f>H123+H125</f>
        <v>15</v>
      </c>
    </row>
    <row r="123" spans="1:8" s="32" customFormat="1" ht="25.5">
      <c r="A123" s="21" t="s">
        <v>94</v>
      </c>
      <c r="B123" s="21" t="s">
        <v>111</v>
      </c>
      <c r="C123" s="74">
        <v>1140123330</v>
      </c>
      <c r="D123" s="16"/>
      <c r="E123" s="98" t="s">
        <v>195</v>
      </c>
      <c r="F123" s="41">
        <f>F124</f>
        <v>12</v>
      </c>
      <c r="G123" s="41">
        <f>G124</f>
        <v>12</v>
      </c>
      <c r="H123" s="41">
        <f>H124</f>
        <v>12</v>
      </c>
    </row>
    <row r="124" spans="1:8" s="32" customFormat="1" ht="38.25">
      <c r="A124" s="21" t="s">
        <v>94</v>
      </c>
      <c r="B124" s="21" t="s">
        <v>111</v>
      </c>
      <c r="C124" s="74">
        <v>1140123330</v>
      </c>
      <c r="D124" s="82" t="s">
        <v>214</v>
      </c>
      <c r="E124" s="98" t="s">
        <v>215</v>
      </c>
      <c r="F124" s="41">
        <v>12</v>
      </c>
      <c r="G124" s="41">
        <v>12</v>
      </c>
      <c r="H124" s="41">
        <v>12</v>
      </c>
    </row>
    <row r="125" spans="1:8" s="32" customFormat="1" ht="38.25">
      <c r="A125" s="21" t="s">
        <v>94</v>
      </c>
      <c r="B125" s="21" t="s">
        <v>111</v>
      </c>
      <c r="C125" s="74">
        <v>1140123335</v>
      </c>
      <c r="D125" s="16"/>
      <c r="E125" s="98" t="s">
        <v>226</v>
      </c>
      <c r="F125" s="41">
        <f>F126</f>
        <v>3</v>
      </c>
      <c r="G125" s="41">
        <f>G126</f>
        <v>3</v>
      </c>
      <c r="H125" s="41">
        <f>H126</f>
        <v>3</v>
      </c>
    </row>
    <row r="126" spans="1:8" s="32" customFormat="1" ht="38.25">
      <c r="A126" s="21" t="s">
        <v>94</v>
      </c>
      <c r="B126" s="21" t="s">
        <v>111</v>
      </c>
      <c r="C126" s="74">
        <v>1140123335</v>
      </c>
      <c r="D126" s="82" t="s">
        <v>214</v>
      </c>
      <c r="E126" s="98" t="s">
        <v>215</v>
      </c>
      <c r="F126" s="41">
        <v>3</v>
      </c>
      <c r="G126" s="41">
        <v>3</v>
      </c>
      <c r="H126" s="41">
        <v>3</v>
      </c>
    </row>
    <row r="127" spans="1:8" s="32" customFormat="1" ht="25.5">
      <c r="A127" s="81" t="s">
        <v>94</v>
      </c>
      <c r="B127" s="81" t="s">
        <v>111</v>
      </c>
      <c r="C127" s="73" t="s">
        <v>196</v>
      </c>
      <c r="D127" s="33"/>
      <c r="E127" s="84" t="s">
        <v>145</v>
      </c>
      <c r="F127" s="61">
        <f>F128</f>
        <v>6011.5</v>
      </c>
      <c r="G127" s="61">
        <f>G128</f>
        <v>6011.5</v>
      </c>
      <c r="H127" s="61">
        <f>H128</f>
        <v>6011.5</v>
      </c>
    </row>
    <row r="128" spans="1:8" s="32" customFormat="1" ht="63.75">
      <c r="A128" s="21" t="s">
        <v>94</v>
      </c>
      <c r="B128" s="21" t="s">
        <v>111</v>
      </c>
      <c r="C128" s="21" t="s">
        <v>575</v>
      </c>
      <c r="D128" s="47"/>
      <c r="E128" s="54" t="s">
        <v>579</v>
      </c>
      <c r="F128" s="41">
        <f>SUM(F129:F131)</f>
        <v>6011.5</v>
      </c>
      <c r="G128" s="41">
        <f>SUM(G129:G131)</f>
        <v>6011.5</v>
      </c>
      <c r="H128" s="41">
        <f>SUM(H129:H131)</f>
        <v>6011.5</v>
      </c>
    </row>
    <row r="129" spans="1:8" s="32" customFormat="1" ht="25.5">
      <c r="A129" s="21" t="s">
        <v>94</v>
      </c>
      <c r="B129" s="21" t="s">
        <v>111</v>
      </c>
      <c r="C129" s="21" t="s">
        <v>575</v>
      </c>
      <c r="D129" s="16" t="s">
        <v>65</v>
      </c>
      <c r="E129" s="102" t="s">
        <v>131</v>
      </c>
      <c r="F129" s="41">
        <f>4638.4+525</f>
        <v>5163.3999999999996</v>
      </c>
      <c r="G129" s="41">
        <f>4638.4+525</f>
        <v>5163.3999999999996</v>
      </c>
      <c r="H129" s="41">
        <f>4638.4+525</f>
        <v>5163.3999999999996</v>
      </c>
    </row>
    <row r="130" spans="1:8" s="32" customFormat="1" ht="38.25">
      <c r="A130" s="21" t="s">
        <v>94</v>
      </c>
      <c r="B130" s="21" t="s">
        <v>111</v>
      </c>
      <c r="C130" s="21" t="s">
        <v>575</v>
      </c>
      <c r="D130" s="82" t="s">
        <v>214</v>
      </c>
      <c r="E130" s="98" t="s">
        <v>215</v>
      </c>
      <c r="F130" s="41">
        <v>843.1</v>
      </c>
      <c r="G130" s="41">
        <v>843.1</v>
      </c>
      <c r="H130" s="41">
        <v>843.1</v>
      </c>
    </row>
    <row r="131" spans="1:8" s="32" customFormat="1" ht="25.5">
      <c r="A131" s="21" t="s">
        <v>94</v>
      </c>
      <c r="B131" s="21" t="s">
        <v>111</v>
      </c>
      <c r="C131" s="21" t="s">
        <v>575</v>
      </c>
      <c r="D131" s="82" t="s">
        <v>132</v>
      </c>
      <c r="E131" s="98" t="s">
        <v>133</v>
      </c>
      <c r="F131" s="41">
        <v>5</v>
      </c>
      <c r="G131" s="41">
        <v>5</v>
      </c>
      <c r="H131" s="41">
        <v>5</v>
      </c>
    </row>
    <row r="132" spans="1:8" s="32" customFormat="1" ht="39">
      <c r="A132" s="28" t="s">
        <v>94</v>
      </c>
      <c r="B132" s="28" t="s">
        <v>122</v>
      </c>
      <c r="C132" s="28"/>
      <c r="D132" s="34"/>
      <c r="E132" s="46" t="s">
        <v>22</v>
      </c>
      <c r="F132" s="40">
        <f>F133+F137</f>
        <v>34</v>
      </c>
      <c r="G132" s="40">
        <f>G133+G137</f>
        <v>34</v>
      </c>
      <c r="H132" s="40">
        <f>H133+H137</f>
        <v>63.4</v>
      </c>
    </row>
    <row r="133" spans="1:8" s="32" customFormat="1" ht="89.25">
      <c r="A133" s="73" t="s">
        <v>94</v>
      </c>
      <c r="B133" s="73" t="s">
        <v>122</v>
      </c>
      <c r="C133" s="73" t="s">
        <v>72</v>
      </c>
      <c r="D133" s="16"/>
      <c r="E133" s="53" t="s">
        <v>626</v>
      </c>
      <c r="F133" s="96">
        <f t="shared" ref="F133:H135" si="6">F134</f>
        <v>34</v>
      </c>
      <c r="G133" s="96">
        <f t="shared" si="6"/>
        <v>34</v>
      </c>
      <c r="H133" s="96">
        <f t="shared" si="6"/>
        <v>34</v>
      </c>
    </row>
    <row r="134" spans="1:8" s="32" customFormat="1" ht="51">
      <c r="A134" s="21" t="s">
        <v>94</v>
      </c>
      <c r="B134" s="21" t="s">
        <v>122</v>
      </c>
      <c r="C134" s="52" t="s">
        <v>73</v>
      </c>
      <c r="D134" s="16"/>
      <c r="E134" s="60" t="s">
        <v>189</v>
      </c>
      <c r="F134" s="58">
        <f t="shared" si="6"/>
        <v>34</v>
      </c>
      <c r="G134" s="58">
        <f t="shared" si="6"/>
        <v>34</v>
      </c>
      <c r="H134" s="58">
        <f t="shared" si="6"/>
        <v>34</v>
      </c>
    </row>
    <row r="135" spans="1:8" s="32" customFormat="1" ht="63.75">
      <c r="A135" s="21" t="s">
        <v>94</v>
      </c>
      <c r="B135" s="21" t="s">
        <v>122</v>
      </c>
      <c r="C135" s="21" t="s">
        <v>539</v>
      </c>
      <c r="D135" s="16"/>
      <c r="E135" s="98" t="s">
        <v>347</v>
      </c>
      <c r="F135" s="41">
        <f t="shared" si="6"/>
        <v>34</v>
      </c>
      <c r="G135" s="41">
        <f t="shared" si="6"/>
        <v>34</v>
      </c>
      <c r="H135" s="41">
        <f t="shared" si="6"/>
        <v>34</v>
      </c>
    </row>
    <row r="136" spans="1:8" s="32" customFormat="1" ht="25.5">
      <c r="A136" s="21" t="s">
        <v>94</v>
      </c>
      <c r="B136" s="21" t="s">
        <v>122</v>
      </c>
      <c r="C136" s="21" t="s">
        <v>539</v>
      </c>
      <c r="D136" s="82" t="s">
        <v>65</v>
      </c>
      <c r="E136" s="55" t="s">
        <v>131</v>
      </c>
      <c r="F136" s="41">
        <v>34</v>
      </c>
      <c r="G136" s="41">
        <v>34</v>
      </c>
      <c r="H136" s="41">
        <v>34</v>
      </c>
    </row>
    <row r="137" spans="1:8" s="32" customFormat="1" ht="89.25" customHeight="1">
      <c r="A137" s="73" t="s">
        <v>94</v>
      </c>
      <c r="B137" s="73" t="s">
        <v>122</v>
      </c>
      <c r="C137" s="73" t="s">
        <v>230</v>
      </c>
      <c r="D137" s="16"/>
      <c r="E137" s="64" t="s">
        <v>632</v>
      </c>
      <c r="F137" s="96">
        <f>F138+F141</f>
        <v>0</v>
      </c>
      <c r="G137" s="96">
        <f>G138+G141</f>
        <v>0</v>
      </c>
      <c r="H137" s="96">
        <f>H138+H141</f>
        <v>29.4</v>
      </c>
    </row>
    <row r="138" spans="1:8" s="32" customFormat="1" ht="51">
      <c r="A138" s="21" t="s">
        <v>94</v>
      </c>
      <c r="B138" s="21" t="s">
        <v>122</v>
      </c>
      <c r="C138" s="52" t="s">
        <v>231</v>
      </c>
      <c r="D138" s="16"/>
      <c r="E138" s="48" t="s">
        <v>232</v>
      </c>
      <c r="F138" s="58">
        <f>F139+F141</f>
        <v>0</v>
      </c>
      <c r="G138" s="58">
        <f>G139</f>
        <v>0</v>
      </c>
      <c r="H138" s="58">
        <f>H139</f>
        <v>23.4</v>
      </c>
    </row>
    <row r="139" spans="1:8" s="32" customFormat="1" ht="38.25">
      <c r="A139" s="21" t="s">
        <v>94</v>
      </c>
      <c r="B139" s="21" t="s">
        <v>122</v>
      </c>
      <c r="C139" s="21" t="s">
        <v>572</v>
      </c>
      <c r="D139" s="16"/>
      <c r="E139" s="98" t="s">
        <v>366</v>
      </c>
      <c r="F139" s="94">
        <f>F140</f>
        <v>0</v>
      </c>
      <c r="G139" s="94">
        <f>G140</f>
        <v>0</v>
      </c>
      <c r="H139" s="94">
        <f>H140</f>
        <v>23.4</v>
      </c>
    </row>
    <row r="140" spans="1:8" s="32" customFormat="1" ht="38.25">
      <c r="A140" s="21" t="s">
        <v>94</v>
      </c>
      <c r="B140" s="21" t="s">
        <v>122</v>
      </c>
      <c r="C140" s="21" t="s">
        <v>572</v>
      </c>
      <c r="D140" s="82" t="s">
        <v>214</v>
      </c>
      <c r="E140" s="98" t="s">
        <v>215</v>
      </c>
      <c r="F140" s="41">
        <v>0</v>
      </c>
      <c r="G140" s="41">
        <v>0</v>
      </c>
      <c r="H140" s="41">
        <v>23.4</v>
      </c>
    </row>
    <row r="141" spans="1:8" s="32" customFormat="1" ht="25.5">
      <c r="A141" s="21" t="s">
        <v>94</v>
      </c>
      <c r="B141" s="21" t="s">
        <v>122</v>
      </c>
      <c r="C141" s="21" t="s">
        <v>573</v>
      </c>
      <c r="D141" s="16"/>
      <c r="E141" s="98" t="s">
        <v>367</v>
      </c>
      <c r="F141" s="94">
        <f>F142</f>
        <v>0</v>
      </c>
      <c r="G141" s="94">
        <f>G142</f>
        <v>0</v>
      </c>
      <c r="H141" s="94">
        <f>H142</f>
        <v>6</v>
      </c>
    </row>
    <row r="142" spans="1:8" s="32" customFormat="1" ht="38.25">
      <c r="A142" s="21" t="s">
        <v>94</v>
      </c>
      <c r="B142" s="21" t="s">
        <v>122</v>
      </c>
      <c r="C142" s="21" t="s">
        <v>573</v>
      </c>
      <c r="D142" s="82" t="s">
        <v>214</v>
      </c>
      <c r="E142" s="98" t="s">
        <v>215</v>
      </c>
      <c r="F142" s="41">
        <v>0</v>
      </c>
      <c r="G142" s="41">
        <v>0</v>
      </c>
      <c r="H142" s="41">
        <v>6</v>
      </c>
    </row>
    <row r="143" spans="1:8" s="32" customFormat="1" ht="15.75">
      <c r="A143" s="4" t="s">
        <v>95</v>
      </c>
      <c r="B143" s="3"/>
      <c r="C143" s="3"/>
      <c r="D143" s="3"/>
      <c r="E143" s="49" t="s">
        <v>101</v>
      </c>
      <c r="F143" s="92">
        <f>F144+F154+F165+F214</f>
        <v>213802.80000000005</v>
      </c>
      <c r="G143" s="92">
        <f>G144+G154+G165+G214</f>
        <v>157267.80000000002</v>
      </c>
      <c r="H143" s="92">
        <f>H144+H154+H165+H214</f>
        <v>180002.90000000002</v>
      </c>
    </row>
    <row r="144" spans="1:8" s="32" customFormat="1" ht="14.25">
      <c r="A144" s="30" t="s">
        <v>95</v>
      </c>
      <c r="B144" s="30" t="s">
        <v>96</v>
      </c>
      <c r="C144" s="30"/>
      <c r="D144" s="30"/>
      <c r="E144" s="45" t="s">
        <v>104</v>
      </c>
      <c r="F144" s="40">
        <f>F145+F149</f>
        <v>5021.8</v>
      </c>
      <c r="G144" s="40">
        <f t="shared" ref="G144:H144" si="7">G145+G149</f>
        <v>1563</v>
      </c>
      <c r="H144" s="40">
        <f t="shared" si="7"/>
        <v>2222.9</v>
      </c>
    </row>
    <row r="145" spans="1:8" s="32" customFormat="1" ht="89.25">
      <c r="A145" s="82" t="s">
        <v>95</v>
      </c>
      <c r="B145" s="82" t="s">
        <v>96</v>
      </c>
      <c r="C145" s="73" t="s">
        <v>70</v>
      </c>
      <c r="D145" s="16"/>
      <c r="E145" s="143" t="s">
        <v>620</v>
      </c>
      <c r="F145" s="96">
        <f>F146</f>
        <v>3973</v>
      </c>
      <c r="G145" s="96">
        <f>G146</f>
        <v>1500</v>
      </c>
      <c r="H145" s="96">
        <f>H146</f>
        <v>2159.9</v>
      </c>
    </row>
    <row r="146" spans="1:8" s="32" customFormat="1" ht="38.25">
      <c r="A146" s="82" t="s">
        <v>95</v>
      </c>
      <c r="B146" s="82" t="s">
        <v>96</v>
      </c>
      <c r="C146" s="52" t="s">
        <v>164</v>
      </c>
      <c r="D146" s="16"/>
      <c r="E146" s="99" t="s">
        <v>163</v>
      </c>
      <c r="F146" s="39">
        <f>F147</f>
        <v>3973</v>
      </c>
      <c r="G146" s="39">
        <f t="shared" ref="G146:H146" si="8">G147</f>
        <v>1500</v>
      </c>
      <c r="H146" s="39">
        <f t="shared" si="8"/>
        <v>2159.9</v>
      </c>
    </row>
    <row r="147" spans="1:8" s="32" customFormat="1" ht="38.25">
      <c r="A147" s="82" t="s">
        <v>95</v>
      </c>
      <c r="B147" s="82" t="s">
        <v>96</v>
      </c>
      <c r="C147" s="21" t="s">
        <v>683</v>
      </c>
      <c r="D147" s="16"/>
      <c r="E147" s="99" t="s">
        <v>752</v>
      </c>
      <c r="F147" s="39">
        <f>F148</f>
        <v>3973</v>
      </c>
      <c r="G147" s="39">
        <f t="shared" ref="G147" si="9">G148</f>
        <v>1500</v>
      </c>
      <c r="H147" s="39">
        <f t="shared" ref="H147" si="10">H148</f>
        <v>2159.9</v>
      </c>
    </row>
    <row r="148" spans="1:8" s="32" customFormat="1" ht="38.25">
      <c r="A148" s="82" t="s">
        <v>95</v>
      </c>
      <c r="B148" s="82" t="s">
        <v>96</v>
      </c>
      <c r="C148" s="21" t="s">
        <v>683</v>
      </c>
      <c r="D148" s="82" t="s">
        <v>214</v>
      </c>
      <c r="E148" s="98" t="s">
        <v>215</v>
      </c>
      <c r="F148" s="39">
        <f>43.7+3929.3</f>
        <v>3973</v>
      </c>
      <c r="G148" s="39">
        <f>16.5+1483.5</f>
        <v>1500</v>
      </c>
      <c r="H148" s="39">
        <f>23.8+2136.1</f>
        <v>2159.9</v>
      </c>
    </row>
    <row r="149" spans="1:8" s="32" customFormat="1" ht="89.25">
      <c r="A149" s="5" t="s">
        <v>95</v>
      </c>
      <c r="B149" s="5" t="s">
        <v>96</v>
      </c>
      <c r="C149" s="76">
        <v>400000000</v>
      </c>
      <c r="D149" s="30"/>
      <c r="E149" s="142" t="s">
        <v>619</v>
      </c>
      <c r="F149" s="96">
        <f t="shared" ref="F149:H152" si="11">F150</f>
        <v>1048.8</v>
      </c>
      <c r="G149" s="96">
        <f t="shared" si="11"/>
        <v>63</v>
      </c>
      <c r="H149" s="96">
        <f t="shared" si="11"/>
        <v>63</v>
      </c>
    </row>
    <row r="150" spans="1:8" s="32" customFormat="1" ht="51.75" customHeight="1">
      <c r="A150" s="47" t="s">
        <v>95</v>
      </c>
      <c r="B150" s="47" t="s">
        <v>96</v>
      </c>
      <c r="C150" s="75">
        <v>410000000</v>
      </c>
      <c r="D150" s="30"/>
      <c r="E150" s="46" t="s">
        <v>482</v>
      </c>
      <c r="F150" s="93">
        <f t="shared" si="11"/>
        <v>1048.8</v>
      </c>
      <c r="G150" s="93">
        <f t="shared" si="11"/>
        <v>63</v>
      </c>
      <c r="H150" s="93">
        <f t="shared" si="11"/>
        <v>63</v>
      </c>
    </row>
    <row r="151" spans="1:8" s="32" customFormat="1" ht="51">
      <c r="A151" s="82" t="s">
        <v>95</v>
      </c>
      <c r="B151" s="82" t="s">
        <v>96</v>
      </c>
      <c r="C151" s="74">
        <v>410100000</v>
      </c>
      <c r="D151" s="30"/>
      <c r="E151" s="97" t="s">
        <v>483</v>
      </c>
      <c r="F151" s="93">
        <f t="shared" si="11"/>
        <v>1048.8</v>
      </c>
      <c r="G151" s="93">
        <f t="shared" si="11"/>
        <v>63</v>
      </c>
      <c r="H151" s="93">
        <f t="shared" si="11"/>
        <v>63</v>
      </c>
    </row>
    <row r="152" spans="1:8" s="32" customFormat="1" ht="25.5">
      <c r="A152" s="82" t="s">
        <v>95</v>
      </c>
      <c r="B152" s="82" t="s">
        <v>96</v>
      </c>
      <c r="C152" s="136" t="s">
        <v>706</v>
      </c>
      <c r="D152" s="16"/>
      <c r="E152" s="99" t="s">
        <v>170</v>
      </c>
      <c r="F152" s="39">
        <f>F153</f>
        <v>1048.8</v>
      </c>
      <c r="G152" s="39">
        <f t="shared" si="11"/>
        <v>63</v>
      </c>
      <c r="H152" s="39">
        <f t="shared" si="11"/>
        <v>63</v>
      </c>
    </row>
    <row r="153" spans="1:8" s="32" customFormat="1" ht="38.25">
      <c r="A153" s="82" t="s">
        <v>95</v>
      </c>
      <c r="B153" s="82" t="s">
        <v>96</v>
      </c>
      <c r="C153" s="136" t="s">
        <v>706</v>
      </c>
      <c r="D153" s="82" t="s">
        <v>214</v>
      </c>
      <c r="E153" s="98" t="s">
        <v>215</v>
      </c>
      <c r="F153" s="39">
        <f>1382.3-333.5</f>
        <v>1048.8</v>
      </c>
      <c r="G153" s="39">
        <v>63</v>
      </c>
      <c r="H153" s="39">
        <v>63</v>
      </c>
    </row>
    <row r="154" spans="1:8" ht="14.25">
      <c r="A154" s="30" t="s">
        <v>95</v>
      </c>
      <c r="B154" s="30" t="s">
        <v>102</v>
      </c>
      <c r="C154" s="30"/>
      <c r="D154" s="30"/>
      <c r="E154" s="27" t="s">
        <v>1</v>
      </c>
      <c r="F154" s="40">
        <f t="shared" ref="F154:H155" si="12">F155</f>
        <v>27326.400000000001</v>
      </c>
      <c r="G154" s="40">
        <f t="shared" si="12"/>
        <v>25353.4</v>
      </c>
      <c r="H154" s="40">
        <f t="shared" si="12"/>
        <v>25329.4</v>
      </c>
    </row>
    <row r="155" spans="1:8" ht="102">
      <c r="A155" s="5" t="s">
        <v>95</v>
      </c>
      <c r="B155" s="5" t="s">
        <v>102</v>
      </c>
      <c r="C155" s="73" t="s">
        <v>68</v>
      </c>
      <c r="D155" s="30"/>
      <c r="E155" s="142" t="s">
        <v>625</v>
      </c>
      <c r="F155" s="96">
        <f t="shared" si="12"/>
        <v>27326.400000000001</v>
      </c>
      <c r="G155" s="96">
        <f t="shared" si="12"/>
        <v>25353.4</v>
      </c>
      <c r="H155" s="96">
        <f t="shared" si="12"/>
        <v>25329.4</v>
      </c>
    </row>
    <row r="156" spans="1:8" ht="63.75">
      <c r="A156" s="16" t="s">
        <v>95</v>
      </c>
      <c r="B156" s="16" t="s">
        <v>102</v>
      </c>
      <c r="C156" s="52" t="s">
        <v>217</v>
      </c>
      <c r="D156" s="30"/>
      <c r="E156" s="46" t="s">
        <v>188</v>
      </c>
      <c r="F156" s="93">
        <f>F157+F159+F161+F163</f>
        <v>27326.400000000001</v>
      </c>
      <c r="G156" s="93">
        <f>G157+G159+G161+G163</f>
        <v>25353.4</v>
      </c>
      <c r="H156" s="93">
        <f>H157+H159+H161+H163</f>
        <v>25329.4</v>
      </c>
    </row>
    <row r="157" spans="1:8" ht="76.5">
      <c r="A157" s="16" t="s">
        <v>95</v>
      </c>
      <c r="B157" s="16" t="s">
        <v>102</v>
      </c>
      <c r="C157" s="74" t="s">
        <v>310</v>
      </c>
      <c r="D157" s="30"/>
      <c r="E157" s="97" t="s">
        <v>218</v>
      </c>
      <c r="F157" s="39">
        <f>F158</f>
        <v>5028.8</v>
      </c>
      <c r="G157" s="39">
        <f>G158</f>
        <v>5039.7</v>
      </c>
      <c r="H157" s="39">
        <f>H158</f>
        <v>5054.8999999999996</v>
      </c>
    </row>
    <row r="158" spans="1:8" ht="38.25">
      <c r="A158" s="16" t="s">
        <v>95</v>
      </c>
      <c r="B158" s="16" t="s">
        <v>102</v>
      </c>
      <c r="C158" s="74" t="s">
        <v>310</v>
      </c>
      <c r="D158" s="82" t="s">
        <v>214</v>
      </c>
      <c r="E158" s="98" t="s">
        <v>215</v>
      </c>
      <c r="F158" s="39">
        <v>5028.8</v>
      </c>
      <c r="G158" s="39">
        <v>5039.7</v>
      </c>
      <c r="H158" s="39">
        <v>5054.8999999999996</v>
      </c>
    </row>
    <row r="159" spans="1:8" ht="50.25" customHeight="1">
      <c r="A159" s="16" t="s">
        <v>95</v>
      </c>
      <c r="B159" s="16" t="s">
        <v>102</v>
      </c>
      <c r="C159" s="74">
        <v>920110300</v>
      </c>
      <c r="D159" s="16"/>
      <c r="E159" s="97" t="s">
        <v>770</v>
      </c>
      <c r="F159" s="39">
        <f>F160</f>
        <v>20115.2</v>
      </c>
      <c r="G159" s="39">
        <f>G160</f>
        <v>20158.8</v>
      </c>
      <c r="H159" s="39">
        <f>H160</f>
        <v>20219.5</v>
      </c>
    </row>
    <row r="160" spans="1:8" ht="38.25">
      <c r="A160" s="16" t="s">
        <v>95</v>
      </c>
      <c r="B160" s="16" t="s">
        <v>102</v>
      </c>
      <c r="C160" s="74">
        <v>920110300</v>
      </c>
      <c r="D160" s="82" t="s">
        <v>214</v>
      </c>
      <c r="E160" s="98" t="s">
        <v>215</v>
      </c>
      <c r="F160" s="39">
        <v>20115.2</v>
      </c>
      <c r="G160" s="39">
        <v>20158.8</v>
      </c>
      <c r="H160" s="39">
        <v>20219.5</v>
      </c>
    </row>
    <row r="161" spans="1:8" ht="63.75">
      <c r="A161" s="16" t="s">
        <v>95</v>
      </c>
      <c r="B161" s="16" t="s">
        <v>102</v>
      </c>
      <c r="C161" s="74">
        <v>920123490</v>
      </c>
      <c r="D161" s="82"/>
      <c r="E161" s="54" t="s">
        <v>538</v>
      </c>
      <c r="F161" s="39">
        <f>F162</f>
        <v>0</v>
      </c>
      <c r="G161" s="39">
        <f>G162</f>
        <v>0</v>
      </c>
      <c r="H161" s="39">
        <f>H162</f>
        <v>55</v>
      </c>
    </row>
    <row r="162" spans="1:8" ht="38.25">
      <c r="A162" s="16" t="s">
        <v>95</v>
      </c>
      <c r="B162" s="16" t="s">
        <v>102</v>
      </c>
      <c r="C162" s="74">
        <v>920123490</v>
      </c>
      <c r="D162" s="82" t="s">
        <v>214</v>
      </c>
      <c r="E162" s="98" t="s">
        <v>215</v>
      </c>
      <c r="F162" s="39">
        <v>0</v>
      </c>
      <c r="G162" s="39">
        <v>0</v>
      </c>
      <c r="H162" s="39">
        <v>55</v>
      </c>
    </row>
    <row r="163" spans="1:8" ht="89.25">
      <c r="A163" s="16" t="s">
        <v>95</v>
      </c>
      <c r="B163" s="16" t="s">
        <v>102</v>
      </c>
      <c r="C163" s="74">
        <v>920123495</v>
      </c>
      <c r="D163" s="82"/>
      <c r="E163" s="54" t="s">
        <v>605</v>
      </c>
      <c r="F163" s="39">
        <f>F164</f>
        <v>2182.4</v>
      </c>
      <c r="G163" s="39">
        <f>G164</f>
        <v>154.9</v>
      </c>
      <c r="H163" s="39">
        <f>H164</f>
        <v>0</v>
      </c>
    </row>
    <row r="164" spans="1:8" ht="38.25">
      <c r="A164" s="16" t="s">
        <v>95</v>
      </c>
      <c r="B164" s="16" t="s">
        <v>102</v>
      </c>
      <c r="C164" s="74">
        <v>920123495</v>
      </c>
      <c r="D164" s="82" t="s">
        <v>214</v>
      </c>
      <c r="E164" s="98" t="s">
        <v>215</v>
      </c>
      <c r="F164" s="39">
        <f>2116.9+65.5</f>
        <v>2182.4</v>
      </c>
      <c r="G164" s="39">
        <v>154.9</v>
      </c>
      <c r="H164" s="39">
        <v>0</v>
      </c>
    </row>
    <row r="165" spans="1:8" ht="28.5">
      <c r="A165" s="30" t="s">
        <v>95</v>
      </c>
      <c r="B165" s="30" t="s">
        <v>100</v>
      </c>
      <c r="C165" s="30"/>
      <c r="D165" s="30"/>
      <c r="E165" s="50" t="s">
        <v>200</v>
      </c>
      <c r="F165" s="40">
        <f>F166+F192+F196</f>
        <v>177738.40000000002</v>
      </c>
      <c r="G165" s="40">
        <f>G166+G192+G196</f>
        <v>128397.90000000001</v>
      </c>
      <c r="H165" s="40">
        <f>H166+H192+H196</f>
        <v>150504.4</v>
      </c>
    </row>
    <row r="166" spans="1:8" ht="102">
      <c r="A166" s="5" t="s">
        <v>95</v>
      </c>
      <c r="B166" s="5" t="s">
        <v>100</v>
      </c>
      <c r="C166" s="73" t="s">
        <v>68</v>
      </c>
      <c r="D166" s="30"/>
      <c r="E166" s="142" t="s">
        <v>625</v>
      </c>
      <c r="F166" s="96">
        <f>F167</f>
        <v>168779.80000000002</v>
      </c>
      <c r="G166" s="96">
        <f>G167</f>
        <v>123760.1</v>
      </c>
      <c r="H166" s="96">
        <f>H167</f>
        <v>141899.9</v>
      </c>
    </row>
    <row r="167" spans="1:8" ht="63.75">
      <c r="A167" s="16" t="s">
        <v>95</v>
      </c>
      <c r="B167" s="16" t="s">
        <v>100</v>
      </c>
      <c r="C167" s="52" t="s">
        <v>69</v>
      </c>
      <c r="D167" s="30"/>
      <c r="E167" s="46" t="s">
        <v>166</v>
      </c>
      <c r="F167" s="93">
        <f>F168+F170+F172+F174+F176+F178+F180+F182+F184+F186+F188+F190</f>
        <v>168779.80000000002</v>
      </c>
      <c r="G167" s="93">
        <f t="shared" ref="G167:H167" si="13">G168+G170+G172+G174+G176+G178+G180+G182+G184+G186+G188+G190</f>
        <v>123760.1</v>
      </c>
      <c r="H167" s="93">
        <f t="shared" si="13"/>
        <v>141899.9</v>
      </c>
    </row>
    <row r="168" spans="1:8" ht="89.25">
      <c r="A168" s="16" t="s">
        <v>95</v>
      </c>
      <c r="B168" s="16" t="s">
        <v>100</v>
      </c>
      <c r="C168" s="74">
        <v>910123405</v>
      </c>
      <c r="D168" s="30"/>
      <c r="E168" s="97" t="s">
        <v>299</v>
      </c>
      <c r="F168" s="39">
        <f>F169</f>
        <v>15376.7</v>
      </c>
      <c r="G168" s="39">
        <f>G169</f>
        <v>8086.9</v>
      </c>
      <c r="H168" s="39">
        <f>H169</f>
        <v>15386.8</v>
      </c>
    </row>
    <row r="169" spans="1:8" ht="38.25">
      <c r="A169" s="16" t="s">
        <v>95</v>
      </c>
      <c r="B169" s="16" t="s">
        <v>100</v>
      </c>
      <c r="C169" s="74">
        <v>910123405</v>
      </c>
      <c r="D169" s="82" t="s">
        <v>214</v>
      </c>
      <c r="E169" s="98" t="s">
        <v>215</v>
      </c>
      <c r="F169" s="39">
        <v>15376.7</v>
      </c>
      <c r="G169" s="39">
        <v>8086.9</v>
      </c>
      <c r="H169" s="39">
        <v>15386.8</v>
      </c>
    </row>
    <row r="170" spans="1:8" ht="64.5" customHeight="1">
      <c r="A170" s="16" t="s">
        <v>95</v>
      </c>
      <c r="B170" s="16" t="s">
        <v>100</v>
      </c>
      <c r="C170" s="74">
        <v>910110520</v>
      </c>
      <c r="D170" s="30"/>
      <c r="E170" s="97" t="s">
        <v>186</v>
      </c>
      <c r="F170" s="39">
        <f>F171</f>
        <v>20020.599999999999</v>
      </c>
      <c r="G170" s="39">
        <f>G171</f>
        <v>20821.400000000001</v>
      </c>
      <c r="H170" s="39">
        <f>H171</f>
        <v>21654.3</v>
      </c>
    </row>
    <row r="171" spans="1:8" ht="38.25">
      <c r="A171" s="16" t="s">
        <v>95</v>
      </c>
      <c r="B171" s="16" t="s">
        <v>100</v>
      </c>
      <c r="C171" s="74">
        <v>910110520</v>
      </c>
      <c r="D171" s="82" t="s">
        <v>214</v>
      </c>
      <c r="E171" s="98" t="s">
        <v>215</v>
      </c>
      <c r="F171" s="1">
        <v>20020.599999999999</v>
      </c>
      <c r="G171" s="39">
        <v>20821.400000000001</v>
      </c>
      <c r="H171" s="1">
        <v>21654.3</v>
      </c>
    </row>
    <row r="172" spans="1:8" ht="25.5">
      <c r="A172" s="16" t="s">
        <v>95</v>
      </c>
      <c r="B172" s="16" t="s">
        <v>100</v>
      </c>
      <c r="C172" s="74">
        <v>910123410</v>
      </c>
      <c r="D172" s="16"/>
      <c r="E172" s="98" t="s">
        <v>187</v>
      </c>
      <c r="F172" s="39">
        <f>F173</f>
        <v>19002.400000000001</v>
      </c>
      <c r="G172" s="39">
        <f>G173</f>
        <v>8022.4000000000005</v>
      </c>
      <c r="H172" s="39">
        <f>H173</f>
        <v>16457</v>
      </c>
    </row>
    <row r="173" spans="1:8" ht="38.25">
      <c r="A173" s="16" t="s">
        <v>95</v>
      </c>
      <c r="B173" s="16" t="s">
        <v>100</v>
      </c>
      <c r="C173" s="74">
        <v>910123410</v>
      </c>
      <c r="D173" s="82" t="s">
        <v>214</v>
      </c>
      <c r="E173" s="98" t="s">
        <v>215</v>
      </c>
      <c r="F173" s="39">
        <f>16457+1413.5+1131.9</f>
        <v>19002.400000000001</v>
      </c>
      <c r="G173" s="39">
        <f>8177.3-154.9</f>
        <v>8022.4000000000005</v>
      </c>
      <c r="H173" s="39">
        <v>16457</v>
      </c>
    </row>
    <row r="174" spans="1:8" ht="102">
      <c r="A174" s="16" t="s">
        <v>95</v>
      </c>
      <c r="B174" s="16" t="s">
        <v>100</v>
      </c>
      <c r="C174" s="74">
        <v>910123415</v>
      </c>
      <c r="D174" s="82"/>
      <c r="E174" s="131" t="s">
        <v>734</v>
      </c>
      <c r="F174" s="39">
        <f>F175</f>
        <v>1913.4</v>
      </c>
      <c r="G174" s="39">
        <f t="shared" ref="G174:H174" si="14">G175</f>
        <v>0</v>
      </c>
      <c r="H174" s="39">
        <f t="shared" si="14"/>
        <v>0</v>
      </c>
    </row>
    <row r="175" spans="1:8" ht="38.25">
      <c r="A175" s="16" t="s">
        <v>95</v>
      </c>
      <c r="B175" s="16" t="s">
        <v>100</v>
      </c>
      <c r="C175" s="74">
        <v>910123415</v>
      </c>
      <c r="D175" s="82" t="s">
        <v>214</v>
      </c>
      <c r="E175" s="98" t="s">
        <v>215</v>
      </c>
      <c r="F175" s="39">
        <f>100+380+5000-3566.6</f>
        <v>1913.4</v>
      </c>
      <c r="G175" s="39">
        <v>0</v>
      </c>
      <c r="H175" s="39">
        <v>0</v>
      </c>
    </row>
    <row r="176" spans="1:8" ht="102">
      <c r="A176" s="16" t="s">
        <v>95</v>
      </c>
      <c r="B176" s="16" t="s">
        <v>100</v>
      </c>
      <c r="C176" s="74" t="s">
        <v>750</v>
      </c>
      <c r="D176" s="82"/>
      <c r="E176" s="124" t="s">
        <v>749</v>
      </c>
      <c r="F176" s="39">
        <f>F177</f>
        <v>1161.8</v>
      </c>
      <c r="G176" s="39">
        <f t="shared" ref="G176:H176" si="15">G177</f>
        <v>0</v>
      </c>
      <c r="H176" s="39">
        <f t="shared" si="15"/>
        <v>0</v>
      </c>
    </row>
    <row r="177" spans="1:8" ht="38.25">
      <c r="A177" s="16" t="s">
        <v>95</v>
      </c>
      <c r="B177" s="16" t="s">
        <v>100</v>
      </c>
      <c r="C177" s="74" t="s">
        <v>750</v>
      </c>
      <c r="D177" s="82" t="s">
        <v>214</v>
      </c>
      <c r="E177" s="98" t="s">
        <v>215</v>
      </c>
      <c r="F177" s="39">
        <v>1161.8</v>
      </c>
      <c r="G177" s="39">
        <v>0</v>
      </c>
      <c r="H177" s="39">
        <v>0</v>
      </c>
    </row>
    <row r="178" spans="1:8" ht="102">
      <c r="A178" s="16" t="s">
        <v>95</v>
      </c>
      <c r="B178" s="16" t="s">
        <v>100</v>
      </c>
      <c r="C178" s="74">
        <v>910110220</v>
      </c>
      <c r="D178" s="82"/>
      <c r="E178" s="124" t="s">
        <v>751</v>
      </c>
      <c r="F178" s="39">
        <f>F179</f>
        <v>10456.4</v>
      </c>
      <c r="G178" s="39">
        <f t="shared" ref="G178:H178" si="16">G179</f>
        <v>0</v>
      </c>
      <c r="H178" s="39">
        <f t="shared" si="16"/>
        <v>0</v>
      </c>
    </row>
    <row r="179" spans="1:8" ht="38.25">
      <c r="A179" s="16" t="s">
        <v>95</v>
      </c>
      <c r="B179" s="16" t="s">
        <v>100</v>
      </c>
      <c r="C179" s="74">
        <v>910110220</v>
      </c>
      <c r="D179" s="82" t="s">
        <v>214</v>
      </c>
      <c r="E179" s="98" t="s">
        <v>215</v>
      </c>
      <c r="F179" s="39">
        <v>10456.4</v>
      </c>
      <c r="G179" s="39">
        <v>0</v>
      </c>
      <c r="H179" s="39">
        <v>0</v>
      </c>
    </row>
    <row r="180" spans="1:8" ht="51">
      <c r="A180" s="16" t="s">
        <v>95</v>
      </c>
      <c r="B180" s="16" t="s">
        <v>100</v>
      </c>
      <c r="C180" s="74" t="s">
        <v>355</v>
      </c>
      <c r="D180" s="82"/>
      <c r="E180" s="123" t="s">
        <v>354</v>
      </c>
      <c r="F180" s="39">
        <f>F181</f>
        <v>4436.8</v>
      </c>
      <c r="G180" s="39">
        <f>G181</f>
        <v>2410.3000000000002</v>
      </c>
      <c r="H180" s="39">
        <f>H181</f>
        <v>2506.8000000000002</v>
      </c>
    </row>
    <row r="181" spans="1:8" ht="38.25">
      <c r="A181" s="16" t="s">
        <v>95</v>
      </c>
      <c r="B181" s="16" t="s">
        <v>100</v>
      </c>
      <c r="C181" s="74" t="s">
        <v>355</v>
      </c>
      <c r="D181" s="82" t="s">
        <v>214</v>
      </c>
      <c r="E181" s="98" t="s">
        <v>215</v>
      </c>
      <c r="F181" s="39">
        <f>2317.6-1000+3130.1-10.9</f>
        <v>4436.8</v>
      </c>
      <c r="G181" s="39">
        <v>2410.3000000000002</v>
      </c>
      <c r="H181" s="39">
        <v>2506.8000000000002</v>
      </c>
    </row>
    <row r="182" spans="1:8" ht="63.75">
      <c r="A182" s="16" t="s">
        <v>95</v>
      </c>
      <c r="B182" s="16" t="s">
        <v>100</v>
      </c>
      <c r="C182" s="138" t="s">
        <v>535</v>
      </c>
      <c r="D182" s="82"/>
      <c r="E182" s="123" t="s">
        <v>356</v>
      </c>
      <c r="F182" s="39">
        <f>F183</f>
        <v>9270.5</v>
      </c>
      <c r="G182" s="39">
        <f>G183</f>
        <v>9641.2999999999993</v>
      </c>
      <c r="H182" s="39">
        <f>H183</f>
        <v>10027</v>
      </c>
    </row>
    <row r="183" spans="1:8" ht="38.25">
      <c r="A183" s="16" t="s">
        <v>95</v>
      </c>
      <c r="B183" s="16" t="s">
        <v>100</v>
      </c>
      <c r="C183" s="138" t="s">
        <v>535</v>
      </c>
      <c r="D183" s="82" t="s">
        <v>214</v>
      </c>
      <c r="E183" s="98" t="s">
        <v>215</v>
      </c>
      <c r="F183" s="1">
        <v>9270.5</v>
      </c>
      <c r="G183" s="39">
        <v>9641.2999999999993</v>
      </c>
      <c r="H183" s="149">
        <v>10027</v>
      </c>
    </row>
    <row r="184" spans="1:8" ht="25.5">
      <c r="A184" s="16" t="s">
        <v>95</v>
      </c>
      <c r="B184" s="16" t="s">
        <v>100</v>
      </c>
      <c r="C184" s="74" t="s">
        <v>351</v>
      </c>
      <c r="D184" s="82"/>
      <c r="E184" s="98" t="s">
        <v>352</v>
      </c>
      <c r="F184" s="39">
        <f>F185</f>
        <v>10850.8</v>
      </c>
      <c r="G184" s="39">
        <f>G185</f>
        <v>14955.6</v>
      </c>
      <c r="H184" s="39">
        <f>H185</f>
        <v>15173.6</v>
      </c>
    </row>
    <row r="185" spans="1:8" ht="38.25">
      <c r="A185" s="16" t="s">
        <v>95</v>
      </c>
      <c r="B185" s="16" t="s">
        <v>100</v>
      </c>
      <c r="C185" s="74" t="s">
        <v>351</v>
      </c>
      <c r="D185" s="82" t="s">
        <v>214</v>
      </c>
      <c r="E185" s="98" t="s">
        <v>215</v>
      </c>
      <c r="F185" s="39">
        <f>14380.3+396.5-800-5193.4-1842.6+3931.5-21.5</f>
        <v>10850.8</v>
      </c>
      <c r="G185" s="39">
        <v>14955.6</v>
      </c>
      <c r="H185" s="39">
        <v>15173.6</v>
      </c>
    </row>
    <row r="186" spans="1:8" ht="25.5">
      <c r="A186" s="16" t="s">
        <v>95</v>
      </c>
      <c r="B186" s="16" t="s">
        <v>100</v>
      </c>
      <c r="C186" s="140" t="s">
        <v>536</v>
      </c>
      <c r="D186" s="82"/>
      <c r="E186" s="98" t="s">
        <v>353</v>
      </c>
      <c r="F186" s="39">
        <f>F187</f>
        <v>57521.3</v>
      </c>
      <c r="G186" s="39">
        <f>G187</f>
        <v>59822.2</v>
      </c>
      <c r="H186" s="39">
        <f>H187</f>
        <v>60694.400000000001</v>
      </c>
    </row>
    <row r="187" spans="1:8" ht="38.25">
      <c r="A187" s="16" t="s">
        <v>95</v>
      </c>
      <c r="B187" s="16" t="s">
        <v>100</v>
      </c>
      <c r="C187" s="140" t="s">
        <v>536</v>
      </c>
      <c r="D187" s="82" t="s">
        <v>214</v>
      </c>
      <c r="E187" s="98" t="s">
        <v>215</v>
      </c>
      <c r="F187" s="39">
        <v>57521.3</v>
      </c>
      <c r="G187" s="1">
        <v>59822.2</v>
      </c>
      <c r="H187" s="1">
        <v>60694.400000000001</v>
      </c>
    </row>
    <row r="188" spans="1:8" ht="25.5">
      <c r="A188" s="16" t="s">
        <v>95</v>
      </c>
      <c r="B188" s="16" t="s">
        <v>100</v>
      </c>
      <c r="C188" s="74">
        <v>910123425</v>
      </c>
      <c r="D188" s="82"/>
      <c r="E188" s="98" t="s">
        <v>386</v>
      </c>
      <c r="F188" s="39">
        <f>F189</f>
        <v>17615.100000000002</v>
      </c>
      <c r="G188" s="39">
        <f>G189</f>
        <v>0</v>
      </c>
      <c r="H188" s="39">
        <f>H189</f>
        <v>0</v>
      </c>
    </row>
    <row r="189" spans="1:8" ht="38.25">
      <c r="A189" s="16" t="s">
        <v>95</v>
      </c>
      <c r="B189" s="16" t="s">
        <v>100</v>
      </c>
      <c r="C189" s="74">
        <v>910123425</v>
      </c>
      <c r="D189" s="82" t="s">
        <v>214</v>
      </c>
      <c r="E189" s="98" t="s">
        <v>215</v>
      </c>
      <c r="F189" s="39">
        <f>1590+1493.2+1306.4+2176+2289.3+8760.2</f>
        <v>17615.100000000002</v>
      </c>
      <c r="G189" s="39">
        <v>0</v>
      </c>
      <c r="H189" s="39">
        <v>0</v>
      </c>
    </row>
    <row r="190" spans="1:8">
      <c r="A190" s="16" t="s">
        <v>95</v>
      </c>
      <c r="B190" s="16" t="s">
        <v>100</v>
      </c>
      <c r="C190" s="74">
        <v>910123430</v>
      </c>
      <c r="D190" s="82"/>
      <c r="E190" s="98" t="s">
        <v>662</v>
      </c>
      <c r="F190" s="39">
        <f>F191</f>
        <v>1154</v>
      </c>
      <c r="G190" s="39">
        <f>G191</f>
        <v>0</v>
      </c>
      <c r="H190" s="39">
        <f>H191</f>
        <v>0</v>
      </c>
    </row>
    <row r="191" spans="1:8" ht="38.25">
      <c r="A191" s="16" t="s">
        <v>95</v>
      </c>
      <c r="B191" s="16" t="s">
        <v>100</v>
      </c>
      <c r="C191" s="74">
        <v>910123430</v>
      </c>
      <c r="D191" s="82" t="s">
        <v>214</v>
      </c>
      <c r="E191" s="98" t="s">
        <v>215</v>
      </c>
      <c r="F191" s="39">
        <f>817+337</f>
        <v>1154</v>
      </c>
      <c r="G191" s="39">
        <v>0</v>
      </c>
      <c r="H191" s="39">
        <v>0</v>
      </c>
    </row>
    <row r="192" spans="1:8" ht="127.5">
      <c r="A192" s="5" t="s">
        <v>95</v>
      </c>
      <c r="B192" s="5" t="s">
        <v>100</v>
      </c>
      <c r="C192" s="73" t="s">
        <v>580</v>
      </c>
      <c r="D192" s="82"/>
      <c r="E192" s="142" t="s">
        <v>631</v>
      </c>
      <c r="F192" s="96">
        <f t="shared" ref="F192:H194" si="17">F193</f>
        <v>0</v>
      </c>
      <c r="G192" s="96">
        <f t="shared" si="17"/>
        <v>0</v>
      </c>
      <c r="H192" s="96">
        <f t="shared" si="17"/>
        <v>1000</v>
      </c>
    </row>
    <row r="193" spans="1:8" ht="63.75">
      <c r="A193" s="47" t="s">
        <v>95</v>
      </c>
      <c r="B193" s="47" t="s">
        <v>100</v>
      </c>
      <c r="C193" s="141">
        <v>1510000000</v>
      </c>
      <c r="D193" s="82"/>
      <c r="E193" s="48" t="s">
        <v>370</v>
      </c>
      <c r="F193" s="41">
        <f t="shared" si="17"/>
        <v>0</v>
      </c>
      <c r="G193" s="41">
        <f t="shared" si="17"/>
        <v>0</v>
      </c>
      <c r="H193" s="41">
        <f t="shared" si="17"/>
        <v>1000</v>
      </c>
    </row>
    <row r="194" spans="1:8" ht="63.75">
      <c r="A194" s="16" t="s">
        <v>95</v>
      </c>
      <c r="B194" s="16" t="s">
        <v>100</v>
      </c>
      <c r="C194" s="130" t="s">
        <v>582</v>
      </c>
      <c r="D194" s="82"/>
      <c r="E194" s="98" t="s">
        <v>581</v>
      </c>
      <c r="F194" s="41">
        <f t="shared" si="17"/>
        <v>0</v>
      </c>
      <c r="G194" s="41">
        <f t="shared" si="17"/>
        <v>0</v>
      </c>
      <c r="H194" s="41">
        <f t="shared" si="17"/>
        <v>1000</v>
      </c>
    </row>
    <row r="195" spans="1:8" ht="38.25">
      <c r="A195" s="16" t="s">
        <v>95</v>
      </c>
      <c r="B195" s="16" t="s">
        <v>100</v>
      </c>
      <c r="C195" s="130" t="s">
        <v>582</v>
      </c>
      <c r="D195" s="82" t="s">
        <v>214</v>
      </c>
      <c r="E195" s="98" t="s">
        <v>215</v>
      </c>
      <c r="F195" s="41">
        <f>6842-6842</f>
        <v>0</v>
      </c>
      <c r="G195" s="41">
        <v>0</v>
      </c>
      <c r="H195" s="41">
        <v>1000</v>
      </c>
    </row>
    <row r="196" spans="1:8" ht="88.5" customHeight="1">
      <c r="A196" s="73" t="s">
        <v>95</v>
      </c>
      <c r="B196" s="73" t="s">
        <v>100</v>
      </c>
      <c r="C196" s="73" t="s">
        <v>230</v>
      </c>
      <c r="D196" s="16"/>
      <c r="E196" s="64" t="s">
        <v>632</v>
      </c>
      <c r="F196" s="96">
        <f>F197</f>
        <v>8958.5999999999985</v>
      </c>
      <c r="G196" s="96">
        <f>G197</f>
        <v>4637.8</v>
      </c>
      <c r="H196" s="96">
        <f>H197</f>
        <v>7604.5</v>
      </c>
    </row>
    <row r="197" spans="1:8" ht="51">
      <c r="A197" s="21" t="s">
        <v>95</v>
      </c>
      <c r="B197" s="21" t="s">
        <v>100</v>
      </c>
      <c r="C197" s="52" t="s">
        <v>231</v>
      </c>
      <c r="D197" s="16"/>
      <c r="E197" s="48" t="s">
        <v>232</v>
      </c>
      <c r="F197" s="58">
        <f>F198+F200+F202+F204+F206+F208+F210+F212</f>
        <v>8958.5999999999985</v>
      </c>
      <c r="G197" s="58">
        <f>G198+G200+G202+G204+G206+G208+G210+G212</f>
        <v>4637.8</v>
      </c>
      <c r="H197" s="58">
        <f>H198+H200+H202+H204+H206+H208+H210+H212</f>
        <v>7604.5</v>
      </c>
    </row>
    <row r="198" spans="1:8" ht="38.25">
      <c r="A198" s="21" t="s">
        <v>95</v>
      </c>
      <c r="B198" s="21" t="s">
        <v>100</v>
      </c>
      <c r="C198" s="21" t="s">
        <v>568</v>
      </c>
      <c r="D198" s="82"/>
      <c r="E198" s="98" t="s">
        <v>348</v>
      </c>
      <c r="F198" s="41">
        <f>F199</f>
        <v>2442.6999999999998</v>
      </c>
      <c r="G198" s="41">
        <f>G199</f>
        <v>0</v>
      </c>
      <c r="H198" s="41">
        <f>H199</f>
        <v>2381.1999999999998</v>
      </c>
    </row>
    <row r="199" spans="1:8" ht="38.25">
      <c r="A199" s="21" t="s">
        <v>95</v>
      </c>
      <c r="B199" s="21" t="s">
        <v>100</v>
      </c>
      <c r="C199" s="21" t="s">
        <v>568</v>
      </c>
      <c r="D199" s="82" t="s">
        <v>214</v>
      </c>
      <c r="E199" s="98" t="s">
        <v>215</v>
      </c>
      <c r="F199" s="41">
        <f>2972.1-529.4</f>
        <v>2442.6999999999998</v>
      </c>
      <c r="G199" s="41">
        <v>0</v>
      </c>
      <c r="H199" s="41">
        <v>2381.1999999999998</v>
      </c>
    </row>
    <row r="200" spans="1:8" ht="25.5">
      <c r="A200" s="21" t="s">
        <v>95</v>
      </c>
      <c r="B200" s="21" t="s">
        <v>100</v>
      </c>
      <c r="C200" s="21" t="s">
        <v>570</v>
      </c>
      <c r="D200" s="82"/>
      <c r="E200" s="98" t="s">
        <v>569</v>
      </c>
      <c r="F200" s="41">
        <f>F201</f>
        <v>529.4</v>
      </c>
      <c r="G200" s="41">
        <f>G201</f>
        <v>0</v>
      </c>
      <c r="H200" s="41">
        <f>H201</f>
        <v>0</v>
      </c>
    </row>
    <row r="201" spans="1:8" ht="38.25">
      <c r="A201" s="21" t="s">
        <v>95</v>
      </c>
      <c r="B201" s="21" t="s">
        <v>100</v>
      </c>
      <c r="C201" s="21" t="s">
        <v>570</v>
      </c>
      <c r="D201" s="82" t="s">
        <v>214</v>
      </c>
      <c r="E201" s="98" t="s">
        <v>215</v>
      </c>
      <c r="F201" s="41">
        <v>529.4</v>
      </c>
      <c r="G201" s="41">
        <v>0</v>
      </c>
      <c r="H201" s="41">
        <v>0</v>
      </c>
    </row>
    <row r="202" spans="1:8" ht="25.5">
      <c r="A202" s="21" t="s">
        <v>95</v>
      </c>
      <c r="B202" s="21" t="s">
        <v>100</v>
      </c>
      <c r="C202" s="21" t="s">
        <v>571</v>
      </c>
      <c r="D202" s="16"/>
      <c r="E202" s="98" t="s">
        <v>337</v>
      </c>
      <c r="F202" s="41">
        <f>F203</f>
        <v>401</v>
      </c>
      <c r="G202" s="41">
        <f>G203</f>
        <v>0</v>
      </c>
      <c r="H202" s="41">
        <f>H203</f>
        <v>400</v>
      </c>
    </row>
    <row r="203" spans="1:8" ht="38.25">
      <c r="A203" s="21" t="s">
        <v>95</v>
      </c>
      <c r="B203" s="21" t="s">
        <v>100</v>
      </c>
      <c r="C203" s="21" t="s">
        <v>571</v>
      </c>
      <c r="D203" s="82" t="s">
        <v>214</v>
      </c>
      <c r="E203" s="98" t="s">
        <v>215</v>
      </c>
      <c r="F203" s="41">
        <f>370+31</f>
        <v>401</v>
      </c>
      <c r="G203" s="41">
        <v>0</v>
      </c>
      <c r="H203" s="41">
        <v>400</v>
      </c>
    </row>
    <row r="204" spans="1:8" ht="38.25">
      <c r="A204" s="21" t="s">
        <v>95</v>
      </c>
      <c r="B204" s="21" t="s">
        <v>100</v>
      </c>
      <c r="C204" s="21" t="s">
        <v>647</v>
      </c>
      <c r="D204" s="82"/>
      <c r="E204" s="98" t="s">
        <v>646</v>
      </c>
      <c r="F204" s="41">
        <f>F205</f>
        <v>178</v>
      </c>
      <c r="G204" s="41">
        <f>G205</f>
        <v>0</v>
      </c>
      <c r="H204" s="41">
        <f>H205</f>
        <v>0</v>
      </c>
    </row>
    <row r="205" spans="1:8" ht="38.25">
      <c r="A205" s="21" t="s">
        <v>95</v>
      </c>
      <c r="B205" s="21" t="s">
        <v>100</v>
      </c>
      <c r="C205" s="21" t="s">
        <v>647</v>
      </c>
      <c r="D205" s="82" t="s">
        <v>214</v>
      </c>
      <c r="E205" s="98" t="s">
        <v>215</v>
      </c>
      <c r="F205" s="41">
        <v>178</v>
      </c>
      <c r="G205" s="41">
        <v>0</v>
      </c>
      <c r="H205" s="41">
        <v>0</v>
      </c>
    </row>
    <row r="206" spans="1:8" ht="25.5">
      <c r="A206" s="21" t="s">
        <v>95</v>
      </c>
      <c r="B206" s="21" t="s">
        <v>100</v>
      </c>
      <c r="C206" s="21" t="s">
        <v>649</v>
      </c>
      <c r="D206" s="82"/>
      <c r="E206" s="98" t="s">
        <v>650</v>
      </c>
      <c r="F206" s="41">
        <f>F207</f>
        <v>944.6</v>
      </c>
      <c r="G206" s="41">
        <f t="shared" ref="G206:H206" si="18">G207</f>
        <v>0</v>
      </c>
      <c r="H206" s="41">
        <f t="shared" si="18"/>
        <v>0</v>
      </c>
    </row>
    <row r="207" spans="1:8" ht="38.25">
      <c r="A207" s="21" t="s">
        <v>95</v>
      </c>
      <c r="B207" s="21" t="s">
        <v>100</v>
      </c>
      <c r="C207" s="21" t="s">
        <v>649</v>
      </c>
      <c r="D207" s="82" t="s">
        <v>214</v>
      </c>
      <c r="E207" s="98" t="s">
        <v>215</v>
      </c>
      <c r="F207" s="41">
        <f>990-45.4</f>
        <v>944.6</v>
      </c>
      <c r="G207" s="41">
        <v>0</v>
      </c>
      <c r="H207" s="41">
        <v>0</v>
      </c>
    </row>
    <row r="208" spans="1:8">
      <c r="A208" s="21" t="s">
        <v>95</v>
      </c>
      <c r="B208" s="21" t="s">
        <v>100</v>
      </c>
      <c r="C208" s="21" t="s">
        <v>707</v>
      </c>
      <c r="D208" s="82"/>
      <c r="E208" s="98" t="s">
        <v>648</v>
      </c>
      <c r="F208" s="41">
        <f>F209</f>
        <v>499</v>
      </c>
      <c r="G208" s="41">
        <f t="shared" ref="G208:H208" si="19">G209</f>
        <v>0</v>
      </c>
      <c r="H208" s="41">
        <f t="shared" si="19"/>
        <v>0</v>
      </c>
    </row>
    <row r="209" spans="1:8" ht="38.25">
      <c r="A209" s="21" t="s">
        <v>95</v>
      </c>
      <c r="B209" s="21" t="s">
        <v>100</v>
      </c>
      <c r="C209" s="21" t="s">
        <v>707</v>
      </c>
      <c r="D209" s="82" t="s">
        <v>214</v>
      </c>
      <c r="E209" s="98" t="s">
        <v>215</v>
      </c>
      <c r="F209" s="41">
        <f>600-98.6-2.4</f>
        <v>499</v>
      </c>
      <c r="G209" s="41">
        <v>0</v>
      </c>
      <c r="H209" s="41">
        <v>0</v>
      </c>
    </row>
    <row r="210" spans="1:8" ht="40.5" customHeight="1">
      <c r="A210" s="21" t="s">
        <v>95</v>
      </c>
      <c r="B210" s="21" t="s">
        <v>100</v>
      </c>
      <c r="C210" s="51" t="s">
        <v>362</v>
      </c>
      <c r="D210" s="82"/>
      <c r="E210" s="98" t="s">
        <v>359</v>
      </c>
      <c r="F210" s="41">
        <f>F211</f>
        <v>396.4</v>
      </c>
      <c r="G210" s="41">
        <f>G211</f>
        <v>927.6</v>
      </c>
      <c r="H210" s="41">
        <f>H211</f>
        <v>964.7</v>
      </c>
    </row>
    <row r="211" spans="1:8" ht="38.25">
      <c r="A211" s="21" t="s">
        <v>95</v>
      </c>
      <c r="B211" s="21" t="s">
        <v>100</v>
      </c>
      <c r="C211" s="51" t="s">
        <v>362</v>
      </c>
      <c r="D211" s="82" t="s">
        <v>214</v>
      </c>
      <c r="E211" s="98" t="s">
        <v>215</v>
      </c>
      <c r="F211" s="39">
        <f>891.9-495.5</f>
        <v>396.4</v>
      </c>
      <c r="G211" s="39">
        <v>927.6</v>
      </c>
      <c r="H211" s="39">
        <v>964.7</v>
      </c>
    </row>
    <row r="212" spans="1:8" ht="51.75" customHeight="1">
      <c r="A212" s="21" t="s">
        <v>95</v>
      </c>
      <c r="B212" s="21" t="s">
        <v>100</v>
      </c>
      <c r="C212" s="51" t="s">
        <v>363</v>
      </c>
      <c r="D212" s="82"/>
      <c r="E212" s="98" t="s">
        <v>357</v>
      </c>
      <c r="F212" s="41">
        <f>F213</f>
        <v>3567.5</v>
      </c>
      <c r="G212" s="41">
        <f>G213</f>
        <v>3710.2</v>
      </c>
      <c r="H212" s="41">
        <f>H213</f>
        <v>3858.6</v>
      </c>
    </row>
    <row r="213" spans="1:8" ht="38.25">
      <c r="A213" s="21" t="s">
        <v>95</v>
      </c>
      <c r="B213" s="21" t="s">
        <v>100</v>
      </c>
      <c r="C213" s="51" t="s">
        <v>363</v>
      </c>
      <c r="D213" s="82" t="s">
        <v>214</v>
      </c>
      <c r="E213" s="98" t="s">
        <v>215</v>
      </c>
      <c r="F213" s="41">
        <v>3567.5</v>
      </c>
      <c r="G213" s="41">
        <v>3710.2</v>
      </c>
      <c r="H213" s="41">
        <v>3858.6</v>
      </c>
    </row>
    <row r="214" spans="1:8" ht="25.5">
      <c r="A214" s="21" t="s">
        <v>95</v>
      </c>
      <c r="B214" s="21" t="s">
        <v>123</v>
      </c>
      <c r="C214" s="30"/>
      <c r="D214" s="30"/>
      <c r="E214" s="46" t="s">
        <v>4</v>
      </c>
      <c r="F214" s="40">
        <f>F215+F223+F243</f>
        <v>3716.2000000000003</v>
      </c>
      <c r="G214" s="40">
        <f>G215+G223+G243</f>
        <v>1953.5</v>
      </c>
      <c r="H214" s="40">
        <f>H215+H223+H243</f>
        <v>1946.2</v>
      </c>
    </row>
    <row r="215" spans="1:8" ht="89.25">
      <c r="A215" s="5" t="s">
        <v>95</v>
      </c>
      <c r="B215" s="5" t="s">
        <v>123</v>
      </c>
      <c r="C215" s="73" t="s">
        <v>70</v>
      </c>
      <c r="D215" s="16"/>
      <c r="E215" s="143" t="s">
        <v>620</v>
      </c>
      <c r="F215" s="96">
        <f>F216</f>
        <v>406.3</v>
      </c>
      <c r="G215" s="96">
        <f>G216</f>
        <v>183.5</v>
      </c>
      <c r="H215" s="96">
        <f>H216</f>
        <v>176.2</v>
      </c>
    </row>
    <row r="216" spans="1:8" ht="38.25">
      <c r="A216" s="16" t="s">
        <v>95</v>
      </c>
      <c r="B216" s="16" t="s">
        <v>123</v>
      </c>
      <c r="C216" s="52" t="s">
        <v>164</v>
      </c>
      <c r="D216" s="16"/>
      <c r="E216" s="48" t="s">
        <v>163</v>
      </c>
      <c r="F216" s="41">
        <f>F217+F219+F221</f>
        <v>406.3</v>
      </c>
      <c r="G216" s="41">
        <f>G217+G219+G221</f>
        <v>183.5</v>
      </c>
      <c r="H216" s="41">
        <f>H217+H219+H221</f>
        <v>176.2</v>
      </c>
    </row>
    <row r="217" spans="1:8" ht="51">
      <c r="A217" s="16" t="s">
        <v>95</v>
      </c>
      <c r="B217" s="16" t="s">
        <v>123</v>
      </c>
      <c r="C217" s="21" t="s">
        <v>480</v>
      </c>
      <c r="D217" s="30"/>
      <c r="E217" s="97" t="s">
        <v>165</v>
      </c>
      <c r="F217" s="41">
        <f>F218</f>
        <v>165.1</v>
      </c>
      <c r="G217" s="41">
        <f>G218</f>
        <v>147.5</v>
      </c>
      <c r="H217" s="41">
        <f>H218</f>
        <v>140.19999999999999</v>
      </c>
    </row>
    <row r="218" spans="1:8" ht="38.25">
      <c r="A218" s="16" t="s">
        <v>95</v>
      </c>
      <c r="B218" s="16" t="s">
        <v>123</v>
      </c>
      <c r="C218" s="21" t="s">
        <v>480</v>
      </c>
      <c r="D218" s="82" t="s">
        <v>214</v>
      </c>
      <c r="E218" s="98" t="s">
        <v>215</v>
      </c>
      <c r="F218" s="39">
        <f>164+1.1</f>
        <v>165.1</v>
      </c>
      <c r="G218" s="39">
        <f>164-16.5</f>
        <v>147.5</v>
      </c>
      <c r="H218" s="39">
        <f>164-23.8</f>
        <v>140.19999999999999</v>
      </c>
    </row>
    <row r="219" spans="1:8" ht="38.25">
      <c r="A219" s="16" t="s">
        <v>95</v>
      </c>
      <c r="B219" s="16" t="s">
        <v>123</v>
      </c>
      <c r="C219" s="82" t="s">
        <v>481</v>
      </c>
      <c r="D219" s="30"/>
      <c r="E219" s="97" t="s">
        <v>168</v>
      </c>
      <c r="F219" s="41">
        <f>F220</f>
        <v>27.9</v>
      </c>
      <c r="G219" s="41">
        <f>G220</f>
        <v>36</v>
      </c>
      <c r="H219" s="41">
        <f>H220</f>
        <v>36</v>
      </c>
    </row>
    <row r="220" spans="1:8" ht="38.25">
      <c r="A220" s="16" t="s">
        <v>95</v>
      </c>
      <c r="B220" s="16" t="s">
        <v>123</v>
      </c>
      <c r="C220" s="82" t="s">
        <v>481</v>
      </c>
      <c r="D220" s="82" t="s">
        <v>214</v>
      </c>
      <c r="E220" s="98" t="s">
        <v>215</v>
      </c>
      <c r="F220" s="41">
        <f>36-8.1</f>
        <v>27.9</v>
      </c>
      <c r="G220" s="41">
        <v>36</v>
      </c>
      <c r="H220" s="41">
        <v>36</v>
      </c>
    </row>
    <row r="221" spans="1:8" ht="63.75">
      <c r="A221" s="16" t="s">
        <v>95</v>
      </c>
      <c r="B221" s="16" t="s">
        <v>123</v>
      </c>
      <c r="C221" s="82" t="s">
        <v>661</v>
      </c>
      <c r="D221" s="82"/>
      <c r="E221" s="98" t="s">
        <v>665</v>
      </c>
      <c r="F221" s="41">
        <f>F222</f>
        <v>213.3</v>
      </c>
      <c r="G221" s="41">
        <f>G222</f>
        <v>0</v>
      </c>
      <c r="H221" s="41">
        <f>H222</f>
        <v>0</v>
      </c>
    </row>
    <row r="222" spans="1:8" ht="38.25">
      <c r="A222" s="16" t="s">
        <v>95</v>
      </c>
      <c r="B222" s="16" t="s">
        <v>123</v>
      </c>
      <c r="C222" s="82" t="s">
        <v>661</v>
      </c>
      <c r="D222" s="82" t="s">
        <v>214</v>
      </c>
      <c r="E222" s="98" t="s">
        <v>215</v>
      </c>
      <c r="F222" s="41">
        <f>250-43.7+7</f>
        <v>213.3</v>
      </c>
      <c r="G222" s="41">
        <v>0</v>
      </c>
      <c r="H222" s="41">
        <v>0</v>
      </c>
    </row>
    <row r="223" spans="1:8" ht="89.25">
      <c r="A223" s="5" t="s">
        <v>95</v>
      </c>
      <c r="B223" s="5" t="s">
        <v>123</v>
      </c>
      <c r="C223" s="76">
        <v>400000000</v>
      </c>
      <c r="D223" s="16"/>
      <c r="E223" s="142" t="s">
        <v>619</v>
      </c>
      <c r="F223" s="96">
        <f>F224</f>
        <v>1953.5</v>
      </c>
      <c r="G223" s="96">
        <f>G224</f>
        <v>1470</v>
      </c>
      <c r="H223" s="96">
        <f>H224</f>
        <v>1470</v>
      </c>
    </row>
    <row r="224" spans="1:8" ht="50.25" customHeight="1">
      <c r="A224" s="47" t="s">
        <v>95</v>
      </c>
      <c r="B224" s="47" t="s">
        <v>123</v>
      </c>
      <c r="C224" s="75">
        <v>410000000</v>
      </c>
      <c r="D224" s="30"/>
      <c r="E224" s="46" t="s">
        <v>482</v>
      </c>
      <c r="F224" s="93">
        <f>F225+F227+F229+F231+F233+F235+F237+F239+F241</f>
        <v>1953.5</v>
      </c>
      <c r="G224" s="93">
        <f>G225+G227+G229+G231+G233+G235+G237+G239+G241</f>
        <v>1470</v>
      </c>
      <c r="H224" s="93">
        <f>H225+H227+H229+H231+H233+H235+H237+H239+H241</f>
        <v>1470</v>
      </c>
    </row>
    <row r="225" spans="1:8" ht="76.5">
      <c r="A225" s="16" t="s">
        <v>95</v>
      </c>
      <c r="B225" s="16" t="s">
        <v>123</v>
      </c>
      <c r="C225" s="136" t="s">
        <v>699</v>
      </c>
      <c r="D225" s="82"/>
      <c r="E225" s="98" t="s">
        <v>639</v>
      </c>
      <c r="F225" s="39">
        <f t="shared" ref="F225:H225" si="20">F226</f>
        <v>50</v>
      </c>
      <c r="G225" s="39">
        <f t="shared" si="20"/>
        <v>50</v>
      </c>
      <c r="H225" s="39">
        <f t="shared" si="20"/>
        <v>50</v>
      </c>
    </row>
    <row r="226" spans="1:8" ht="38.25">
      <c r="A226" s="16" t="s">
        <v>95</v>
      </c>
      <c r="B226" s="16" t="s">
        <v>123</v>
      </c>
      <c r="C226" s="136" t="s">
        <v>699</v>
      </c>
      <c r="D226" s="82" t="s">
        <v>214</v>
      </c>
      <c r="E226" s="98" t="s">
        <v>215</v>
      </c>
      <c r="F226" s="39">
        <v>50</v>
      </c>
      <c r="G226" s="39">
        <v>50</v>
      </c>
      <c r="H226" s="39">
        <v>50</v>
      </c>
    </row>
    <row r="227" spans="1:8" ht="25.5">
      <c r="A227" s="16" t="s">
        <v>95</v>
      </c>
      <c r="B227" s="16" t="s">
        <v>123</v>
      </c>
      <c r="C227" s="136" t="s">
        <v>698</v>
      </c>
      <c r="D227" s="82"/>
      <c r="E227" s="98" t="s">
        <v>485</v>
      </c>
      <c r="F227" s="39">
        <f>F228</f>
        <v>30</v>
      </c>
      <c r="G227" s="39">
        <f>G228</f>
        <v>20</v>
      </c>
      <c r="H227" s="39">
        <f>H228</f>
        <v>20</v>
      </c>
    </row>
    <row r="228" spans="1:8" ht="38.25">
      <c r="A228" s="16" t="s">
        <v>95</v>
      </c>
      <c r="B228" s="16" t="s">
        <v>123</v>
      </c>
      <c r="C228" s="136" t="s">
        <v>698</v>
      </c>
      <c r="D228" s="82" t="s">
        <v>214</v>
      </c>
      <c r="E228" s="98" t="s">
        <v>215</v>
      </c>
      <c r="F228" s="39">
        <v>30</v>
      </c>
      <c r="G228" s="39">
        <v>20</v>
      </c>
      <c r="H228" s="39">
        <v>20</v>
      </c>
    </row>
    <row r="229" spans="1:8" ht="40.5" customHeight="1">
      <c r="A229" s="16" t="s">
        <v>95</v>
      </c>
      <c r="B229" s="16" t="s">
        <v>123</v>
      </c>
      <c r="C229" s="136" t="s">
        <v>697</v>
      </c>
      <c r="D229" s="82"/>
      <c r="E229" s="98" t="s">
        <v>640</v>
      </c>
      <c r="F229" s="39">
        <f>F230</f>
        <v>82.5</v>
      </c>
      <c r="G229" s="39">
        <f t="shared" ref="G229:H229" si="21">G230</f>
        <v>0</v>
      </c>
      <c r="H229" s="39">
        <f t="shared" si="21"/>
        <v>0</v>
      </c>
    </row>
    <row r="230" spans="1:8" ht="38.25">
      <c r="A230" s="16" t="s">
        <v>95</v>
      </c>
      <c r="B230" s="16" t="s">
        <v>123</v>
      </c>
      <c r="C230" s="136" t="s">
        <v>697</v>
      </c>
      <c r="D230" s="82" t="s">
        <v>214</v>
      </c>
      <c r="E230" s="98" t="s">
        <v>215</v>
      </c>
      <c r="F230" s="39">
        <v>82.5</v>
      </c>
      <c r="G230" s="39">
        <v>0</v>
      </c>
      <c r="H230" s="39">
        <v>0</v>
      </c>
    </row>
    <row r="231" spans="1:8">
      <c r="A231" s="16" t="s">
        <v>95</v>
      </c>
      <c r="B231" s="16" t="s">
        <v>123</v>
      </c>
      <c r="C231" s="136" t="s">
        <v>700</v>
      </c>
      <c r="D231" s="82"/>
      <c r="E231" s="98" t="s">
        <v>641</v>
      </c>
      <c r="F231" s="39">
        <f>F232</f>
        <v>5</v>
      </c>
      <c r="G231" s="39">
        <f t="shared" ref="G231:H231" si="22">G232</f>
        <v>0</v>
      </c>
      <c r="H231" s="39">
        <f t="shared" si="22"/>
        <v>0</v>
      </c>
    </row>
    <row r="232" spans="1:8" ht="38.25">
      <c r="A232" s="16" t="s">
        <v>95</v>
      </c>
      <c r="B232" s="16" t="s">
        <v>123</v>
      </c>
      <c r="C232" s="136" t="s">
        <v>700</v>
      </c>
      <c r="D232" s="82" t="s">
        <v>214</v>
      </c>
      <c r="E232" s="98" t="s">
        <v>215</v>
      </c>
      <c r="F232" s="39">
        <v>5</v>
      </c>
      <c r="G232" s="39">
        <v>0</v>
      </c>
      <c r="H232" s="39">
        <v>0</v>
      </c>
    </row>
    <row r="233" spans="1:8" ht="63.75">
      <c r="A233" s="16" t="s">
        <v>95</v>
      </c>
      <c r="B233" s="16" t="s">
        <v>123</v>
      </c>
      <c r="C233" s="136" t="s">
        <v>701</v>
      </c>
      <c r="D233" s="82"/>
      <c r="E233" s="98" t="s">
        <v>642</v>
      </c>
      <c r="F233" s="39">
        <f>F234</f>
        <v>150</v>
      </c>
      <c r="G233" s="39">
        <f t="shared" ref="G233:H233" si="23">G234</f>
        <v>100</v>
      </c>
      <c r="H233" s="39">
        <f t="shared" si="23"/>
        <v>100</v>
      </c>
    </row>
    <row r="234" spans="1:8" ht="63.75">
      <c r="A234" s="16" t="s">
        <v>95</v>
      </c>
      <c r="B234" s="16" t="s">
        <v>123</v>
      </c>
      <c r="C234" s="136" t="s">
        <v>701</v>
      </c>
      <c r="D234" s="16" t="s">
        <v>12</v>
      </c>
      <c r="E234" s="98" t="s">
        <v>374</v>
      </c>
      <c r="F234" s="39">
        <v>150</v>
      </c>
      <c r="G234" s="39">
        <v>100</v>
      </c>
      <c r="H234" s="39">
        <v>100</v>
      </c>
    </row>
    <row r="235" spans="1:8" ht="63.75">
      <c r="A235" s="16" t="s">
        <v>95</v>
      </c>
      <c r="B235" s="16" t="s">
        <v>123</v>
      </c>
      <c r="C235" s="136" t="s">
        <v>702</v>
      </c>
      <c r="D235" s="82"/>
      <c r="E235" s="98" t="s">
        <v>490</v>
      </c>
      <c r="F235" s="39">
        <f>F236</f>
        <v>500</v>
      </c>
      <c r="G235" s="39">
        <f t="shared" ref="G235:H235" si="24">G236</f>
        <v>500</v>
      </c>
      <c r="H235" s="39">
        <f t="shared" si="24"/>
        <v>500</v>
      </c>
    </row>
    <row r="236" spans="1:8" ht="63.75">
      <c r="A236" s="16" t="s">
        <v>95</v>
      </c>
      <c r="B236" s="16" t="s">
        <v>123</v>
      </c>
      <c r="C236" s="136" t="s">
        <v>702</v>
      </c>
      <c r="D236" s="16" t="s">
        <v>12</v>
      </c>
      <c r="E236" s="98" t="s">
        <v>374</v>
      </c>
      <c r="F236" s="39">
        <f>1000-500</f>
        <v>500</v>
      </c>
      <c r="G236" s="39">
        <v>500</v>
      </c>
      <c r="H236" s="39">
        <v>500</v>
      </c>
    </row>
    <row r="237" spans="1:8" ht="105.75" customHeight="1">
      <c r="A237" s="16" t="s">
        <v>95</v>
      </c>
      <c r="B237" s="16" t="s">
        <v>123</v>
      </c>
      <c r="C237" s="136" t="s">
        <v>703</v>
      </c>
      <c r="D237" s="82"/>
      <c r="E237" s="98" t="s">
        <v>491</v>
      </c>
      <c r="F237" s="39">
        <f>F238</f>
        <v>80</v>
      </c>
      <c r="G237" s="39">
        <f t="shared" ref="G237:H237" si="25">G238</f>
        <v>100</v>
      </c>
      <c r="H237" s="39">
        <f t="shared" si="25"/>
        <v>100</v>
      </c>
    </row>
    <row r="238" spans="1:8" ht="63.75">
      <c r="A238" s="16" t="s">
        <v>95</v>
      </c>
      <c r="B238" s="16" t="s">
        <v>123</v>
      </c>
      <c r="C238" s="136" t="s">
        <v>703</v>
      </c>
      <c r="D238" s="16" t="s">
        <v>12</v>
      </c>
      <c r="E238" s="98" t="s">
        <v>374</v>
      </c>
      <c r="F238" s="39">
        <v>80</v>
      </c>
      <c r="G238" s="39">
        <v>100</v>
      </c>
      <c r="H238" s="39">
        <v>100</v>
      </c>
    </row>
    <row r="239" spans="1:8" ht="102">
      <c r="A239" s="16" t="s">
        <v>95</v>
      </c>
      <c r="B239" s="16" t="s">
        <v>123</v>
      </c>
      <c r="C239" s="136" t="s">
        <v>704</v>
      </c>
      <c r="D239" s="82"/>
      <c r="E239" s="98" t="s">
        <v>492</v>
      </c>
      <c r="F239" s="39">
        <f>F240</f>
        <v>700</v>
      </c>
      <c r="G239" s="39">
        <f t="shared" ref="G239:H239" si="26">G240</f>
        <v>700</v>
      </c>
      <c r="H239" s="39">
        <f t="shared" si="26"/>
        <v>700</v>
      </c>
    </row>
    <row r="240" spans="1:8" ht="63.75">
      <c r="A240" s="16" t="s">
        <v>95</v>
      </c>
      <c r="B240" s="16" t="s">
        <v>123</v>
      </c>
      <c r="C240" s="136" t="s">
        <v>704</v>
      </c>
      <c r="D240" s="16" t="s">
        <v>12</v>
      </c>
      <c r="E240" s="98" t="s">
        <v>374</v>
      </c>
      <c r="F240" s="39">
        <v>700</v>
      </c>
      <c r="G240" s="39">
        <v>700</v>
      </c>
      <c r="H240" s="39">
        <v>700</v>
      </c>
    </row>
    <row r="241" spans="1:8" ht="102">
      <c r="A241" s="16" t="s">
        <v>95</v>
      </c>
      <c r="B241" s="16" t="s">
        <v>123</v>
      </c>
      <c r="C241" s="136" t="s">
        <v>705</v>
      </c>
      <c r="D241" s="16"/>
      <c r="E241" s="98" t="s">
        <v>643</v>
      </c>
      <c r="F241" s="39">
        <f>F242</f>
        <v>356</v>
      </c>
      <c r="G241" s="39">
        <f t="shared" ref="G241:H241" si="27">G242</f>
        <v>0</v>
      </c>
      <c r="H241" s="39">
        <f t="shared" si="27"/>
        <v>0</v>
      </c>
    </row>
    <row r="242" spans="1:8" ht="63.75">
      <c r="A242" s="16" t="s">
        <v>95</v>
      </c>
      <c r="B242" s="16" t="s">
        <v>123</v>
      </c>
      <c r="C242" s="136" t="s">
        <v>705</v>
      </c>
      <c r="D242" s="16" t="s">
        <v>12</v>
      </c>
      <c r="E242" s="98" t="s">
        <v>374</v>
      </c>
      <c r="F242" s="39">
        <v>356</v>
      </c>
      <c r="G242" s="39">
        <v>0</v>
      </c>
      <c r="H242" s="39">
        <v>0</v>
      </c>
    </row>
    <row r="243" spans="1:8" ht="76.5">
      <c r="A243" s="5" t="s">
        <v>95</v>
      </c>
      <c r="B243" s="5" t="s">
        <v>123</v>
      </c>
      <c r="C243" s="73" t="s">
        <v>147</v>
      </c>
      <c r="D243" s="16"/>
      <c r="E243" s="63" t="s">
        <v>624</v>
      </c>
      <c r="F243" s="96">
        <f>F244</f>
        <v>1356.4</v>
      </c>
      <c r="G243" s="96">
        <f>G244</f>
        <v>300</v>
      </c>
      <c r="H243" s="96">
        <f>H244</f>
        <v>300</v>
      </c>
    </row>
    <row r="244" spans="1:8" ht="63.75">
      <c r="A244" s="47" t="s">
        <v>95</v>
      </c>
      <c r="B244" s="47" t="s">
        <v>123</v>
      </c>
      <c r="C244" s="52" t="s">
        <v>148</v>
      </c>
      <c r="D244" s="16"/>
      <c r="E244" s="48" t="s">
        <v>588</v>
      </c>
      <c r="F244" s="93">
        <f>F245+F247+F249+F251</f>
        <v>1356.4</v>
      </c>
      <c r="G244" s="93">
        <f>G245+G247+G249+G251</f>
        <v>300</v>
      </c>
      <c r="H244" s="93">
        <f>H245+H247+H249+H251</f>
        <v>300</v>
      </c>
    </row>
    <row r="245" spans="1:8" ht="51">
      <c r="A245" s="16" t="s">
        <v>95</v>
      </c>
      <c r="B245" s="16" t="s">
        <v>123</v>
      </c>
      <c r="C245" s="138" t="s">
        <v>531</v>
      </c>
      <c r="D245" s="16"/>
      <c r="E245" s="99" t="s">
        <v>587</v>
      </c>
      <c r="F245" s="39">
        <f>F246</f>
        <v>0</v>
      </c>
      <c r="G245" s="39">
        <f>G246</f>
        <v>0</v>
      </c>
      <c r="H245" s="39">
        <f>H246</f>
        <v>300</v>
      </c>
    </row>
    <row r="246" spans="1:8" ht="38.25">
      <c r="A246" s="16" t="s">
        <v>95</v>
      </c>
      <c r="B246" s="16" t="s">
        <v>123</v>
      </c>
      <c r="C246" s="138" t="s">
        <v>531</v>
      </c>
      <c r="D246" s="82" t="s">
        <v>214</v>
      </c>
      <c r="E246" s="98" t="s">
        <v>215</v>
      </c>
      <c r="F246" s="39">
        <v>0</v>
      </c>
      <c r="G246" s="39">
        <v>0</v>
      </c>
      <c r="H246" s="39">
        <v>300</v>
      </c>
    </row>
    <row r="247" spans="1:8" ht="89.25">
      <c r="A247" s="16" t="s">
        <v>95</v>
      </c>
      <c r="B247" s="16" t="s">
        <v>123</v>
      </c>
      <c r="C247" s="74">
        <v>810123102</v>
      </c>
      <c r="D247" s="16"/>
      <c r="E247" s="99" t="s">
        <v>532</v>
      </c>
      <c r="F247" s="39">
        <f>F248</f>
        <v>591</v>
      </c>
      <c r="G247" s="39">
        <f>G248</f>
        <v>100</v>
      </c>
      <c r="H247" s="39">
        <f>H248</f>
        <v>0</v>
      </c>
    </row>
    <row r="248" spans="1:8" ht="38.25">
      <c r="A248" s="16" t="s">
        <v>95</v>
      </c>
      <c r="B248" s="16" t="s">
        <v>123</v>
      </c>
      <c r="C248" s="74">
        <v>810123102</v>
      </c>
      <c r="D248" s="82" t="s">
        <v>214</v>
      </c>
      <c r="E248" s="98" t="s">
        <v>215</v>
      </c>
      <c r="F248" s="39">
        <v>591</v>
      </c>
      <c r="G248" s="39">
        <v>100</v>
      </c>
      <c r="H248" s="39">
        <v>0</v>
      </c>
    </row>
    <row r="249" spans="1:8" ht="76.5">
      <c r="A249" s="16" t="s">
        <v>95</v>
      </c>
      <c r="B249" s="16" t="s">
        <v>123</v>
      </c>
      <c r="C249" s="74">
        <v>810123103</v>
      </c>
      <c r="D249" s="82"/>
      <c r="E249" s="98" t="s">
        <v>533</v>
      </c>
      <c r="F249" s="39">
        <f>F250</f>
        <v>435</v>
      </c>
      <c r="G249" s="39">
        <f>G250</f>
        <v>100</v>
      </c>
      <c r="H249" s="39">
        <f>H250</f>
        <v>0</v>
      </c>
    </row>
    <row r="250" spans="1:8" ht="38.25">
      <c r="A250" s="16" t="s">
        <v>95</v>
      </c>
      <c r="B250" s="16" t="s">
        <v>123</v>
      </c>
      <c r="C250" s="74">
        <v>810123103</v>
      </c>
      <c r="D250" s="82" t="s">
        <v>214</v>
      </c>
      <c r="E250" s="98" t="s">
        <v>215</v>
      </c>
      <c r="F250" s="39">
        <v>435</v>
      </c>
      <c r="G250" s="39">
        <v>100</v>
      </c>
      <c r="H250" s="39">
        <v>0</v>
      </c>
    </row>
    <row r="251" spans="1:8" ht="89.25">
      <c r="A251" s="16" t="s">
        <v>95</v>
      </c>
      <c r="B251" s="16" t="s">
        <v>123</v>
      </c>
      <c r="C251" s="74">
        <v>810123104</v>
      </c>
      <c r="D251" s="82"/>
      <c r="E251" s="98" t="s">
        <v>534</v>
      </c>
      <c r="F251" s="39">
        <f>F252</f>
        <v>330.4</v>
      </c>
      <c r="G251" s="39">
        <f>G252</f>
        <v>100</v>
      </c>
      <c r="H251" s="39">
        <f>H252</f>
        <v>0</v>
      </c>
    </row>
    <row r="252" spans="1:8" ht="38.25">
      <c r="A252" s="16" t="s">
        <v>95</v>
      </c>
      <c r="B252" s="16" t="s">
        <v>123</v>
      </c>
      <c r="C252" s="74">
        <v>810123104</v>
      </c>
      <c r="D252" s="82" t="s">
        <v>214</v>
      </c>
      <c r="E252" s="98" t="s">
        <v>215</v>
      </c>
      <c r="F252" s="39">
        <f>295.4+35</f>
        <v>330.4</v>
      </c>
      <c r="G252" s="39">
        <v>100</v>
      </c>
      <c r="H252" s="39">
        <v>0</v>
      </c>
    </row>
    <row r="253" spans="1:8" ht="30">
      <c r="A253" s="4" t="s">
        <v>96</v>
      </c>
      <c r="B253" s="3"/>
      <c r="C253" s="3"/>
      <c r="D253" s="3"/>
      <c r="E253" s="49" t="s">
        <v>48</v>
      </c>
      <c r="F253" s="92">
        <f>F254+F281+F321+F387</f>
        <v>93841.2</v>
      </c>
      <c r="G253" s="92">
        <f>G254+G281+G321+G387</f>
        <v>35648.5</v>
      </c>
      <c r="H253" s="92">
        <f>H254+H281+H321+H387</f>
        <v>36047.200000000004</v>
      </c>
    </row>
    <row r="254" spans="1:8" ht="14.25">
      <c r="A254" s="30" t="s">
        <v>96</v>
      </c>
      <c r="B254" s="30" t="s">
        <v>89</v>
      </c>
      <c r="C254" s="30"/>
      <c r="D254" s="30"/>
      <c r="E254" s="27" t="s">
        <v>43</v>
      </c>
      <c r="F254" s="40">
        <f>F255</f>
        <v>7602.2</v>
      </c>
      <c r="G254" s="40">
        <f>G255</f>
        <v>6043.9</v>
      </c>
      <c r="H254" s="40">
        <f>H255</f>
        <v>6087.8</v>
      </c>
    </row>
    <row r="255" spans="1:8" ht="76.5">
      <c r="A255" s="5" t="s">
        <v>96</v>
      </c>
      <c r="B255" s="5" t="s">
        <v>89</v>
      </c>
      <c r="C255" s="73" t="s">
        <v>155</v>
      </c>
      <c r="D255" s="16"/>
      <c r="E255" s="142" t="s">
        <v>618</v>
      </c>
      <c r="F255" s="96">
        <f>F256+F262+F276</f>
        <v>7602.2</v>
      </c>
      <c r="G255" s="96">
        <f>G256+G262+G276</f>
        <v>6043.9</v>
      </c>
      <c r="H255" s="96">
        <f>H256+H262+H276</f>
        <v>6087.8</v>
      </c>
    </row>
    <row r="256" spans="1:8" ht="40.5" customHeight="1">
      <c r="A256" s="47" t="s">
        <v>96</v>
      </c>
      <c r="B256" s="47" t="s">
        <v>89</v>
      </c>
      <c r="C256" s="52" t="s">
        <v>151</v>
      </c>
      <c r="D256" s="16"/>
      <c r="E256" s="48" t="s">
        <v>302</v>
      </c>
      <c r="F256" s="93">
        <f>F257+F260</f>
        <v>1618</v>
      </c>
      <c r="G256" s="93">
        <f>G257+G260</f>
        <v>906.1</v>
      </c>
      <c r="H256" s="93">
        <f>H257+H260</f>
        <v>950</v>
      </c>
    </row>
    <row r="257" spans="1:8" ht="51">
      <c r="A257" s="16" t="s">
        <v>96</v>
      </c>
      <c r="B257" s="16" t="s">
        <v>89</v>
      </c>
      <c r="C257" s="137" t="s">
        <v>503</v>
      </c>
      <c r="D257" s="3"/>
      <c r="E257" s="98" t="s">
        <v>268</v>
      </c>
      <c r="F257" s="41">
        <f>SUM(F258:F259)</f>
        <v>1040.5</v>
      </c>
      <c r="G257" s="41">
        <f t="shared" ref="G257:H257" si="28">SUM(G258:G259)</f>
        <v>150</v>
      </c>
      <c r="H257" s="41">
        <f t="shared" si="28"/>
        <v>150</v>
      </c>
    </row>
    <row r="258" spans="1:8" ht="38.25">
      <c r="A258" s="16" t="s">
        <v>96</v>
      </c>
      <c r="B258" s="16" t="s">
        <v>89</v>
      </c>
      <c r="C258" s="137" t="s">
        <v>503</v>
      </c>
      <c r="D258" s="82" t="s">
        <v>214</v>
      </c>
      <c r="E258" s="98" t="s">
        <v>215</v>
      </c>
      <c r="F258" s="41">
        <f>100+853.3+72.8+2.5</f>
        <v>1028.5999999999999</v>
      </c>
      <c r="G258" s="41">
        <v>150</v>
      </c>
      <c r="H258" s="41">
        <v>150</v>
      </c>
    </row>
    <row r="259" spans="1:8">
      <c r="A259" s="16" t="s">
        <v>96</v>
      </c>
      <c r="B259" s="16" t="s">
        <v>89</v>
      </c>
      <c r="C259" s="137" t="s">
        <v>503</v>
      </c>
      <c r="D259" s="82" t="s">
        <v>726</v>
      </c>
      <c r="E259" s="98" t="s">
        <v>727</v>
      </c>
      <c r="F259" s="41">
        <f>7.6+4.3</f>
        <v>11.899999999999999</v>
      </c>
      <c r="G259" s="41">
        <v>0</v>
      </c>
      <c r="H259" s="41">
        <v>0</v>
      </c>
    </row>
    <row r="260" spans="1:8" ht="25.5">
      <c r="A260" s="16" t="s">
        <v>96</v>
      </c>
      <c r="B260" s="16" t="s">
        <v>89</v>
      </c>
      <c r="C260" s="21" t="s">
        <v>504</v>
      </c>
      <c r="D260" s="3"/>
      <c r="E260" s="98" t="s">
        <v>343</v>
      </c>
      <c r="F260" s="41">
        <f>F261</f>
        <v>577.5</v>
      </c>
      <c r="G260" s="41">
        <f>G261</f>
        <v>756.1</v>
      </c>
      <c r="H260" s="41">
        <f>H261</f>
        <v>800</v>
      </c>
    </row>
    <row r="261" spans="1:8" ht="38.25">
      <c r="A261" s="16" t="s">
        <v>96</v>
      </c>
      <c r="B261" s="16" t="s">
        <v>89</v>
      </c>
      <c r="C261" s="21" t="s">
        <v>504</v>
      </c>
      <c r="D261" s="82" t="s">
        <v>214</v>
      </c>
      <c r="E261" s="98" t="s">
        <v>215</v>
      </c>
      <c r="F261" s="39">
        <f>800-222.5</f>
        <v>577.5</v>
      </c>
      <c r="G261" s="39">
        <f>800-43.9</f>
        <v>756.1</v>
      </c>
      <c r="H261" s="39">
        <v>800</v>
      </c>
    </row>
    <row r="262" spans="1:8" ht="38.25">
      <c r="A262" s="47" t="s">
        <v>96</v>
      </c>
      <c r="B262" s="47" t="s">
        <v>89</v>
      </c>
      <c r="C262" s="52" t="s">
        <v>152</v>
      </c>
      <c r="D262" s="16"/>
      <c r="E262" s="48" t="s">
        <v>149</v>
      </c>
      <c r="F262" s="93">
        <f>F263+F265+F267+F269+F272+F274</f>
        <v>2607.5</v>
      </c>
      <c r="G262" s="93">
        <f>G263+G265+G267+G269+G272+G274</f>
        <v>2223.6999999999998</v>
      </c>
      <c r="H262" s="93">
        <f>H263+H265+H267+H269+H272+H274</f>
        <v>1810</v>
      </c>
    </row>
    <row r="263" spans="1:8" ht="131.25" customHeight="1">
      <c r="A263" s="16" t="s">
        <v>96</v>
      </c>
      <c r="B263" s="16" t="s">
        <v>89</v>
      </c>
      <c r="C263" s="79">
        <v>520123261</v>
      </c>
      <c r="D263" s="3"/>
      <c r="E263" s="98" t="s">
        <v>273</v>
      </c>
      <c r="F263" s="41">
        <f>F264</f>
        <v>0</v>
      </c>
      <c r="G263" s="41">
        <f>G264</f>
        <v>100</v>
      </c>
      <c r="H263" s="41">
        <f>H264</f>
        <v>100</v>
      </c>
    </row>
    <row r="264" spans="1:8" ht="38.25">
      <c r="A264" s="16" t="s">
        <v>96</v>
      </c>
      <c r="B264" s="16" t="s">
        <v>89</v>
      </c>
      <c r="C264" s="79">
        <v>520123261</v>
      </c>
      <c r="D264" s="82" t="s">
        <v>214</v>
      </c>
      <c r="E264" s="98" t="s">
        <v>215</v>
      </c>
      <c r="F264" s="41">
        <v>0</v>
      </c>
      <c r="G264" s="41">
        <v>100</v>
      </c>
      <c r="H264" s="41">
        <v>100</v>
      </c>
    </row>
    <row r="265" spans="1:8" ht="51">
      <c r="A265" s="16" t="s">
        <v>96</v>
      </c>
      <c r="B265" s="16" t="s">
        <v>89</v>
      </c>
      <c r="C265" s="79">
        <v>520123262</v>
      </c>
      <c r="D265" s="16"/>
      <c r="E265" s="98" t="s">
        <v>304</v>
      </c>
      <c r="F265" s="41">
        <f>F266</f>
        <v>20</v>
      </c>
      <c r="G265" s="41">
        <f>G266</f>
        <v>0</v>
      </c>
      <c r="H265" s="41">
        <f>H266</f>
        <v>20</v>
      </c>
    </row>
    <row r="266" spans="1:8" ht="38.25">
      <c r="A266" s="16" t="s">
        <v>96</v>
      </c>
      <c r="B266" s="16" t="s">
        <v>89</v>
      </c>
      <c r="C266" s="79">
        <v>520123262</v>
      </c>
      <c r="D266" s="82" t="s">
        <v>214</v>
      </c>
      <c r="E266" s="98" t="s">
        <v>215</v>
      </c>
      <c r="F266" s="41">
        <v>20</v>
      </c>
      <c r="G266" s="41">
        <v>0</v>
      </c>
      <c r="H266" s="41">
        <v>20</v>
      </c>
    </row>
    <row r="267" spans="1:8" ht="25.5">
      <c r="A267" s="16" t="s">
        <v>96</v>
      </c>
      <c r="B267" s="16" t="s">
        <v>89</v>
      </c>
      <c r="C267" s="137" t="s">
        <v>505</v>
      </c>
      <c r="D267" s="82"/>
      <c r="E267" s="98" t="s">
        <v>506</v>
      </c>
      <c r="F267" s="41">
        <f>F268</f>
        <v>200</v>
      </c>
      <c r="G267" s="41">
        <f>G268</f>
        <v>160</v>
      </c>
      <c r="H267" s="41">
        <f>H268</f>
        <v>170</v>
      </c>
    </row>
    <row r="268" spans="1:8" ht="38.25">
      <c r="A268" s="16" t="s">
        <v>96</v>
      </c>
      <c r="B268" s="16" t="s">
        <v>89</v>
      </c>
      <c r="C268" s="137" t="s">
        <v>505</v>
      </c>
      <c r="D268" s="82" t="s">
        <v>214</v>
      </c>
      <c r="E268" s="98" t="s">
        <v>215</v>
      </c>
      <c r="F268" s="41">
        <v>200</v>
      </c>
      <c r="G268" s="41">
        <v>160</v>
      </c>
      <c r="H268" s="41">
        <v>170</v>
      </c>
    </row>
    <row r="269" spans="1:8" ht="51">
      <c r="A269" s="16" t="s">
        <v>96</v>
      </c>
      <c r="B269" s="16" t="s">
        <v>89</v>
      </c>
      <c r="C269" s="79">
        <v>520223264</v>
      </c>
      <c r="D269" s="82"/>
      <c r="E269" s="98" t="s">
        <v>508</v>
      </c>
      <c r="F269" s="41">
        <f>SUM(F270:F271)</f>
        <v>2387.5</v>
      </c>
      <c r="G269" s="41">
        <f>SUM(G270:G271)</f>
        <v>300</v>
      </c>
      <c r="H269" s="41">
        <f>SUM(H270:H271)</f>
        <v>0</v>
      </c>
    </row>
    <row r="270" spans="1:8">
      <c r="A270" s="16" t="s">
        <v>96</v>
      </c>
      <c r="B270" s="16" t="s">
        <v>89</v>
      </c>
      <c r="C270" s="79">
        <v>520223264</v>
      </c>
      <c r="D270" s="82" t="s">
        <v>726</v>
      </c>
      <c r="E270" s="98" t="s">
        <v>727</v>
      </c>
      <c r="F270" s="41">
        <f>67.5+9.8</f>
        <v>77.3</v>
      </c>
      <c r="G270" s="41">
        <v>0</v>
      </c>
      <c r="H270" s="41">
        <v>0</v>
      </c>
    </row>
    <row r="271" spans="1:8" ht="25.5">
      <c r="A271" s="16" t="s">
        <v>96</v>
      </c>
      <c r="B271" s="16" t="s">
        <v>89</v>
      </c>
      <c r="C271" s="79">
        <v>520223264</v>
      </c>
      <c r="D271" s="82" t="s">
        <v>132</v>
      </c>
      <c r="E271" s="98" t="s">
        <v>133</v>
      </c>
      <c r="F271" s="41">
        <f>1648+325.2+337</f>
        <v>2310.1999999999998</v>
      </c>
      <c r="G271" s="41">
        <v>300</v>
      </c>
      <c r="H271" s="41">
        <v>0</v>
      </c>
    </row>
    <row r="272" spans="1:8" ht="63.75">
      <c r="A272" s="16" t="s">
        <v>96</v>
      </c>
      <c r="B272" s="16" t="s">
        <v>89</v>
      </c>
      <c r="C272" s="79">
        <v>520223265</v>
      </c>
      <c r="D272" s="82"/>
      <c r="E272" s="98" t="s">
        <v>509</v>
      </c>
      <c r="F272" s="41">
        <f>F273</f>
        <v>0</v>
      </c>
      <c r="G272" s="41">
        <f>G273</f>
        <v>1463.7</v>
      </c>
      <c r="H272" s="41">
        <f>H273</f>
        <v>1220</v>
      </c>
    </row>
    <row r="273" spans="1:8">
      <c r="A273" s="16" t="s">
        <v>96</v>
      </c>
      <c r="B273" s="16" t="s">
        <v>89</v>
      </c>
      <c r="C273" s="79">
        <v>520223265</v>
      </c>
      <c r="D273" s="82" t="s">
        <v>253</v>
      </c>
      <c r="E273" s="99" t="s">
        <v>276</v>
      </c>
      <c r="F273" s="41">
        <f>1296.4-307.6-988.8</f>
        <v>0</v>
      </c>
      <c r="G273" s="41">
        <v>1463.7</v>
      </c>
      <c r="H273" s="41">
        <v>1220</v>
      </c>
    </row>
    <row r="274" spans="1:8" ht="38.25">
      <c r="A274" s="16" t="s">
        <v>96</v>
      </c>
      <c r="B274" s="16" t="s">
        <v>89</v>
      </c>
      <c r="C274" s="21" t="s">
        <v>510</v>
      </c>
      <c r="D274" s="82"/>
      <c r="E274" s="99" t="s">
        <v>277</v>
      </c>
      <c r="F274" s="41">
        <f>F275</f>
        <v>0</v>
      </c>
      <c r="G274" s="41">
        <f>G275</f>
        <v>200</v>
      </c>
      <c r="H274" s="41">
        <f>H275</f>
        <v>300</v>
      </c>
    </row>
    <row r="275" spans="1:8" ht="38.25">
      <c r="A275" s="16" t="s">
        <v>96</v>
      </c>
      <c r="B275" s="16" t="s">
        <v>89</v>
      </c>
      <c r="C275" s="21" t="s">
        <v>510</v>
      </c>
      <c r="D275" s="82" t="s">
        <v>214</v>
      </c>
      <c r="E275" s="98" t="s">
        <v>215</v>
      </c>
      <c r="F275" s="41">
        <v>0</v>
      </c>
      <c r="G275" s="39">
        <v>200</v>
      </c>
      <c r="H275" s="39">
        <v>300</v>
      </c>
    </row>
    <row r="276" spans="1:8" ht="63.75">
      <c r="A276" s="47" t="s">
        <v>96</v>
      </c>
      <c r="B276" s="47" t="s">
        <v>89</v>
      </c>
      <c r="C276" s="52" t="s">
        <v>153</v>
      </c>
      <c r="D276" s="16"/>
      <c r="E276" s="48" t="s">
        <v>150</v>
      </c>
      <c r="F276" s="93">
        <f>F277+F279</f>
        <v>3376.7</v>
      </c>
      <c r="G276" s="93">
        <f>G277+G279</f>
        <v>2914.1</v>
      </c>
      <c r="H276" s="93">
        <f>H277+H279</f>
        <v>3327.8</v>
      </c>
    </row>
    <row r="277" spans="1:8" ht="66.75" customHeight="1">
      <c r="A277" s="82" t="s">
        <v>96</v>
      </c>
      <c r="B277" s="82" t="s">
        <v>89</v>
      </c>
      <c r="C277" s="79">
        <v>530123271</v>
      </c>
      <c r="D277" s="16"/>
      <c r="E277" s="98" t="s">
        <v>154</v>
      </c>
      <c r="F277" s="41">
        <f>F278</f>
        <v>1454.6000000000001</v>
      </c>
      <c r="G277" s="41">
        <f>G278</f>
        <v>1487.8</v>
      </c>
      <c r="H277" s="41">
        <f>H278</f>
        <v>1487.8</v>
      </c>
    </row>
    <row r="278" spans="1:8" ht="38.25">
      <c r="A278" s="16" t="s">
        <v>96</v>
      </c>
      <c r="B278" s="16" t="s">
        <v>89</v>
      </c>
      <c r="C278" s="79">
        <v>530123271</v>
      </c>
      <c r="D278" s="82" t="s">
        <v>214</v>
      </c>
      <c r="E278" s="98" t="s">
        <v>215</v>
      </c>
      <c r="F278" s="1">
        <f>1461.4-6.8</f>
        <v>1454.6000000000001</v>
      </c>
      <c r="G278" s="1">
        <v>1487.8</v>
      </c>
      <c r="H278" s="1">
        <v>1487.8</v>
      </c>
    </row>
    <row r="279" spans="1:8" ht="55.5" customHeight="1">
      <c r="A279" s="16" t="s">
        <v>96</v>
      </c>
      <c r="B279" s="16" t="s">
        <v>89</v>
      </c>
      <c r="C279" s="79">
        <v>530223272</v>
      </c>
      <c r="D279" s="16"/>
      <c r="E279" s="98" t="s">
        <v>512</v>
      </c>
      <c r="F279" s="41">
        <f t="shared" ref="F279:H279" si="29">F280</f>
        <v>1922.1</v>
      </c>
      <c r="G279" s="41">
        <f t="shared" si="29"/>
        <v>1426.3</v>
      </c>
      <c r="H279" s="41">
        <f t="shared" si="29"/>
        <v>1840</v>
      </c>
    </row>
    <row r="280" spans="1:8" ht="38.25">
      <c r="A280" s="16" t="s">
        <v>96</v>
      </c>
      <c r="B280" s="16" t="s">
        <v>89</v>
      </c>
      <c r="C280" s="79">
        <v>530223272</v>
      </c>
      <c r="D280" s="82" t="s">
        <v>214</v>
      </c>
      <c r="E280" s="98" t="s">
        <v>215</v>
      </c>
      <c r="F280" s="41">
        <v>1922.1</v>
      </c>
      <c r="G280" s="41">
        <v>1426.3</v>
      </c>
      <c r="H280" s="41">
        <v>1840</v>
      </c>
    </row>
    <row r="281" spans="1:8" ht="14.25">
      <c r="A281" s="30" t="s">
        <v>96</v>
      </c>
      <c r="B281" s="30" t="s">
        <v>90</v>
      </c>
      <c r="C281" s="30"/>
      <c r="D281" s="30"/>
      <c r="E281" s="27" t="s">
        <v>42</v>
      </c>
      <c r="F281" s="40">
        <f>F282+F296+F318</f>
        <v>28027.9</v>
      </c>
      <c r="G281" s="40">
        <f>G282+G296+G318</f>
        <v>9613.7000000000007</v>
      </c>
      <c r="H281" s="40">
        <f>H282+H296+H318</f>
        <v>10942.2</v>
      </c>
    </row>
    <row r="282" spans="1:8" ht="63.75">
      <c r="A282" s="5" t="s">
        <v>96</v>
      </c>
      <c r="B282" s="5" t="s">
        <v>90</v>
      </c>
      <c r="C282" s="76">
        <v>400000000</v>
      </c>
      <c r="D282" s="5"/>
      <c r="E282" s="64" t="s">
        <v>388</v>
      </c>
      <c r="F282" s="96">
        <f t="shared" ref="F282:H282" si="30">F283</f>
        <v>15191.8</v>
      </c>
      <c r="G282" s="96">
        <f t="shared" si="30"/>
        <v>4148.7</v>
      </c>
      <c r="H282" s="96">
        <f t="shared" si="30"/>
        <v>5477.2</v>
      </c>
    </row>
    <row r="283" spans="1:8" ht="93.75" customHeight="1">
      <c r="A283" s="16" t="s">
        <v>96</v>
      </c>
      <c r="B283" s="16" t="s">
        <v>90</v>
      </c>
      <c r="C283" s="75">
        <v>430000000</v>
      </c>
      <c r="D283" s="16"/>
      <c r="E283" s="46" t="s">
        <v>733</v>
      </c>
      <c r="F283" s="93">
        <f>F284+F286+F288+F290+F292+F294</f>
        <v>15191.8</v>
      </c>
      <c r="G283" s="93">
        <f t="shared" ref="G283:H283" si="31">G284+G286+G288+G290+G292+G294</f>
        <v>4148.7</v>
      </c>
      <c r="H283" s="93">
        <f t="shared" si="31"/>
        <v>5477.2</v>
      </c>
    </row>
    <row r="284" spans="1:8" ht="114.75">
      <c r="A284" s="16" t="s">
        <v>96</v>
      </c>
      <c r="B284" s="16" t="s">
        <v>90</v>
      </c>
      <c r="C284" s="74">
        <v>430227340</v>
      </c>
      <c r="D284" s="16"/>
      <c r="E284" s="98" t="s">
        <v>657</v>
      </c>
      <c r="F284" s="39">
        <f>F285</f>
        <v>1720</v>
      </c>
      <c r="G284" s="39">
        <f t="shared" ref="G284:H284" si="32">G285</f>
        <v>1250</v>
      </c>
      <c r="H284" s="39">
        <f t="shared" si="32"/>
        <v>1720</v>
      </c>
    </row>
    <row r="285" spans="1:8" ht="63.75">
      <c r="A285" s="16" t="s">
        <v>96</v>
      </c>
      <c r="B285" s="16" t="s">
        <v>90</v>
      </c>
      <c r="C285" s="74">
        <v>430227340</v>
      </c>
      <c r="D285" s="16" t="s">
        <v>12</v>
      </c>
      <c r="E285" s="98" t="s">
        <v>326</v>
      </c>
      <c r="F285" s="39">
        <v>1720</v>
      </c>
      <c r="G285" s="39">
        <v>1250</v>
      </c>
      <c r="H285" s="39">
        <v>1720</v>
      </c>
    </row>
    <row r="286" spans="1:8" ht="124.5" customHeight="1">
      <c r="A286" s="16" t="s">
        <v>96</v>
      </c>
      <c r="B286" s="16" t="s">
        <v>90</v>
      </c>
      <c r="C286" s="74">
        <v>430227350</v>
      </c>
      <c r="D286" s="16"/>
      <c r="E286" s="98" t="s">
        <v>644</v>
      </c>
      <c r="F286" s="39">
        <f>F287</f>
        <v>21.7</v>
      </c>
      <c r="G286" s="39">
        <f t="shared" ref="G286:H286" si="33">G287</f>
        <v>0</v>
      </c>
      <c r="H286" s="39">
        <f t="shared" si="33"/>
        <v>21.7</v>
      </c>
    </row>
    <row r="287" spans="1:8" ht="63.75">
      <c r="A287" s="16" t="s">
        <v>96</v>
      </c>
      <c r="B287" s="16" t="s">
        <v>90</v>
      </c>
      <c r="C287" s="74">
        <v>430227350</v>
      </c>
      <c r="D287" s="16" t="s">
        <v>12</v>
      </c>
      <c r="E287" s="98" t="s">
        <v>326</v>
      </c>
      <c r="F287" s="39">
        <v>21.7</v>
      </c>
      <c r="G287" s="39">
        <v>0</v>
      </c>
      <c r="H287" s="39">
        <v>21.7</v>
      </c>
    </row>
    <row r="288" spans="1:8" ht="126.75" customHeight="1">
      <c r="A288" s="16" t="s">
        <v>96</v>
      </c>
      <c r="B288" s="16" t="s">
        <v>90</v>
      </c>
      <c r="C288" s="74">
        <v>430227360</v>
      </c>
      <c r="D288" s="16"/>
      <c r="E288" s="98" t="s">
        <v>645</v>
      </c>
      <c r="F288" s="39">
        <f>F289</f>
        <v>5227.7</v>
      </c>
      <c r="G288" s="39">
        <f t="shared" ref="G288:H288" si="34">G289</f>
        <v>0</v>
      </c>
      <c r="H288" s="39">
        <f t="shared" si="34"/>
        <v>1661.6</v>
      </c>
    </row>
    <row r="289" spans="1:8" ht="63.75">
      <c r="A289" s="16" t="s">
        <v>96</v>
      </c>
      <c r="B289" s="16" t="s">
        <v>90</v>
      </c>
      <c r="C289" s="74">
        <v>430227360</v>
      </c>
      <c r="D289" s="16" t="s">
        <v>12</v>
      </c>
      <c r="E289" s="98" t="s">
        <v>326</v>
      </c>
      <c r="F289" s="39">
        <v>5227.7</v>
      </c>
      <c r="G289" s="39">
        <v>0</v>
      </c>
      <c r="H289" s="39">
        <v>1661.6</v>
      </c>
    </row>
    <row r="290" spans="1:8" ht="126.75" customHeight="1">
      <c r="A290" s="16" t="s">
        <v>96</v>
      </c>
      <c r="B290" s="16" t="s">
        <v>90</v>
      </c>
      <c r="C290" s="74">
        <v>430227370</v>
      </c>
      <c r="D290" s="16"/>
      <c r="E290" s="98" t="s">
        <v>658</v>
      </c>
      <c r="F290" s="39">
        <f>F291</f>
        <v>706.59999999999991</v>
      </c>
      <c r="G290" s="39">
        <f t="shared" ref="G290:H290" si="35">G291</f>
        <v>0</v>
      </c>
      <c r="H290" s="39">
        <f t="shared" si="35"/>
        <v>1107.7</v>
      </c>
    </row>
    <row r="291" spans="1:8" ht="63.75">
      <c r="A291" s="16" t="s">
        <v>96</v>
      </c>
      <c r="B291" s="16" t="s">
        <v>90</v>
      </c>
      <c r="C291" s="74">
        <v>430227370</v>
      </c>
      <c r="D291" s="16" t="s">
        <v>12</v>
      </c>
      <c r="E291" s="98" t="s">
        <v>326</v>
      </c>
      <c r="F291" s="39">
        <f>1606.6-900</f>
        <v>706.59999999999991</v>
      </c>
      <c r="G291" s="39">
        <v>0</v>
      </c>
      <c r="H291" s="39">
        <v>1107.7</v>
      </c>
    </row>
    <row r="292" spans="1:8" ht="127.5">
      <c r="A292" s="16" t="s">
        <v>96</v>
      </c>
      <c r="B292" s="16" t="s">
        <v>90</v>
      </c>
      <c r="C292" s="74">
        <v>430227390</v>
      </c>
      <c r="D292" s="16"/>
      <c r="E292" s="98" t="s">
        <v>730</v>
      </c>
      <c r="F292" s="39">
        <f>F293</f>
        <v>3115.8</v>
      </c>
      <c r="G292" s="39">
        <f t="shared" ref="G292:H292" si="36">G293</f>
        <v>2898.7</v>
      </c>
      <c r="H292" s="39">
        <f t="shared" si="36"/>
        <v>966.2</v>
      </c>
    </row>
    <row r="293" spans="1:8" ht="63.75">
      <c r="A293" s="16" t="s">
        <v>96</v>
      </c>
      <c r="B293" s="16" t="s">
        <v>90</v>
      </c>
      <c r="C293" s="74">
        <v>430227390</v>
      </c>
      <c r="D293" s="16" t="s">
        <v>12</v>
      </c>
      <c r="E293" s="98" t="s">
        <v>326</v>
      </c>
      <c r="F293" s="39">
        <v>3115.8</v>
      </c>
      <c r="G293" s="39">
        <v>2898.7</v>
      </c>
      <c r="H293" s="39">
        <v>966.2</v>
      </c>
    </row>
    <row r="294" spans="1:8" s="169" customFormat="1" ht="126.75" customHeight="1">
      <c r="A294" s="16" t="s">
        <v>96</v>
      </c>
      <c r="B294" s="16" t="s">
        <v>90</v>
      </c>
      <c r="C294" s="74">
        <v>430227400</v>
      </c>
      <c r="D294" s="16"/>
      <c r="E294" s="98" t="s">
        <v>774</v>
      </c>
      <c r="F294" s="39">
        <f>F295</f>
        <v>4400</v>
      </c>
      <c r="G294" s="39">
        <f t="shared" ref="G294:H294" si="37">G295</f>
        <v>0</v>
      </c>
      <c r="H294" s="39">
        <f t="shared" si="37"/>
        <v>0</v>
      </c>
    </row>
    <row r="295" spans="1:8" s="169" customFormat="1" ht="63.75">
      <c r="A295" s="16" t="s">
        <v>96</v>
      </c>
      <c r="B295" s="16" t="s">
        <v>90</v>
      </c>
      <c r="C295" s="74">
        <v>430227400</v>
      </c>
      <c r="D295" s="16" t="s">
        <v>12</v>
      </c>
      <c r="E295" s="98" t="s">
        <v>326</v>
      </c>
      <c r="F295" s="39">
        <v>4400</v>
      </c>
      <c r="G295" s="39">
        <v>0</v>
      </c>
      <c r="H295" s="39">
        <v>0</v>
      </c>
    </row>
    <row r="296" spans="1:8" ht="102">
      <c r="A296" s="5" t="s">
        <v>96</v>
      </c>
      <c r="B296" s="5" t="s">
        <v>90</v>
      </c>
      <c r="C296" s="81" t="s">
        <v>33</v>
      </c>
      <c r="D296" s="16"/>
      <c r="E296" s="53" t="s">
        <v>621</v>
      </c>
      <c r="F296" s="96">
        <f>F297+F304+F311</f>
        <v>12786.1</v>
      </c>
      <c r="G296" s="96">
        <f>G297+G304+G311</f>
        <v>5465</v>
      </c>
      <c r="H296" s="96">
        <f>H297+H304+H311</f>
        <v>5465</v>
      </c>
    </row>
    <row r="297" spans="1:8" ht="38.25">
      <c r="A297" s="16" t="s">
        <v>96</v>
      </c>
      <c r="B297" s="16" t="s">
        <v>90</v>
      </c>
      <c r="C297" s="52" t="s">
        <v>34</v>
      </c>
      <c r="D297" s="16"/>
      <c r="E297" s="48" t="s">
        <v>592</v>
      </c>
      <c r="F297" s="93">
        <f>F298+F300+F302</f>
        <v>495.7</v>
      </c>
      <c r="G297" s="93">
        <f t="shared" ref="G297:H297" si="38">G298+G300+G302</f>
        <v>565</v>
      </c>
      <c r="H297" s="93">
        <f t="shared" si="38"/>
        <v>565</v>
      </c>
    </row>
    <row r="298" spans="1:8" ht="25.5">
      <c r="A298" s="16" t="s">
        <v>96</v>
      </c>
      <c r="B298" s="16" t="s">
        <v>90</v>
      </c>
      <c r="C298" s="21" t="s">
        <v>516</v>
      </c>
      <c r="D298" s="3"/>
      <c r="E298" s="98" t="s">
        <v>190</v>
      </c>
      <c r="F298" s="41">
        <f t="shared" ref="F298:H298" si="39">F299</f>
        <v>485.7</v>
      </c>
      <c r="G298" s="41">
        <f t="shared" si="39"/>
        <v>445</v>
      </c>
      <c r="H298" s="41">
        <f t="shared" si="39"/>
        <v>445</v>
      </c>
    </row>
    <row r="299" spans="1:8" ht="38.25">
      <c r="A299" s="16" t="s">
        <v>96</v>
      </c>
      <c r="B299" s="16" t="s">
        <v>90</v>
      </c>
      <c r="C299" s="21" t="s">
        <v>516</v>
      </c>
      <c r="D299" s="82" t="s">
        <v>214</v>
      </c>
      <c r="E299" s="98" t="s">
        <v>215</v>
      </c>
      <c r="F299" s="41">
        <v>485.7</v>
      </c>
      <c r="G299" s="39">
        <v>445</v>
      </c>
      <c r="H299" s="39">
        <v>445</v>
      </c>
    </row>
    <row r="300" spans="1:8" ht="25.5">
      <c r="A300" s="16" t="s">
        <v>96</v>
      </c>
      <c r="B300" s="16" t="s">
        <v>90</v>
      </c>
      <c r="C300" s="21" t="s">
        <v>517</v>
      </c>
      <c r="D300" s="16"/>
      <c r="E300" s="98" t="s">
        <v>341</v>
      </c>
      <c r="F300" s="41">
        <f t="shared" ref="F300:H300" si="40">F301</f>
        <v>10</v>
      </c>
      <c r="G300" s="41">
        <f t="shared" si="40"/>
        <v>40</v>
      </c>
      <c r="H300" s="41">
        <f t="shared" si="40"/>
        <v>40</v>
      </c>
    </row>
    <row r="301" spans="1:8" ht="38.25">
      <c r="A301" s="16" t="s">
        <v>96</v>
      </c>
      <c r="B301" s="16" t="s">
        <v>90</v>
      </c>
      <c r="C301" s="21" t="s">
        <v>517</v>
      </c>
      <c r="D301" s="82" t="s">
        <v>214</v>
      </c>
      <c r="E301" s="98" t="s">
        <v>215</v>
      </c>
      <c r="F301" s="41">
        <f>8.3+1.7</f>
        <v>10</v>
      </c>
      <c r="G301" s="41">
        <v>40</v>
      </c>
      <c r="H301" s="41">
        <v>40</v>
      </c>
    </row>
    <row r="302" spans="1:8" ht="38.25">
      <c r="A302" s="16" t="s">
        <v>96</v>
      </c>
      <c r="B302" s="16" t="s">
        <v>90</v>
      </c>
      <c r="C302" s="21" t="s">
        <v>590</v>
      </c>
      <c r="D302" s="82"/>
      <c r="E302" s="98" t="s">
        <v>591</v>
      </c>
      <c r="F302" s="41">
        <f>F303</f>
        <v>0</v>
      </c>
      <c r="G302" s="41">
        <f t="shared" ref="G302:H302" si="41">G303</f>
        <v>80</v>
      </c>
      <c r="H302" s="41">
        <f t="shared" si="41"/>
        <v>80</v>
      </c>
    </row>
    <row r="303" spans="1:8" ht="38.25">
      <c r="A303" s="16" t="s">
        <v>96</v>
      </c>
      <c r="B303" s="16" t="s">
        <v>90</v>
      </c>
      <c r="C303" s="21" t="s">
        <v>590</v>
      </c>
      <c r="D303" s="82" t="s">
        <v>214</v>
      </c>
      <c r="E303" s="98" t="s">
        <v>215</v>
      </c>
      <c r="F303" s="41">
        <v>0</v>
      </c>
      <c r="G303" s="41">
        <v>80</v>
      </c>
      <c r="H303" s="41">
        <v>80</v>
      </c>
    </row>
    <row r="304" spans="1:8" ht="25.5">
      <c r="A304" s="47" t="s">
        <v>96</v>
      </c>
      <c r="B304" s="47" t="s">
        <v>90</v>
      </c>
      <c r="C304" s="52" t="s">
        <v>378</v>
      </c>
      <c r="D304" s="16"/>
      <c r="E304" s="46" t="s">
        <v>350</v>
      </c>
      <c r="F304" s="93">
        <f>F305+F307+F309</f>
        <v>1026.8999999999996</v>
      </c>
      <c r="G304" s="93">
        <f t="shared" ref="G304:H304" si="42">G305+G307+G309</f>
        <v>2900</v>
      </c>
      <c r="H304" s="93">
        <f t="shared" si="42"/>
        <v>2900</v>
      </c>
    </row>
    <row r="305" spans="1:8" ht="38.25">
      <c r="A305" s="16" t="s">
        <v>96</v>
      </c>
      <c r="B305" s="16" t="s">
        <v>90</v>
      </c>
      <c r="C305" s="21" t="s">
        <v>520</v>
      </c>
      <c r="D305" s="16"/>
      <c r="E305" s="97" t="s">
        <v>191</v>
      </c>
      <c r="F305" s="41">
        <f>F306</f>
        <v>178</v>
      </c>
      <c r="G305" s="41">
        <f>G306</f>
        <v>250</v>
      </c>
      <c r="H305" s="41">
        <f>H306</f>
        <v>250</v>
      </c>
    </row>
    <row r="306" spans="1:8" ht="38.25">
      <c r="A306" s="16" t="s">
        <v>96</v>
      </c>
      <c r="B306" s="16" t="s">
        <v>90</v>
      </c>
      <c r="C306" s="21" t="s">
        <v>520</v>
      </c>
      <c r="D306" s="82" t="s">
        <v>214</v>
      </c>
      <c r="E306" s="98" t="s">
        <v>215</v>
      </c>
      <c r="F306" s="41">
        <f>200-20.3-1.7</f>
        <v>178</v>
      </c>
      <c r="G306" s="41">
        <v>250</v>
      </c>
      <c r="H306" s="41">
        <v>250</v>
      </c>
    </row>
    <row r="307" spans="1:8" ht="25.5">
      <c r="A307" s="16" t="s">
        <v>96</v>
      </c>
      <c r="B307" s="16" t="s">
        <v>90</v>
      </c>
      <c r="C307" s="21" t="s">
        <v>522</v>
      </c>
      <c r="D307" s="82"/>
      <c r="E307" s="98" t="s">
        <v>521</v>
      </c>
      <c r="F307" s="41">
        <f>F308</f>
        <v>848.89999999999964</v>
      </c>
      <c r="G307" s="41">
        <f t="shared" ref="G307:H307" si="43">G308</f>
        <v>550</v>
      </c>
      <c r="H307" s="41">
        <f t="shared" si="43"/>
        <v>550</v>
      </c>
    </row>
    <row r="308" spans="1:8" ht="38.25">
      <c r="A308" s="16" t="s">
        <v>96</v>
      </c>
      <c r="B308" s="16" t="s">
        <v>90</v>
      </c>
      <c r="C308" s="21" t="s">
        <v>522</v>
      </c>
      <c r="D308" s="82" t="s">
        <v>214</v>
      </c>
      <c r="E308" s="98" t="s">
        <v>215</v>
      </c>
      <c r="F308" s="41">
        <f>500+146.9+280-78+5000-5000</f>
        <v>848.89999999999964</v>
      </c>
      <c r="G308" s="41">
        <v>550</v>
      </c>
      <c r="H308" s="41">
        <v>550</v>
      </c>
    </row>
    <row r="309" spans="1:8" ht="51">
      <c r="A309" s="16" t="s">
        <v>96</v>
      </c>
      <c r="B309" s="16" t="s">
        <v>90</v>
      </c>
      <c r="C309" s="21" t="s">
        <v>523</v>
      </c>
      <c r="D309" s="16"/>
      <c r="E309" s="98" t="s">
        <v>623</v>
      </c>
      <c r="F309" s="41">
        <f t="shared" ref="F309:H309" si="44">F310</f>
        <v>0</v>
      </c>
      <c r="G309" s="41">
        <f t="shared" si="44"/>
        <v>2100</v>
      </c>
      <c r="H309" s="41">
        <f t="shared" si="44"/>
        <v>2100</v>
      </c>
    </row>
    <row r="310" spans="1:8" ht="38.25">
      <c r="A310" s="16" t="s">
        <v>96</v>
      </c>
      <c r="B310" s="16" t="s">
        <v>90</v>
      </c>
      <c r="C310" s="21" t="s">
        <v>523</v>
      </c>
      <c r="D310" s="82" t="s">
        <v>214</v>
      </c>
      <c r="E310" s="98" t="s">
        <v>215</v>
      </c>
      <c r="F310" s="41">
        <f>2000+700-2700</f>
        <v>0</v>
      </c>
      <c r="G310" s="41">
        <v>2100</v>
      </c>
      <c r="H310" s="41">
        <v>2100</v>
      </c>
    </row>
    <row r="311" spans="1:8" ht="38.25">
      <c r="A311" s="16" t="s">
        <v>96</v>
      </c>
      <c r="B311" s="16" t="s">
        <v>90</v>
      </c>
      <c r="C311" s="52" t="s">
        <v>35</v>
      </c>
      <c r="D311" s="16"/>
      <c r="E311" s="46" t="s">
        <v>525</v>
      </c>
      <c r="F311" s="41">
        <f>F312+F314+F316</f>
        <v>11263.5</v>
      </c>
      <c r="G311" s="41">
        <f t="shared" ref="G311:H311" si="45">G312+G316</f>
        <v>2000</v>
      </c>
      <c r="H311" s="41">
        <f t="shared" si="45"/>
        <v>2000</v>
      </c>
    </row>
    <row r="312" spans="1:8" ht="38.25">
      <c r="A312" s="16" t="s">
        <v>96</v>
      </c>
      <c r="B312" s="16" t="s">
        <v>90</v>
      </c>
      <c r="C312" s="21" t="s">
        <v>527</v>
      </c>
      <c r="D312" s="16"/>
      <c r="E312" s="99" t="s">
        <v>526</v>
      </c>
      <c r="F312" s="41">
        <f>F313</f>
        <v>9726.5</v>
      </c>
      <c r="G312" s="41">
        <f t="shared" ref="G312:H312" si="46">G313</f>
        <v>1000</v>
      </c>
      <c r="H312" s="41">
        <f t="shared" si="46"/>
        <v>1000</v>
      </c>
    </row>
    <row r="313" spans="1:8" ht="38.25">
      <c r="A313" s="16" t="s">
        <v>96</v>
      </c>
      <c r="B313" s="16" t="s">
        <v>90</v>
      </c>
      <c r="C313" s="21" t="s">
        <v>527</v>
      </c>
      <c r="D313" s="82" t="s">
        <v>214</v>
      </c>
      <c r="E313" s="98" t="s">
        <v>215</v>
      </c>
      <c r="F313" s="41">
        <f>1700-700+700+3849.7+87.7+20.3+43.6+3961.7+63.5</f>
        <v>9726.5</v>
      </c>
      <c r="G313" s="41">
        <v>1000</v>
      </c>
      <c r="H313" s="41">
        <v>1000</v>
      </c>
    </row>
    <row r="314" spans="1:8" ht="51">
      <c r="A314" s="16" t="s">
        <v>96</v>
      </c>
      <c r="B314" s="16" t="s">
        <v>90</v>
      </c>
      <c r="C314" s="21" t="s">
        <v>736</v>
      </c>
      <c r="D314" s="82"/>
      <c r="E314" s="98" t="s">
        <v>735</v>
      </c>
      <c r="F314" s="41">
        <f>F315</f>
        <v>91</v>
      </c>
      <c r="G314" s="41">
        <f t="shared" ref="G314:H314" si="47">G315</f>
        <v>0</v>
      </c>
      <c r="H314" s="41">
        <f t="shared" si="47"/>
        <v>0</v>
      </c>
    </row>
    <row r="315" spans="1:8" ht="38.25">
      <c r="A315" s="16" t="s">
        <v>96</v>
      </c>
      <c r="B315" s="16" t="s">
        <v>90</v>
      </c>
      <c r="C315" s="21" t="s">
        <v>736</v>
      </c>
      <c r="D315" s="82" t="s">
        <v>214</v>
      </c>
      <c r="E315" s="98" t="s">
        <v>215</v>
      </c>
      <c r="F315" s="41">
        <v>91</v>
      </c>
      <c r="G315" s="41">
        <v>0</v>
      </c>
      <c r="H315" s="41">
        <v>0</v>
      </c>
    </row>
    <row r="316" spans="1:8" ht="25.5">
      <c r="A316" s="16" t="s">
        <v>96</v>
      </c>
      <c r="B316" s="16" t="s">
        <v>90</v>
      </c>
      <c r="C316" s="21" t="s">
        <v>528</v>
      </c>
      <c r="D316" s="16"/>
      <c r="E316" s="99" t="s">
        <v>380</v>
      </c>
      <c r="F316" s="41">
        <f>F317</f>
        <v>1446</v>
      </c>
      <c r="G316" s="41">
        <f t="shared" ref="G316:H316" si="48">G317</f>
        <v>1000</v>
      </c>
      <c r="H316" s="41">
        <f t="shared" si="48"/>
        <v>1000</v>
      </c>
    </row>
    <row r="317" spans="1:8">
      <c r="A317" s="16" t="s">
        <v>96</v>
      </c>
      <c r="B317" s="16" t="s">
        <v>90</v>
      </c>
      <c r="C317" s="21" t="s">
        <v>528</v>
      </c>
      <c r="D317" s="82" t="s">
        <v>253</v>
      </c>
      <c r="E317" s="99" t="s">
        <v>276</v>
      </c>
      <c r="F317" s="41">
        <f>1515.6-69.6</f>
        <v>1446</v>
      </c>
      <c r="G317" s="41">
        <v>1000</v>
      </c>
      <c r="H317" s="41">
        <v>1000</v>
      </c>
    </row>
    <row r="318" spans="1:8" ht="38.25">
      <c r="A318" s="16" t="s">
        <v>96</v>
      </c>
      <c r="B318" s="16" t="s">
        <v>90</v>
      </c>
      <c r="C318" s="82" t="s">
        <v>25</v>
      </c>
      <c r="D318" s="82"/>
      <c r="E318" s="99" t="s">
        <v>39</v>
      </c>
      <c r="F318" s="41">
        <f>F319</f>
        <v>50</v>
      </c>
      <c r="G318" s="41">
        <f t="shared" ref="G318:H318" si="49">G319</f>
        <v>0</v>
      </c>
      <c r="H318" s="41">
        <f t="shared" si="49"/>
        <v>0</v>
      </c>
    </row>
    <row r="319" spans="1:8" ht="51">
      <c r="A319" s="16" t="s">
        <v>96</v>
      </c>
      <c r="B319" s="16" t="s">
        <v>90</v>
      </c>
      <c r="C319" s="82" t="s">
        <v>611</v>
      </c>
      <c r="D319" s="16"/>
      <c r="E319" s="54" t="s">
        <v>610</v>
      </c>
      <c r="F319" s="41">
        <f>SUM(F320:F320)</f>
        <v>50</v>
      </c>
      <c r="G319" s="41">
        <f>SUM(G320:G320)</f>
        <v>0</v>
      </c>
      <c r="H319" s="41">
        <f>SUM(H320:H320)</f>
        <v>0</v>
      </c>
    </row>
    <row r="320" spans="1:8" ht="38.25">
      <c r="A320" s="16" t="s">
        <v>96</v>
      </c>
      <c r="B320" s="16" t="s">
        <v>90</v>
      </c>
      <c r="C320" s="82" t="s">
        <v>611</v>
      </c>
      <c r="D320" s="82" t="s">
        <v>214</v>
      </c>
      <c r="E320" s="98" t="s">
        <v>215</v>
      </c>
      <c r="F320" s="39">
        <v>50</v>
      </c>
      <c r="G320" s="39">
        <v>0</v>
      </c>
      <c r="H320" s="39">
        <v>0</v>
      </c>
    </row>
    <row r="321" spans="1:8" ht="14.25">
      <c r="A321" s="30" t="s">
        <v>96</v>
      </c>
      <c r="B321" s="30" t="s">
        <v>94</v>
      </c>
      <c r="C321" s="30"/>
      <c r="D321" s="30"/>
      <c r="E321" s="27" t="s">
        <v>49</v>
      </c>
      <c r="F321" s="40">
        <f>F322+F328+F365+F373</f>
        <v>57030.200000000004</v>
      </c>
      <c r="G321" s="40">
        <f t="shared" ref="G321:H321" si="50">G322+G328+G365+G373</f>
        <v>18810</v>
      </c>
      <c r="H321" s="40">
        <f t="shared" si="50"/>
        <v>17836.3</v>
      </c>
    </row>
    <row r="322" spans="1:8" ht="89.25">
      <c r="A322" s="5" t="s">
        <v>96</v>
      </c>
      <c r="B322" s="5" t="s">
        <v>94</v>
      </c>
      <c r="C322" s="78" t="s">
        <v>66</v>
      </c>
      <c r="D322" s="16"/>
      <c r="E322" s="63" t="s">
        <v>617</v>
      </c>
      <c r="F322" s="96">
        <f t="shared" ref="F322:H322" si="51">F323</f>
        <v>524.5</v>
      </c>
      <c r="G322" s="96">
        <f t="shared" si="51"/>
        <v>529.29999999999995</v>
      </c>
      <c r="H322" s="96">
        <f t="shared" si="51"/>
        <v>529.29999999999995</v>
      </c>
    </row>
    <row r="323" spans="1:8" ht="51">
      <c r="A323" s="47" t="s">
        <v>96</v>
      </c>
      <c r="B323" s="47" t="s">
        <v>94</v>
      </c>
      <c r="C323" s="77" t="s">
        <v>67</v>
      </c>
      <c r="D323" s="16"/>
      <c r="E323" s="60" t="s">
        <v>515</v>
      </c>
      <c r="F323" s="93">
        <f>F324+F326</f>
        <v>524.5</v>
      </c>
      <c r="G323" s="93">
        <f t="shared" ref="G323:H323" si="52">G324+G326</f>
        <v>529.29999999999995</v>
      </c>
      <c r="H323" s="93">
        <f t="shared" si="52"/>
        <v>529.29999999999995</v>
      </c>
    </row>
    <row r="324" spans="1:8" ht="38.25">
      <c r="A324" s="82" t="s">
        <v>96</v>
      </c>
      <c r="B324" s="82" t="s">
        <v>94</v>
      </c>
      <c r="C324" s="138" t="s">
        <v>513</v>
      </c>
      <c r="D324" s="16"/>
      <c r="E324" s="98" t="s">
        <v>651</v>
      </c>
      <c r="F324" s="41">
        <f t="shared" ref="F324:H324" si="53">F325</f>
        <v>515.5</v>
      </c>
      <c r="G324" s="41">
        <f t="shared" si="53"/>
        <v>520.29999999999995</v>
      </c>
      <c r="H324" s="41">
        <f t="shared" si="53"/>
        <v>520.29999999999995</v>
      </c>
    </row>
    <row r="325" spans="1:8" ht="38.25">
      <c r="A325" s="82" t="s">
        <v>96</v>
      </c>
      <c r="B325" s="82" t="s">
        <v>94</v>
      </c>
      <c r="C325" s="138" t="s">
        <v>513</v>
      </c>
      <c r="D325" s="82" t="s">
        <v>214</v>
      </c>
      <c r="E325" s="98" t="s">
        <v>215</v>
      </c>
      <c r="F325" s="41">
        <f>520.3+300-304.8</f>
        <v>515.5</v>
      </c>
      <c r="G325" s="41">
        <v>520.29999999999995</v>
      </c>
      <c r="H325" s="41">
        <v>520.29999999999995</v>
      </c>
    </row>
    <row r="326" spans="1:8" ht="38.25">
      <c r="A326" s="82" t="s">
        <v>96</v>
      </c>
      <c r="B326" s="82" t="s">
        <v>94</v>
      </c>
      <c r="C326" s="138" t="s">
        <v>585</v>
      </c>
      <c r="D326" s="82"/>
      <c r="E326" s="98" t="s">
        <v>586</v>
      </c>
      <c r="F326" s="41">
        <f>F327</f>
        <v>9</v>
      </c>
      <c r="G326" s="41">
        <f t="shared" ref="G326:H326" si="54">G327</f>
        <v>9</v>
      </c>
      <c r="H326" s="41">
        <f t="shared" si="54"/>
        <v>9</v>
      </c>
    </row>
    <row r="327" spans="1:8" ht="38.25">
      <c r="A327" s="82" t="s">
        <v>96</v>
      </c>
      <c r="B327" s="82" t="s">
        <v>94</v>
      </c>
      <c r="C327" s="138" t="s">
        <v>585</v>
      </c>
      <c r="D327" s="82" t="s">
        <v>214</v>
      </c>
      <c r="E327" s="98" t="s">
        <v>215</v>
      </c>
      <c r="F327" s="41">
        <v>9</v>
      </c>
      <c r="G327" s="41">
        <v>9</v>
      </c>
      <c r="H327" s="41">
        <v>9</v>
      </c>
    </row>
    <row r="328" spans="1:8" ht="89.25">
      <c r="A328" s="5" t="s">
        <v>96</v>
      </c>
      <c r="B328" s="5" t="s">
        <v>94</v>
      </c>
      <c r="C328" s="73" t="s">
        <v>56</v>
      </c>
      <c r="D328" s="16"/>
      <c r="E328" s="53" t="s">
        <v>628</v>
      </c>
      <c r="F328" s="96">
        <f>F329+F339+F344+F352</f>
        <v>30608.400000000001</v>
      </c>
      <c r="G328" s="96">
        <f t="shared" ref="G328:H328" si="55">G329+G339+G344+G352</f>
        <v>16307</v>
      </c>
      <c r="H328" s="96">
        <f t="shared" si="55"/>
        <v>16307</v>
      </c>
    </row>
    <row r="329" spans="1:8" ht="38.25">
      <c r="A329" s="82" t="s">
        <v>96</v>
      </c>
      <c r="B329" s="82" t="s">
        <v>94</v>
      </c>
      <c r="C329" s="52" t="s">
        <v>57</v>
      </c>
      <c r="D329" s="47"/>
      <c r="E329" s="48" t="s">
        <v>659</v>
      </c>
      <c r="F329" s="93">
        <f>F330+F332+F335+F337</f>
        <v>10792.7</v>
      </c>
      <c r="G329" s="93">
        <f t="shared" ref="G329:H329" si="56">G330+G332+G335+G337</f>
        <v>5450</v>
      </c>
      <c r="H329" s="93">
        <f t="shared" si="56"/>
        <v>5450</v>
      </c>
    </row>
    <row r="330" spans="1:8" ht="38.25">
      <c r="A330" s="16" t="s">
        <v>96</v>
      </c>
      <c r="B330" s="82" t="s">
        <v>94</v>
      </c>
      <c r="C330" s="74">
        <v>1210123505</v>
      </c>
      <c r="D330" s="21"/>
      <c r="E330" s="98" t="s">
        <v>543</v>
      </c>
      <c r="F330" s="41">
        <f>F331</f>
        <v>4068.2000000000003</v>
      </c>
      <c r="G330" s="41">
        <f>G331</f>
        <v>1750</v>
      </c>
      <c r="H330" s="41">
        <f>H331</f>
        <v>1750</v>
      </c>
    </row>
    <row r="331" spans="1:8" ht="38.25">
      <c r="A331" s="82" t="s">
        <v>96</v>
      </c>
      <c r="B331" s="82" t="s">
        <v>94</v>
      </c>
      <c r="C331" s="74">
        <v>1210123505</v>
      </c>
      <c r="D331" s="82" t="s">
        <v>214</v>
      </c>
      <c r="E331" s="98" t="s">
        <v>215</v>
      </c>
      <c r="F331" s="39">
        <f>4057.1+14.3-3.2</f>
        <v>4068.2000000000003</v>
      </c>
      <c r="G331" s="39">
        <v>1750</v>
      </c>
      <c r="H331" s="39">
        <v>1750</v>
      </c>
    </row>
    <row r="332" spans="1:8" ht="63.75">
      <c r="A332" s="82" t="s">
        <v>96</v>
      </c>
      <c r="B332" s="82" t="s">
        <v>94</v>
      </c>
      <c r="C332" s="74">
        <v>1210123510</v>
      </c>
      <c r="D332" s="21"/>
      <c r="E332" s="98" t="s">
        <v>241</v>
      </c>
      <c r="F332" s="41">
        <f>SUM(F333:F334)</f>
        <v>5242.6000000000004</v>
      </c>
      <c r="G332" s="41">
        <f t="shared" ref="G332:H332" si="57">SUM(G333:G334)</f>
        <v>2850</v>
      </c>
      <c r="H332" s="41">
        <f t="shared" si="57"/>
        <v>2850</v>
      </c>
    </row>
    <row r="333" spans="1:8" ht="38.25">
      <c r="A333" s="16" t="s">
        <v>96</v>
      </c>
      <c r="B333" s="82" t="s">
        <v>94</v>
      </c>
      <c r="C333" s="74">
        <v>1210123510</v>
      </c>
      <c r="D333" s="82" t="s">
        <v>214</v>
      </c>
      <c r="E333" s="98" t="s">
        <v>215</v>
      </c>
      <c r="F333" s="41">
        <f>5538.8-14.3-63.9-0.2-218</f>
        <v>5242.4000000000005</v>
      </c>
      <c r="G333" s="41">
        <v>2850</v>
      </c>
      <c r="H333" s="41">
        <v>2850</v>
      </c>
    </row>
    <row r="334" spans="1:8" s="170" customFormat="1">
      <c r="A334" s="16" t="s">
        <v>96</v>
      </c>
      <c r="B334" s="82" t="s">
        <v>94</v>
      </c>
      <c r="C334" s="74">
        <v>1210123510</v>
      </c>
      <c r="D334" s="82" t="s">
        <v>726</v>
      </c>
      <c r="E334" s="98" t="s">
        <v>727</v>
      </c>
      <c r="F334" s="41">
        <v>0.2</v>
      </c>
      <c r="G334" s="41">
        <v>0</v>
      </c>
      <c r="H334" s="41">
        <v>0</v>
      </c>
    </row>
    <row r="335" spans="1:8" ht="25.5">
      <c r="A335" s="82" t="s">
        <v>96</v>
      </c>
      <c r="B335" s="82" t="s">
        <v>94</v>
      </c>
      <c r="C335" s="74">
        <v>1210123515</v>
      </c>
      <c r="D335" s="16"/>
      <c r="E335" s="98" t="s">
        <v>23</v>
      </c>
      <c r="F335" s="41">
        <f>F336</f>
        <v>1131.9000000000001</v>
      </c>
      <c r="G335" s="41">
        <f>G336</f>
        <v>500</v>
      </c>
      <c r="H335" s="41">
        <f>H336</f>
        <v>500</v>
      </c>
    </row>
    <row r="336" spans="1:8" ht="38.25">
      <c r="A336" s="82" t="s">
        <v>96</v>
      </c>
      <c r="B336" s="82" t="s">
        <v>94</v>
      </c>
      <c r="C336" s="74">
        <v>1210123515</v>
      </c>
      <c r="D336" s="82" t="s">
        <v>214</v>
      </c>
      <c r="E336" s="98" t="s">
        <v>215</v>
      </c>
      <c r="F336" s="41">
        <v>1131.9000000000001</v>
      </c>
      <c r="G336" s="41">
        <v>500</v>
      </c>
      <c r="H336" s="41">
        <v>500</v>
      </c>
    </row>
    <row r="337" spans="1:8" ht="25.5">
      <c r="A337" s="16" t="s">
        <v>96</v>
      </c>
      <c r="B337" s="82" t="s">
        <v>94</v>
      </c>
      <c r="C337" s="74">
        <v>1210223520</v>
      </c>
      <c r="D337" s="16"/>
      <c r="E337" s="98" t="s">
        <v>242</v>
      </c>
      <c r="F337" s="41">
        <f>F338</f>
        <v>350</v>
      </c>
      <c r="G337" s="41">
        <f>G338</f>
        <v>350</v>
      </c>
      <c r="H337" s="41">
        <f>H338</f>
        <v>350</v>
      </c>
    </row>
    <row r="338" spans="1:8" ht="38.25">
      <c r="A338" s="82" t="s">
        <v>96</v>
      </c>
      <c r="B338" s="82" t="s">
        <v>94</v>
      </c>
      <c r="C338" s="74">
        <v>1210223520</v>
      </c>
      <c r="D338" s="82" t="s">
        <v>214</v>
      </c>
      <c r="E338" s="98" t="s">
        <v>215</v>
      </c>
      <c r="F338" s="39">
        <v>350</v>
      </c>
      <c r="G338" s="39">
        <v>350</v>
      </c>
      <c r="H338" s="39">
        <v>350</v>
      </c>
    </row>
    <row r="339" spans="1:8" ht="25.5">
      <c r="A339" s="82" t="s">
        <v>96</v>
      </c>
      <c r="B339" s="82" t="s">
        <v>94</v>
      </c>
      <c r="C339" s="52" t="s">
        <v>58</v>
      </c>
      <c r="D339" s="47"/>
      <c r="E339" s="48" t="s">
        <v>26</v>
      </c>
      <c r="F339" s="93">
        <f>F340+F342</f>
        <v>1963.8</v>
      </c>
      <c r="G339" s="93">
        <f t="shared" ref="G339:H339" si="58">G340+G342</f>
        <v>1325</v>
      </c>
      <c r="H339" s="93">
        <f t="shared" si="58"/>
        <v>1325</v>
      </c>
    </row>
    <row r="340" spans="1:8" ht="25.5">
      <c r="A340" s="82" t="s">
        <v>96</v>
      </c>
      <c r="B340" s="82" t="s">
        <v>94</v>
      </c>
      <c r="C340" s="79">
        <v>1220123525</v>
      </c>
      <c r="D340" s="16"/>
      <c r="E340" s="98" t="s">
        <v>192</v>
      </c>
      <c r="F340" s="41">
        <f t="shared" ref="F340:H340" si="59">F341</f>
        <v>1963.8</v>
      </c>
      <c r="G340" s="41">
        <f t="shared" si="59"/>
        <v>850</v>
      </c>
      <c r="H340" s="41">
        <f t="shared" si="59"/>
        <v>850</v>
      </c>
    </row>
    <row r="341" spans="1:8" ht="38.25">
      <c r="A341" s="82" t="s">
        <v>96</v>
      </c>
      <c r="B341" s="82" t="s">
        <v>94</v>
      </c>
      <c r="C341" s="79">
        <v>1220123525</v>
      </c>
      <c r="D341" s="82" t="s">
        <v>214</v>
      </c>
      <c r="E341" s="98" t="s">
        <v>215</v>
      </c>
      <c r="F341" s="41">
        <f>1972.7-8.9</f>
        <v>1963.8</v>
      </c>
      <c r="G341" s="41">
        <v>850</v>
      </c>
      <c r="H341" s="41">
        <v>850</v>
      </c>
    </row>
    <row r="342" spans="1:8" ht="25.5">
      <c r="A342" s="82" t="s">
        <v>96</v>
      </c>
      <c r="B342" s="82" t="s">
        <v>94</v>
      </c>
      <c r="C342" s="79">
        <v>1220223530</v>
      </c>
      <c r="D342" s="16"/>
      <c r="E342" s="98" t="s">
        <v>193</v>
      </c>
      <c r="F342" s="41">
        <f>F343</f>
        <v>0</v>
      </c>
      <c r="G342" s="41">
        <f>G343</f>
        <v>475</v>
      </c>
      <c r="H342" s="41">
        <f>H343</f>
        <v>475</v>
      </c>
    </row>
    <row r="343" spans="1:8" ht="38.25">
      <c r="A343" s="82" t="s">
        <v>96</v>
      </c>
      <c r="B343" s="82" t="s">
        <v>94</v>
      </c>
      <c r="C343" s="79">
        <v>1220223530</v>
      </c>
      <c r="D343" s="82" t="s">
        <v>214</v>
      </c>
      <c r="E343" s="98" t="s">
        <v>215</v>
      </c>
      <c r="F343" s="39">
        <v>0</v>
      </c>
      <c r="G343" s="39">
        <v>475</v>
      </c>
      <c r="H343" s="39">
        <v>475</v>
      </c>
    </row>
    <row r="344" spans="1:8" ht="41.25" customHeight="1">
      <c r="A344" s="82" t="s">
        <v>96</v>
      </c>
      <c r="B344" s="82" t="s">
        <v>94</v>
      </c>
      <c r="C344" s="52" t="s">
        <v>59</v>
      </c>
      <c r="D344" s="47"/>
      <c r="E344" s="48" t="s">
        <v>660</v>
      </c>
      <c r="F344" s="93">
        <f>F345+F348+F350</f>
        <v>4668.4000000000005</v>
      </c>
      <c r="G344" s="93">
        <f t="shared" ref="G344:H344" si="60">G345+G348+G350</f>
        <v>4407</v>
      </c>
      <c r="H344" s="93">
        <f t="shared" si="60"/>
        <v>4407</v>
      </c>
    </row>
    <row r="345" spans="1:8" ht="25.5">
      <c r="A345" s="82" t="s">
        <v>96</v>
      </c>
      <c r="B345" s="82" t="s">
        <v>94</v>
      </c>
      <c r="C345" s="21" t="s">
        <v>546</v>
      </c>
      <c r="D345" s="16"/>
      <c r="E345" s="98" t="s">
        <v>309</v>
      </c>
      <c r="F345" s="41">
        <f>SUM(F346:F347)</f>
        <v>3681.3</v>
      </c>
      <c r="G345" s="41">
        <f>G346</f>
        <v>3800</v>
      </c>
      <c r="H345" s="41">
        <f>H346</f>
        <v>3800</v>
      </c>
    </row>
    <row r="346" spans="1:8" ht="38.25">
      <c r="A346" s="82" t="s">
        <v>96</v>
      </c>
      <c r="B346" s="82" t="s">
        <v>94</v>
      </c>
      <c r="C346" s="21" t="s">
        <v>546</v>
      </c>
      <c r="D346" s="82" t="s">
        <v>214</v>
      </c>
      <c r="E346" s="98" t="s">
        <v>215</v>
      </c>
      <c r="F346" s="41">
        <f>3681.3-0.6</f>
        <v>3680.7000000000003</v>
      </c>
      <c r="G346" s="41">
        <v>3800</v>
      </c>
      <c r="H346" s="41">
        <v>3800</v>
      </c>
    </row>
    <row r="347" spans="1:8">
      <c r="A347" s="82" t="s">
        <v>96</v>
      </c>
      <c r="B347" s="82" t="s">
        <v>94</v>
      </c>
      <c r="C347" s="21" t="s">
        <v>546</v>
      </c>
      <c r="D347" s="82" t="s">
        <v>726</v>
      </c>
      <c r="E347" s="98" t="s">
        <v>727</v>
      </c>
      <c r="F347" s="41">
        <v>0.6</v>
      </c>
      <c r="G347" s="41">
        <v>0</v>
      </c>
      <c r="H347" s="41">
        <v>0</v>
      </c>
    </row>
    <row r="348" spans="1:8" ht="25.5">
      <c r="A348" s="82" t="s">
        <v>96</v>
      </c>
      <c r="B348" s="82" t="s">
        <v>94</v>
      </c>
      <c r="C348" s="21" t="s">
        <v>547</v>
      </c>
      <c r="D348" s="16"/>
      <c r="E348" s="98" t="s">
        <v>24</v>
      </c>
      <c r="F348" s="41">
        <f>F349</f>
        <v>980.1</v>
      </c>
      <c r="G348" s="41">
        <f>G349</f>
        <v>600</v>
      </c>
      <c r="H348" s="41">
        <f>H349</f>
        <v>600</v>
      </c>
    </row>
    <row r="349" spans="1:8" ht="38.25">
      <c r="A349" s="82" t="s">
        <v>96</v>
      </c>
      <c r="B349" s="82" t="s">
        <v>94</v>
      </c>
      <c r="C349" s="21" t="s">
        <v>547</v>
      </c>
      <c r="D349" s="82" t="s">
        <v>214</v>
      </c>
      <c r="E349" s="98" t="s">
        <v>215</v>
      </c>
      <c r="F349" s="41">
        <f>600+380.1</f>
        <v>980.1</v>
      </c>
      <c r="G349" s="41">
        <v>600</v>
      </c>
      <c r="H349" s="41">
        <v>600</v>
      </c>
    </row>
    <row r="350" spans="1:8" ht="25.5">
      <c r="A350" s="82" t="s">
        <v>96</v>
      </c>
      <c r="B350" s="82" t="s">
        <v>94</v>
      </c>
      <c r="C350" s="21" t="s">
        <v>548</v>
      </c>
      <c r="D350" s="16"/>
      <c r="E350" s="98" t="s">
        <v>194</v>
      </c>
      <c r="F350" s="41">
        <f>F351</f>
        <v>7</v>
      </c>
      <c r="G350" s="41">
        <f>G351</f>
        <v>7</v>
      </c>
      <c r="H350" s="41">
        <f>H351</f>
        <v>7</v>
      </c>
    </row>
    <row r="351" spans="1:8" ht="38.25">
      <c r="A351" s="82" t="s">
        <v>96</v>
      </c>
      <c r="B351" s="82" t="s">
        <v>94</v>
      </c>
      <c r="C351" s="21" t="s">
        <v>548</v>
      </c>
      <c r="D351" s="82" t="s">
        <v>214</v>
      </c>
      <c r="E351" s="98" t="s">
        <v>215</v>
      </c>
      <c r="F351" s="41">
        <v>7</v>
      </c>
      <c r="G351" s="41">
        <v>7</v>
      </c>
      <c r="H351" s="41">
        <v>7</v>
      </c>
    </row>
    <row r="352" spans="1:8" ht="51">
      <c r="A352" s="82" t="s">
        <v>96</v>
      </c>
      <c r="B352" s="82" t="s">
        <v>94</v>
      </c>
      <c r="C352" s="52" t="s">
        <v>549</v>
      </c>
      <c r="D352" s="16"/>
      <c r="E352" s="60" t="s">
        <v>550</v>
      </c>
      <c r="F352" s="41">
        <f>F353+F355+F357+F359+F361+F363</f>
        <v>13183.5</v>
      </c>
      <c r="G352" s="41">
        <f t="shared" ref="G352:H352" si="61">G353+G355+G357+G359+G361+G363</f>
        <v>5125</v>
      </c>
      <c r="H352" s="41">
        <f t="shared" si="61"/>
        <v>5125</v>
      </c>
    </row>
    <row r="353" spans="1:8" ht="25.5">
      <c r="A353" s="82" t="s">
        <v>96</v>
      </c>
      <c r="B353" s="82" t="s">
        <v>94</v>
      </c>
      <c r="C353" s="21" t="s">
        <v>553</v>
      </c>
      <c r="D353" s="16"/>
      <c r="E353" s="98" t="s">
        <v>379</v>
      </c>
      <c r="F353" s="41">
        <f>F354</f>
        <v>0</v>
      </c>
      <c r="G353" s="41">
        <f>G354</f>
        <v>250</v>
      </c>
      <c r="H353" s="41">
        <f>H354</f>
        <v>250</v>
      </c>
    </row>
    <row r="354" spans="1:8" ht="38.25">
      <c r="A354" s="82" t="s">
        <v>96</v>
      </c>
      <c r="B354" s="82" t="s">
        <v>94</v>
      </c>
      <c r="C354" s="21" t="s">
        <v>553</v>
      </c>
      <c r="D354" s="82" t="s">
        <v>214</v>
      </c>
      <c r="E354" s="98" t="s">
        <v>215</v>
      </c>
      <c r="F354" s="41">
        <v>0</v>
      </c>
      <c r="G354" s="41">
        <v>250</v>
      </c>
      <c r="H354" s="41">
        <v>250</v>
      </c>
    </row>
    <row r="355" spans="1:8" ht="51">
      <c r="A355" s="82" t="s">
        <v>96</v>
      </c>
      <c r="B355" s="82" t="s">
        <v>94</v>
      </c>
      <c r="C355" s="21" t="s">
        <v>555</v>
      </c>
      <c r="D355" s="82"/>
      <c r="E355" s="98" t="s">
        <v>554</v>
      </c>
      <c r="F355" s="41">
        <f>F356</f>
        <v>15</v>
      </c>
      <c r="G355" s="41">
        <f t="shared" ref="G355:H355" si="62">G356</f>
        <v>15</v>
      </c>
      <c r="H355" s="41">
        <f t="shared" si="62"/>
        <v>15</v>
      </c>
    </row>
    <row r="356" spans="1:8" ht="38.25">
      <c r="A356" s="82" t="s">
        <v>96</v>
      </c>
      <c r="B356" s="82" t="s">
        <v>94</v>
      </c>
      <c r="C356" s="21" t="s">
        <v>555</v>
      </c>
      <c r="D356" s="82" t="s">
        <v>214</v>
      </c>
      <c r="E356" s="98" t="s">
        <v>215</v>
      </c>
      <c r="F356" s="41">
        <v>15</v>
      </c>
      <c r="G356" s="41">
        <v>15</v>
      </c>
      <c r="H356" s="41">
        <v>15</v>
      </c>
    </row>
    <row r="357" spans="1:8" ht="38.25">
      <c r="A357" s="82" t="s">
        <v>96</v>
      </c>
      <c r="B357" s="82" t="s">
        <v>94</v>
      </c>
      <c r="C357" s="21" t="s">
        <v>663</v>
      </c>
      <c r="D357" s="16"/>
      <c r="E357" s="99" t="s">
        <v>664</v>
      </c>
      <c r="F357" s="41">
        <f>F358</f>
        <v>962.9</v>
      </c>
      <c r="G357" s="41">
        <f t="shared" ref="G357:H357" si="63">G358</f>
        <v>0</v>
      </c>
      <c r="H357" s="41">
        <f t="shared" si="63"/>
        <v>0</v>
      </c>
    </row>
    <row r="358" spans="1:8" ht="38.25">
      <c r="A358" s="16" t="s">
        <v>96</v>
      </c>
      <c r="B358" s="16" t="s">
        <v>94</v>
      </c>
      <c r="C358" s="21" t="s">
        <v>663</v>
      </c>
      <c r="D358" s="82" t="s">
        <v>214</v>
      </c>
      <c r="E358" s="98" t="s">
        <v>215</v>
      </c>
      <c r="F358" s="41">
        <f>799.5+163.4</f>
        <v>962.9</v>
      </c>
      <c r="G358" s="41">
        <v>0</v>
      </c>
      <c r="H358" s="41">
        <v>0</v>
      </c>
    </row>
    <row r="359" spans="1:8" ht="51">
      <c r="A359" s="82" t="s">
        <v>96</v>
      </c>
      <c r="B359" s="82" t="s">
        <v>94</v>
      </c>
      <c r="C359" s="21" t="s">
        <v>563</v>
      </c>
      <c r="D359" s="82"/>
      <c r="E359" s="98" t="s">
        <v>564</v>
      </c>
      <c r="F359" s="41">
        <f>F360</f>
        <v>0</v>
      </c>
      <c r="G359" s="41">
        <f t="shared" ref="G359:H359" si="64">G360</f>
        <v>10</v>
      </c>
      <c r="H359" s="41">
        <f t="shared" si="64"/>
        <v>10</v>
      </c>
    </row>
    <row r="360" spans="1:8" ht="38.25">
      <c r="A360" s="16" t="s">
        <v>96</v>
      </c>
      <c r="B360" s="16" t="s">
        <v>94</v>
      </c>
      <c r="C360" s="21" t="s">
        <v>563</v>
      </c>
      <c r="D360" s="82" t="s">
        <v>214</v>
      </c>
      <c r="E360" s="98" t="s">
        <v>215</v>
      </c>
      <c r="F360" s="41">
        <v>0</v>
      </c>
      <c r="G360" s="41">
        <v>10</v>
      </c>
      <c r="H360" s="41">
        <v>10</v>
      </c>
    </row>
    <row r="361" spans="1:8" ht="38.25">
      <c r="A361" s="16" t="s">
        <v>96</v>
      </c>
      <c r="B361" s="16" t="s">
        <v>94</v>
      </c>
      <c r="C361" s="21" t="s">
        <v>559</v>
      </c>
      <c r="D361" s="82"/>
      <c r="E361" s="98" t="s">
        <v>562</v>
      </c>
      <c r="F361" s="41">
        <f t="shared" ref="F361:H361" si="65">F362</f>
        <v>9200</v>
      </c>
      <c r="G361" s="41">
        <f t="shared" si="65"/>
        <v>3800</v>
      </c>
      <c r="H361" s="41">
        <f t="shared" si="65"/>
        <v>3800</v>
      </c>
    </row>
    <row r="362" spans="1:8" ht="38.25">
      <c r="A362" s="16" t="s">
        <v>96</v>
      </c>
      <c r="B362" s="16" t="s">
        <v>94</v>
      </c>
      <c r="C362" s="21" t="s">
        <v>559</v>
      </c>
      <c r="D362" s="82" t="s">
        <v>214</v>
      </c>
      <c r="E362" s="98" t="s">
        <v>215</v>
      </c>
      <c r="F362" s="41">
        <v>9200</v>
      </c>
      <c r="G362" s="41">
        <v>3800</v>
      </c>
      <c r="H362" s="41">
        <v>3800</v>
      </c>
    </row>
    <row r="363" spans="1:8" ht="25.5">
      <c r="A363" s="16" t="s">
        <v>96</v>
      </c>
      <c r="B363" s="16" t="s">
        <v>94</v>
      </c>
      <c r="C363" s="21" t="s">
        <v>560</v>
      </c>
      <c r="D363" s="82"/>
      <c r="E363" s="98" t="s">
        <v>561</v>
      </c>
      <c r="F363" s="41">
        <f>F364</f>
        <v>3005.6</v>
      </c>
      <c r="G363" s="41">
        <f t="shared" ref="G363:H363" si="66">G364</f>
        <v>1050</v>
      </c>
      <c r="H363" s="41">
        <f t="shared" si="66"/>
        <v>1050</v>
      </c>
    </row>
    <row r="364" spans="1:8" ht="38.25">
      <c r="A364" s="16" t="s">
        <v>96</v>
      </c>
      <c r="B364" s="16" t="s">
        <v>94</v>
      </c>
      <c r="C364" s="21" t="s">
        <v>560</v>
      </c>
      <c r="D364" s="82" t="s">
        <v>214</v>
      </c>
      <c r="E364" s="98" t="s">
        <v>215</v>
      </c>
      <c r="F364" s="41">
        <f>3256.7-251.1</f>
        <v>3005.6</v>
      </c>
      <c r="G364" s="41">
        <v>1050</v>
      </c>
      <c r="H364" s="41">
        <v>1050</v>
      </c>
    </row>
    <row r="365" spans="1:8" ht="89.25">
      <c r="A365" s="5" t="s">
        <v>96</v>
      </c>
      <c r="B365" s="5" t="s">
        <v>94</v>
      </c>
      <c r="C365" s="76">
        <v>1400000000</v>
      </c>
      <c r="D365" s="16"/>
      <c r="E365" s="142" t="s">
        <v>630</v>
      </c>
      <c r="F365" s="96">
        <f>F366</f>
        <v>23135.4</v>
      </c>
      <c r="G365" s="96">
        <f>G366</f>
        <v>717.4</v>
      </c>
      <c r="H365" s="96">
        <f>H366</f>
        <v>0</v>
      </c>
    </row>
    <row r="366" spans="1:8" ht="89.25">
      <c r="A366" s="47" t="s">
        <v>96</v>
      </c>
      <c r="B366" s="47" t="s">
        <v>94</v>
      </c>
      <c r="C366" s="75">
        <v>1410000000</v>
      </c>
      <c r="D366" s="16"/>
      <c r="E366" s="48" t="s">
        <v>219</v>
      </c>
      <c r="F366" s="93">
        <f>F367+F369+F371</f>
        <v>23135.4</v>
      </c>
      <c r="G366" s="93">
        <f t="shared" ref="G366:H366" si="67">G367+G369+G371</f>
        <v>717.4</v>
      </c>
      <c r="H366" s="93">
        <f t="shared" si="67"/>
        <v>0</v>
      </c>
    </row>
    <row r="367" spans="1:8" ht="38.25">
      <c r="A367" s="82" t="s">
        <v>96</v>
      </c>
      <c r="B367" s="82" t="s">
        <v>94</v>
      </c>
      <c r="C367" s="74">
        <v>1410223125</v>
      </c>
      <c r="D367" s="82"/>
      <c r="E367" s="98" t="s">
        <v>722</v>
      </c>
      <c r="F367" s="41">
        <f>F368</f>
        <v>1295.7</v>
      </c>
      <c r="G367" s="41">
        <f>G368</f>
        <v>0</v>
      </c>
      <c r="H367" s="41">
        <f>H368</f>
        <v>0</v>
      </c>
    </row>
    <row r="368" spans="1:8" ht="38.25">
      <c r="A368" s="82" t="s">
        <v>96</v>
      </c>
      <c r="B368" s="82" t="s">
        <v>94</v>
      </c>
      <c r="C368" s="74">
        <v>1410223125</v>
      </c>
      <c r="D368" s="82" t="s">
        <v>214</v>
      </c>
      <c r="E368" s="98" t="s">
        <v>215</v>
      </c>
      <c r="F368" s="41">
        <f>1237.5+58.2</f>
        <v>1295.7</v>
      </c>
      <c r="G368" s="41">
        <v>0</v>
      </c>
      <c r="H368" s="41">
        <v>0</v>
      </c>
    </row>
    <row r="369" spans="1:10" ht="25.5">
      <c r="A369" s="82" t="s">
        <v>96</v>
      </c>
      <c r="B369" s="82" t="s">
        <v>94</v>
      </c>
      <c r="C369" s="74">
        <v>1410223130</v>
      </c>
      <c r="D369" s="82"/>
      <c r="E369" s="108" t="s">
        <v>725</v>
      </c>
      <c r="F369" s="41">
        <f>F370</f>
        <v>12198.1</v>
      </c>
      <c r="G369" s="41">
        <f t="shared" ref="G369:H369" si="68">G370</f>
        <v>0</v>
      </c>
      <c r="H369" s="41">
        <f t="shared" si="68"/>
        <v>0</v>
      </c>
    </row>
    <row r="370" spans="1:10" ht="38.25">
      <c r="A370" s="82" t="s">
        <v>96</v>
      </c>
      <c r="B370" s="82" t="s">
        <v>94</v>
      </c>
      <c r="C370" s="74">
        <v>1410223130</v>
      </c>
      <c r="D370" s="82" t="s">
        <v>214</v>
      </c>
      <c r="E370" s="98" t="s">
        <v>215</v>
      </c>
      <c r="F370" s="41">
        <v>12198.1</v>
      </c>
      <c r="G370" s="41">
        <v>0</v>
      </c>
      <c r="H370" s="41">
        <v>0</v>
      </c>
    </row>
    <row r="371" spans="1:10" ht="38.25">
      <c r="A371" s="16" t="s">
        <v>96</v>
      </c>
      <c r="B371" s="16" t="s">
        <v>94</v>
      </c>
      <c r="C371" s="74" t="s">
        <v>358</v>
      </c>
      <c r="D371" s="16"/>
      <c r="E371" s="98" t="s">
        <v>324</v>
      </c>
      <c r="F371" s="41">
        <f>F372</f>
        <v>9641.6</v>
      </c>
      <c r="G371" s="41">
        <f>G372</f>
        <v>717.4</v>
      </c>
      <c r="H371" s="41">
        <f>H372</f>
        <v>0</v>
      </c>
    </row>
    <row r="372" spans="1:10" ht="38.25">
      <c r="A372" s="82" t="s">
        <v>96</v>
      </c>
      <c r="B372" s="16" t="s">
        <v>94</v>
      </c>
      <c r="C372" s="74" t="s">
        <v>358</v>
      </c>
      <c r="D372" s="82" t="s">
        <v>214</v>
      </c>
      <c r="E372" s="98" t="s">
        <v>215</v>
      </c>
      <c r="F372" s="41">
        <f>717.4+8924.2</f>
        <v>9641.6</v>
      </c>
      <c r="G372" s="41">
        <v>717.4</v>
      </c>
      <c r="H372" s="41">
        <v>0</v>
      </c>
    </row>
    <row r="373" spans="1:10" ht="127.5">
      <c r="A373" s="5" t="s">
        <v>96</v>
      </c>
      <c r="B373" s="5" t="s">
        <v>94</v>
      </c>
      <c r="C373" s="73" t="s">
        <v>580</v>
      </c>
      <c r="D373" s="82"/>
      <c r="E373" s="142" t="s">
        <v>631</v>
      </c>
      <c r="F373" s="96">
        <f>F374</f>
        <v>2761.9</v>
      </c>
      <c r="G373" s="96">
        <f t="shared" ref="G373:H373" si="69">G374</f>
        <v>1256.3</v>
      </c>
      <c r="H373" s="96">
        <f t="shared" si="69"/>
        <v>1000</v>
      </c>
    </row>
    <row r="374" spans="1:10" ht="63.75">
      <c r="A374" s="47" t="s">
        <v>96</v>
      </c>
      <c r="B374" s="47" t="s">
        <v>94</v>
      </c>
      <c r="C374" s="141">
        <v>1510000000</v>
      </c>
      <c r="D374" s="82"/>
      <c r="E374" s="48" t="s">
        <v>370</v>
      </c>
      <c r="F374" s="41">
        <f>F375+F377+F379+F381+F383+F385</f>
        <v>2761.9</v>
      </c>
      <c r="G374" s="41">
        <f t="shared" ref="G374:H374" si="70">G375+G377+G379+G381</f>
        <v>1256.3</v>
      </c>
      <c r="H374" s="41">
        <f t="shared" si="70"/>
        <v>1000</v>
      </c>
    </row>
    <row r="375" spans="1:10" ht="63.75">
      <c r="A375" s="82" t="s">
        <v>96</v>
      </c>
      <c r="B375" s="16" t="s">
        <v>94</v>
      </c>
      <c r="C375" s="130" t="s">
        <v>584</v>
      </c>
      <c r="D375" s="82"/>
      <c r="E375" s="98" t="s">
        <v>581</v>
      </c>
      <c r="F375" s="41">
        <f>F376</f>
        <v>0</v>
      </c>
      <c r="G375" s="41">
        <f>G376</f>
        <v>1256.3</v>
      </c>
      <c r="H375" s="41">
        <f>H376</f>
        <v>1000</v>
      </c>
    </row>
    <row r="376" spans="1:10" ht="38.25">
      <c r="A376" s="82" t="s">
        <v>96</v>
      </c>
      <c r="B376" s="16" t="s">
        <v>94</v>
      </c>
      <c r="C376" s="130" t="s">
        <v>584</v>
      </c>
      <c r="D376" s="82" t="s">
        <v>214</v>
      </c>
      <c r="E376" s="98" t="s">
        <v>215</v>
      </c>
      <c r="F376" s="41">
        <f>3243.5-516-2727.5</f>
        <v>0</v>
      </c>
      <c r="G376" s="41">
        <v>1256.3</v>
      </c>
      <c r="H376" s="41">
        <v>1000</v>
      </c>
    </row>
    <row r="377" spans="1:10" ht="63.75">
      <c r="A377" s="82" t="s">
        <v>96</v>
      </c>
      <c r="B377" s="16" t="s">
        <v>94</v>
      </c>
      <c r="C377" s="130" t="s">
        <v>748</v>
      </c>
      <c r="D377" s="82"/>
      <c r="E377" s="164" t="s">
        <v>721</v>
      </c>
      <c r="F377" s="41">
        <f>F378</f>
        <v>516</v>
      </c>
      <c r="G377" s="41">
        <f t="shared" ref="G377" si="71">G378</f>
        <v>0</v>
      </c>
      <c r="H377" s="41">
        <f t="shared" ref="H377" si="72">H378</f>
        <v>0</v>
      </c>
    </row>
    <row r="378" spans="1:10" ht="38.25">
      <c r="A378" s="82" t="s">
        <v>96</v>
      </c>
      <c r="B378" s="16" t="s">
        <v>94</v>
      </c>
      <c r="C378" s="130" t="s">
        <v>748</v>
      </c>
      <c r="D378" s="82" t="s">
        <v>214</v>
      </c>
      <c r="E378" s="98" t="s">
        <v>215</v>
      </c>
      <c r="F378" s="41">
        <v>516</v>
      </c>
      <c r="G378" s="41">
        <v>0</v>
      </c>
      <c r="H378" s="41">
        <v>0</v>
      </c>
      <c r="J378" s="103"/>
    </row>
    <row r="379" spans="1:10" ht="63.75">
      <c r="A379" s="82" t="s">
        <v>96</v>
      </c>
      <c r="B379" s="16" t="s">
        <v>94</v>
      </c>
      <c r="C379" s="130">
        <v>1510319022</v>
      </c>
      <c r="D379" s="82"/>
      <c r="E379" s="164" t="s">
        <v>721</v>
      </c>
      <c r="F379" s="41">
        <f>F380</f>
        <v>525.9</v>
      </c>
      <c r="G379" s="41">
        <f t="shared" ref="G379" si="73">G380</f>
        <v>0</v>
      </c>
      <c r="H379" s="41">
        <f t="shared" ref="H379" si="74">H380</f>
        <v>0</v>
      </c>
    </row>
    <row r="380" spans="1:10" ht="38.25">
      <c r="A380" s="82" t="s">
        <v>96</v>
      </c>
      <c r="B380" s="16" t="s">
        <v>94</v>
      </c>
      <c r="C380" s="130">
        <v>1510319022</v>
      </c>
      <c r="D380" s="82" t="s">
        <v>214</v>
      </c>
      <c r="E380" s="98" t="s">
        <v>215</v>
      </c>
      <c r="F380" s="41">
        <v>525.9</v>
      </c>
      <c r="G380" s="41">
        <v>0</v>
      </c>
      <c r="H380" s="41">
        <v>0</v>
      </c>
    </row>
    <row r="381" spans="1:10" ht="63.75">
      <c r="A381" s="82" t="s">
        <v>96</v>
      </c>
      <c r="B381" s="16" t="s">
        <v>94</v>
      </c>
      <c r="C381" s="130">
        <v>1510319322</v>
      </c>
      <c r="D381" s="82"/>
      <c r="E381" s="164" t="s">
        <v>721</v>
      </c>
      <c r="F381" s="41">
        <f>F382</f>
        <v>10</v>
      </c>
      <c r="G381" s="41">
        <f t="shared" ref="G381" si="75">G382</f>
        <v>0</v>
      </c>
      <c r="H381" s="41">
        <f t="shared" ref="H381" si="76">H382</f>
        <v>0</v>
      </c>
    </row>
    <row r="382" spans="1:10" ht="38.25">
      <c r="A382" s="82" t="s">
        <v>96</v>
      </c>
      <c r="B382" s="16" t="s">
        <v>94</v>
      </c>
      <c r="C382" s="130">
        <v>1510319322</v>
      </c>
      <c r="D382" s="82" t="s">
        <v>214</v>
      </c>
      <c r="E382" s="98" t="s">
        <v>215</v>
      </c>
      <c r="F382" s="41">
        <v>10</v>
      </c>
      <c r="G382" s="41">
        <v>0</v>
      </c>
      <c r="H382" s="41">
        <v>0</v>
      </c>
    </row>
    <row r="383" spans="1:10" ht="63.75">
      <c r="A383" s="82" t="s">
        <v>96</v>
      </c>
      <c r="B383" s="16" t="s">
        <v>94</v>
      </c>
      <c r="C383" s="130" t="s">
        <v>772</v>
      </c>
      <c r="D383" s="82"/>
      <c r="E383" s="98" t="s">
        <v>771</v>
      </c>
      <c r="F383" s="41">
        <f>F384</f>
        <v>479.6</v>
      </c>
      <c r="G383" s="41">
        <f t="shared" ref="G383:H383" si="77">G384</f>
        <v>0</v>
      </c>
      <c r="H383" s="41">
        <f t="shared" si="77"/>
        <v>0</v>
      </c>
    </row>
    <row r="384" spans="1:10" ht="38.25">
      <c r="A384" s="82" t="s">
        <v>96</v>
      </c>
      <c r="B384" s="16" t="s">
        <v>94</v>
      </c>
      <c r="C384" s="130" t="s">
        <v>772</v>
      </c>
      <c r="D384" s="82" t="s">
        <v>214</v>
      </c>
      <c r="E384" s="98" t="s">
        <v>215</v>
      </c>
      <c r="F384" s="41">
        <v>479.6</v>
      </c>
      <c r="G384" s="41">
        <v>0</v>
      </c>
      <c r="H384" s="41">
        <v>0</v>
      </c>
    </row>
    <row r="385" spans="1:8" ht="63.75">
      <c r="A385" s="82" t="s">
        <v>96</v>
      </c>
      <c r="B385" s="16" t="s">
        <v>94</v>
      </c>
      <c r="C385" s="130">
        <v>1510319023</v>
      </c>
      <c r="D385" s="82"/>
      <c r="E385" s="98" t="s">
        <v>771</v>
      </c>
      <c r="F385" s="41">
        <f>F386</f>
        <v>1230.4000000000001</v>
      </c>
      <c r="G385" s="41">
        <f t="shared" ref="G385:H385" si="78">G386</f>
        <v>0</v>
      </c>
      <c r="H385" s="41">
        <f t="shared" si="78"/>
        <v>0</v>
      </c>
    </row>
    <row r="386" spans="1:8" ht="38.25">
      <c r="A386" s="82" t="s">
        <v>96</v>
      </c>
      <c r="B386" s="16" t="s">
        <v>94</v>
      </c>
      <c r="C386" s="130">
        <v>1510319023</v>
      </c>
      <c r="D386" s="82" t="s">
        <v>214</v>
      </c>
      <c r="E386" s="98" t="s">
        <v>215</v>
      </c>
      <c r="F386" s="41">
        <v>1230.4000000000001</v>
      </c>
      <c r="G386" s="41">
        <v>0</v>
      </c>
      <c r="H386" s="41">
        <v>0</v>
      </c>
    </row>
    <row r="387" spans="1:8" ht="42.75">
      <c r="A387" s="30" t="s">
        <v>96</v>
      </c>
      <c r="B387" s="30" t="s">
        <v>96</v>
      </c>
      <c r="C387" s="30"/>
      <c r="D387" s="30"/>
      <c r="E387" s="50" t="s">
        <v>501</v>
      </c>
      <c r="F387" s="93">
        <f>F388</f>
        <v>1180.9000000000001</v>
      </c>
      <c r="G387" s="93">
        <f t="shared" ref="G387:H387" si="79">G388</f>
        <v>1180.9000000000001</v>
      </c>
      <c r="H387" s="93">
        <f t="shared" si="79"/>
        <v>1180.9000000000001</v>
      </c>
    </row>
    <row r="388" spans="1:8" ht="63.75">
      <c r="A388" s="5" t="s">
        <v>96</v>
      </c>
      <c r="B388" s="5" t="s">
        <v>96</v>
      </c>
      <c r="C388" s="76">
        <v>400000000</v>
      </c>
      <c r="D388" s="31"/>
      <c r="E388" s="64" t="s">
        <v>388</v>
      </c>
      <c r="F388" s="96">
        <f>F389</f>
        <v>1180.9000000000001</v>
      </c>
      <c r="G388" s="96">
        <f t="shared" ref="G388:H388" si="80">G389</f>
        <v>1180.9000000000001</v>
      </c>
      <c r="H388" s="96">
        <f t="shared" si="80"/>
        <v>1180.9000000000001</v>
      </c>
    </row>
    <row r="389" spans="1:8" ht="140.25">
      <c r="A389" s="82" t="s">
        <v>96</v>
      </c>
      <c r="B389" s="82" t="s">
        <v>96</v>
      </c>
      <c r="C389" s="75">
        <v>430000000</v>
      </c>
      <c r="D389" s="16"/>
      <c r="E389" s="46" t="s">
        <v>500</v>
      </c>
      <c r="F389" s="39">
        <f>F390+F392</f>
        <v>1180.9000000000001</v>
      </c>
      <c r="G389" s="39">
        <f t="shared" ref="G389:H389" si="81">G390+G392</f>
        <v>1180.9000000000001</v>
      </c>
      <c r="H389" s="39">
        <f t="shared" si="81"/>
        <v>1180.9000000000001</v>
      </c>
    </row>
    <row r="390" spans="1:8" ht="114.75">
      <c r="A390" s="82" t="s">
        <v>96</v>
      </c>
      <c r="B390" s="82" t="s">
        <v>96</v>
      </c>
      <c r="C390" s="79">
        <v>430127310</v>
      </c>
      <c r="D390" s="16"/>
      <c r="E390" s="98" t="s">
        <v>638</v>
      </c>
      <c r="F390" s="41">
        <f>F391</f>
        <v>1000</v>
      </c>
      <c r="G390" s="41">
        <f>G391</f>
        <v>1000</v>
      </c>
      <c r="H390" s="41">
        <f>H391</f>
        <v>1000</v>
      </c>
    </row>
    <row r="391" spans="1:8" ht="63.75">
      <c r="A391" s="82" t="s">
        <v>96</v>
      </c>
      <c r="B391" s="82" t="s">
        <v>96</v>
      </c>
      <c r="C391" s="79">
        <v>430127310</v>
      </c>
      <c r="D391" s="16" t="s">
        <v>12</v>
      </c>
      <c r="E391" s="98" t="s">
        <v>326</v>
      </c>
      <c r="F391" s="41">
        <v>1000</v>
      </c>
      <c r="G391" s="41">
        <v>1000</v>
      </c>
      <c r="H391" s="41">
        <v>1000</v>
      </c>
    </row>
    <row r="392" spans="1:8" ht="114.75">
      <c r="A392" s="82" t="s">
        <v>96</v>
      </c>
      <c r="B392" s="82" t="s">
        <v>96</v>
      </c>
      <c r="C392" s="79">
        <v>430127320</v>
      </c>
      <c r="D392" s="16"/>
      <c r="E392" s="98" t="s">
        <v>502</v>
      </c>
      <c r="F392" s="41">
        <f>F393</f>
        <v>180.9</v>
      </c>
      <c r="G392" s="41">
        <f t="shared" ref="G392:H392" si="82">G393</f>
        <v>180.9</v>
      </c>
      <c r="H392" s="41">
        <f t="shared" si="82"/>
        <v>180.9</v>
      </c>
    </row>
    <row r="393" spans="1:8" ht="63.75">
      <c r="A393" s="82" t="s">
        <v>96</v>
      </c>
      <c r="B393" s="82" t="s">
        <v>96</v>
      </c>
      <c r="C393" s="79">
        <v>430127320</v>
      </c>
      <c r="D393" s="16" t="s">
        <v>12</v>
      </c>
      <c r="E393" s="98" t="s">
        <v>326</v>
      </c>
      <c r="F393" s="41">
        <v>180.9</v>
      </c>
      <c r="G393" s="41">
        <v>180.9</v>
      </c>
      <c r="H393" s="41">
        <v>180.9</v>
      </c>
    </row>
    <row r="394" spans="1:8" ht="15.75">
      <c r="A394" s="4" t="s">
        <v>105</v>
      </c>
      <c r="B394" s="3"/>
      <c r="C394" s="3"/>
      <c r="D394" s="3"/>
      <c r="E394" s="10" t="s">
        <v>106</v>
      </c>
      <c r="F394" s="92">
        <f>F395+F406+F442+F478+F483+F512</f>
        <v>619766.19999999995</v>
      </c>
      <c r="G394" s="92">
        <f>G395+G406+G442+G478+G483+G512</f>
        <v>622761.99999999988</v>
      </c>
      <c r="H394" s="92">
        <f>H395+H406+H442+H478+H483+H512</f>
        <v>612597.6</v>
      </c>
    </row>
    <row r="395" spans="1:8" s="37" customFormat="1" ht="14.25">
      <c r="A395" s="35" t="s">
        <v>105</v>
      </c>
      <c r="B395" s="35" t="s">
        <v>89</v>
      </c>
      <c r="C395" s="35"/>
      <c r="D395" s="35"/>
      <c r="E395" s="45" t="s">
        <v>108</v>
      </c>
      <c r="F395" s="58">
        <f>F396</f>
        <v>159631.79999999999</v>
      </c>
      <c r="G395" s="58">
        <f t="shared" ref="G395:H395" si="83">G396</f>
        <v>159972.80000000002</v>
      </c>
      <c r="H395" s="58">
        <f t="shared" si="83"/>
        <v>159595.70000000001</v>
      </c>
    </row>
    <row r="396" spans="1:8" ht="76.5">
      <c r="A396" s="16" t="s">
        <v>105</v>
      </c>
      <c r="B396" s="16" t="s">
        <v>89</v>
      </c>
      <c r="C396" s="21" t="s">
        <v>74</v>
      </c>
      <c r="D396" s="35"/>
      <c r="E396" s="64" t="s">
        <v>615</v>
      </c>
      <c r="F396" s="62">
        <f t="shared" ref="F396:H396" si="84">F397</f>
        <v>159631.79999999999</v>
      </c>
      <c r="G396" s="62">
        <f t="shared" si="84"/>
        <v>159972.80000000002</v>
      </c>
      <c r="H396" s="62">
        <f t="shared" si="84"/>
        <v>159595.70000000001</v>
      </c>
    </row>
    <row r="397" spans="1:8" ht="25.5">
      <c r="A397" s="16" t="s">
        <v>105</v>
      </c>
      <c r="B397" s="16" t="s">
        <v>89</v>
      </c>
      <c r="C397" s="52" t="s">
        <v>75</v>
      </c>
      <c r="D397" s="35"/>
      <c r="E397" s="46" t="s">
        <v>402</v>
      </c>
      <c r="F397" s="94">
        <f>F398+F400+F402+F404</f>
        <v>159631.79999999999</v>
      </c>
      <c r="G397" s="94">
        <f t="shared" ref="G397:H397" si="85">G398+G400+G402+G404</f>
        <v>159972.80000000002</v>
      </c>
      <c r="H397" s="94">
        <f t="shared" si="85"/>
        <v>159595.70000000001</v>
      </c>
    </row>
    <row r="398" spans="1:8" ht="54.75" customHeight="1">
      <c r="A398" s="56" t="s">
        <v>105</v>
      </c>
      <c r="B398" s="56" t="s">
        <v>89</v>
      </c>
      <c r="C398" s="21" t="s">
        <v>392</v>
      </c>
      <c r="D398" s="21"/>
      <c r="E398" s="98" t="s">
        <v>391</v>
      </c>
      <c r="F398" s="94">
        <f>F399</f>
        <v>88408.6</v>
      </c>
      <c r="G398" s="94">
        <f t="shared" ref="G398:H398" si="86">G399</f>
        <v>88408.6</v>
      </c>
      <c r="H398" s="94">
        <f t="shared" si="86"/>
        <v>88408.6</v>
      </c>
    </row>
    <row r="399" spans="1:8">
      <c r="A399" s="56" t="s">
        <v>105</v>
      </c>
      <c r="B399" s="56" t="s">
        <v>89</v>
      </c>
      <c r="C399" s="21" t="s">
        <v>392</v>
      </c>
      <c r="D399" s="21" t="s">
        <v>228</v>
      </c>
      <c r="E399" s="98" t="s">
        <v>227</v>
      </c>
      <c r="F399" s="1">
        <v>88408.6</v>
      </c>
      <c r="G399" s="1">
        <v>88408.6</v>
      </c>
      <c r="H399" s="1">
        <v>88408.6</v>
      </c>
    </row>
    <row r="400" spans="1:8" ht="76.5">
      <c r="A400" s="56" t="s">
        <v>105</v>
      </c>
      <c r="B400" s="56" t="s">
        <v>89</v>
      </c>
      <c r="C400" s="132" t="s">
        <v>394</v>
      </c>
      <c r="D400" s="21"/>
      <c r="E400" s="98" t="s">
        <v>393</v>
      </c>
      <c r="F400" s="94">
        <f>F401</f>
        <v>70720.499999999985</v>
      </c>
      <c r="G400" s="94">
        <f t="shared" ref="G400:H400" si="87">G401</f>
        <v>71187.099999999991</v>
      </c>
      <c r="H400" s="94">
        <f t="shared" si="87"/>
        <v>71187.099999999991</v>
      </c>
    </row>
    <row r="401" spans="1:8" ht="15">
      <c r="A401" s="56" t="s">
        <v>105</v>
      </c>
      <c r="B401" s="56" t="s">
        <v>89</v>
      </c>
      <c r="C401" s="132" t="s">
        <v>394</v>
      </c>
      <c r="D401" s="21" t="s">
        <v>228</v>
      </c>
      <c r="E401" s="98" t="s">
        <v>227</v>
      </c>
      <c r="F401" s="94">
        <f>68790.2+2396.9-466.6</f>
        <v>70720.499999999985</v>
      </c>
      <c r="G401" s="94">
        <f>68790.2+2396.9</f>
        <v>71187.099999999991</v>
      </c>
      <c r="H401" s="94">
        <f>68790.2+2396.9</f>
        <v>71187.099999999991</v>
      </c>
    </row>
    <row r="402" spans="1:8" ht="49.5" customHeight="1">
      <c r="A402" s="56" t="s">
        <v>105</v>
      </c>
      <c r="B402" s="56" t="s">
        <v>89</v>
      </c>
      <c r="C402" s="21" t="s">
        <v>397</v>
      </c>
      <c r="D402" s="57"/>
      <c r="E402" s="97" t="s">
        <v>396</v>
      </c>
      <c r="F402" s="94">
        <f>F403</f>
        <v>502.70000000000005</v>
      </c>
      <c r="G402" s="94">
        <f t="shared" ref="G402:H402" si="88">G403</f>
        <v>227.1</v>
      </c>
      <c r="H402" s="94">
        <f t="shared" si="88"/>
        <v>0</v>
      </c>
    </row>
    <row r="403" spans="1:8">
      <c r="A403" s="56" t="s">
        <v>105</v>
      </c>
      <c r="B403" s="56" t="s">
        <v>89</v>
      </c>
      <c r="C403" s="21" t="s">
        <v>397</v>
      </c>
      <c r="D403" s="21" t="s">
        <v>228</v>
      </c>
      <c r="E403" s="98" t="s">
        <v>227</v>
      </c>
      <c r="F403" s="94">
        <f>227.1+275.6</f>
        <v>502.70000000000005</v>
      </c>
      <c r="G403" s="94">
        <v>227.1</v>
      </c>
      <c r="H403" s="94">
        <v>0</v>
      </c>
    </row>
    <row r="404" spans="1:8" ht="63.75">
      <c r="A404" s="56" t="s">
        <v>105</v>
      </c>
      <c r="B404" s="56" t="s">
        <v>89</v>
      </c>
      <c r="C404" s="57" t="s">
        <v>398</v>
      </c>
      <c r="D404" s="21"/>
      <c r="E404" s="98" t="s">
        <v>381</v>
      </c>
      <c r="F404" s="94">
        <f>F405</f>
        <v>0</v>
      </c>
      <c r="G404" s="94">
        <f t="shared" ref="G404:H404" si="89">G405</f>
        <v>150</v>
      </c>
      <c r="H404" s="94">
        <f t="shared" si="89"/>
        <v>0</v>
      </c>
    </row>
    <row r="405" spans="1:8">
      <c r="A405" s="56" t="s">
        <v>105</v>
      </c>
      <c r="B405" s="56" t="s">
        <v>89</v>
      </c>
      <c r="C405" s="57" t="s">
        <v>398</v>
      </c>
      <c r="D405" s="21" t="s">
        <v>228</v>
      </c>
      <c r="E405" s="98" t="s">
        <v>227</v>
      </c>
      <c r="F405" s="94">
        <f>150-150</f>
        <v>0</v>
      </c>
      <c r="G405" s="94">
        <v>150</v>
      </c>
      <c r="H405" s="94">
        <v>0</v>
      </c>
    </row>
    <row r="406" spans="1:8" s="37" customFormat="1" ht="14.25">
      <c r="A406" s="35" t="s">
        <v>105</v>
      </c>
      <c r="B406" s="35" t="s">
        <v>90</v>
      </c>
      <c r="C406" s="35"/>
      <c r="D406" s="35"/>
      <c r="E406" s="45" t="s">
        <v>109</v>
      </c>
      <c r="F406" s="42">
        <f>F407+F439</f>
        <v>373397.4</v>
      </c>
      <c r="G406" s="42">
        <f>G407+G439</f>
        <v>379678.49999999994</v>
      </c>
      <c r="H406" s="42">
        <f>H407+H439</f>
        <v>370095.7</v>
      </c>
    </row>
    <row r="407" spans="1:8" s="37" customFormat="1" ht="77.25">
      <c r="A407" s="16" t="s">
        <v>105</v>
      </c>
      <c r="B407" s="16" t="s">
        <v>90</v>
      </c>
      <c r="C407" s="21" t="s">
        <v>74</v>
      </c>
      <c r="D407" s="35"/>
      <c r="E407" s="64" t="s">
        <v>615</v>
      </c>
      <c r="F407" s="65">
        <f t="shared" ref="F407:H407" si="90">F408</f>
        <v>373282.4</v>
      </c>
      <c r="G407" s="65">
        <f t="shared" si="90"/>
        <v>379678.49999999994</v>
      </c>
      <c r="H407" s="65">
        <f t="shared" si="90"/>
        <v>370095.7</v>
      </c>
    </row>
    <row r="408" spans="1:8" s="37" customFormat="1" ht="42" customHeight="1">
      <c r="A408" s="47" t="s">
        <v>105</v>
      </c>
      <c r="B408" s="47" t="s">
        <v>90</v>
      </c>
      <c r="C408" s="52" t="s">
        <v>76</v>
      </c>
      <c r="D408" s="21"/>
      <c r="E408" s="46" t="s">
        <v>602</v>
      </c>
      <c r="F408" s="94">
        <f>F409+F411+F413+F415+F417+F419+F421+F423+F425+F427+F429+F431+F433+F435+F437</f>
        <v>373282.4</v>
      </c>
      <c r="G408" s="94">
        <f t="shared" ref="G408:H408" si="91">G409+G411+G413+G415+G417+G419+G421+G423+G425+G427+G429+G431+G433+G435+G437</f>
        <v>379678.49999999994</v>
      </c>
      <c r="H408" s="94">
        <f t="shared" si="91"/>
        <v>370095.7</v>
      </c>
    </row>
    <row r="409" spans="1:8" s="37" customFormat="1" ht="76.5">
      <c r="A409" s="56" t="s">
        <v>105</v>
      </c>
      <c r="B409" s="90" t="s">
        <v>90</v>
      </c>
      <c r="C409" s="82" t="s">
        <v>406</v>
      </c>
      <c r="D409" s="82"/>
      <c r="E409" s="98" t="s">
        <v>405</v>
      </c>
      <c r="F409" s="94">
        <f>F410</f>
        <v>222855.8</v>
      </c>
      <c r="G409" s="94">
        <f>G410</f>
        <v>222855.8</v>
      </c>
      <c r="H409" s="94">
        <f>H410</f>
        <v>222855.8</v>
      </c>
    </row>
    <row r="410" spans="1:8" s="37" customFormat="1" ht="14.25">
      <c r="A410" s="56" t="s">
        <v>105</v>
      </c>
      <c r="B410" s="90" t="s">
        <v>90</v>
      </c>
      <c r="C410" s="57" t="s">
        <v>406</v>
      </c>
      <c r="D410" s="21" t="s">
        <v>228</v>
      </c>
      <c r="E410" s="98" t="s">
        <v>227</v>
      </c>
      <c r="F410" s="39">
        <v>222855.8</v>
      </c>
      <c r="G410" s="39">
        <v>222855.8</v>
      </c>
      <c r="H410" s="39">
        <v>222855.8</v>
      </c>
    </row>
    <row r="411" spans="1:8" s="37" customFormat="1" ht="63.75">
      <c r="A411" s="16" t="s">
        <v>105</v>
      </c>
      <c r="B411" s="16" t="s">
        <v>90</v>
      </c>
      <c r="C411" s="57" t="s">
        <v>407</v>
      </c>
      <c r="D411" s="21"/>
      <c r="E411" s="98" t="s">
        <v>291</v>
      </c>
      <c r="F411" s="94">
        <f>F412</f>
        <v>86324</v>
      </c>
      <c r="G411" s="94">
        <f>G412</f>
        <v>86324</v>
      </c>
      <c r="H411" s="94">
        <f>H412</f>
        <v>86324</v>
      </c>
    </row>
    <row r="412" spans="1:8" s="37" customFormat="1" ht="14.25">
      <c r="A412" s="56" t="s">
        <v>105</v>
      </c>
      <c r="B412" s="90" t="s">
        <v>90</v>
      </c>
      <c r="C412" s="57" t="s">
        <v>407</v>
      </c>
      <c r="D412" s="21" t="s">
        <v>228</v>
      </c>
      <c r="E412" s="98" t="s">
        <v>227</v>
      </c>
      <c r="F412" s="94">
        <f>82839.4+3484.6</f>
        <v>86324</v>
      </c>
      <c r="G412" s="94">
        <f>82839.4+3484.6</f>
        <v>86324</v>
      </c>
      <c r="H412" s="94">
        <f>82839.4+3484.6</f>
        <v>86324</v>
      </c>
    </row>
    <row r="413" spans="1:8" s="37" customFormat="1" ht="63.75">
      <c r="A413" s="56" t="s">
        <v>105</v>
      </c>
      <c r="B413" s="90" t="s">
        <v>90</v>
      </c>
      <c r="C413" s="57" t="s">
        <v>409</v>
      </c>
      <c r="D413" s="21"/>
      <c r="E413" s="98" t="s">
        <v>408</v>
      </c>
      <c r="F413" s="94">
        <f>F414</f>
        <v>15882.5</v>
      </c>
      <c r="G413" s="94">
        <f>G414</f>
        <v>15882.5</v>
      </c>
      <c r="H413" s="94">
        <f>H414</f>
        <v>15882.5</v>
      </c>
    </row>
    <row r="414" spans="1:8" s="37" customFormat="1" ht="14.25">
      <c r="A414" s="16" t="s">
        <v>105</v>
      </c>
      <c r="B414" s="16" t="s">
        <v>90</v>
      </c>
      <c r="C414" s="21" t="s">
        <v>409</v>
      </c>
      <c r="D414" s="21" t="s">
        <v>228</v>
      </c>
      <c r="E414" s="98" t="s">
        <v>227</v>
      </c>
      <c r="F414" s="1">
        <v>15882.5</v>
      </c>
      <c r="G414" s="1">
        <v>15882.5</v>
      </c>
      <c r="H414" s="1">
        <v>15882.5</v>
      </c>
    </row>
    <row r="415" spans="1:8" s="37" customFormat="1" ht="51">
      <c r="A415" s="16" t="s">
        <v>105</v>
      </c>
      <c r="B415" s="16" t="s">
        <v>90</v>
      </c>
      <c r="C415" s="57" t="s">
        <v>412</v>
      </c>
      <c r="D415" s="21"/>
      <c r="E415" s="98" t="s">
        <v>413</v>
      </c>
      <c r="F415" s="94">
        <f>F416</f>
        <v>245.7</v>
      </c>
      <c r="G415" s="94">
        <f>G416</f>
        <v>470</v>
      </c>
      <c r="H415" s="94">
        <f>H416</f>
        <v>0</v>
      </c>
    </row>
    <row r="416" spans="1:8" s="37" customFormat="1" ht="14.25">
      <c r="A416" s="16" t="s">
        <v>105</v>
      </c>
      <c r="B416" s="16" t="s">
        <v>90</v>
      </c>
      <c r="C416" s="57" t="s">
        <v>412</v>
      </c>
      <c r="D416" s="21" t="s">
        <v>228</v>
      </c>
      <c r="E416" s="98" t="s">
        <v>227</v>
      </c>
      <c r="F416" s="94">
        <f>273-27.3</f>
        <v>245.7</v>
      </c>
      <c r="G416" s="94">
        <v>470</v>
      </c>
      <c r="H416" s="94">
        <v>0</v>
      </c>
    </row>
    <row r="417" spans="1:8" s="37" customFormat="1" ht="63.75">
      <c r="A417" s="16" t="s">
        <v>105</v>
      </c>
      <c r="B417" s="16" t="s">
        <v>90</v>
      </c>
      <c r="C417" s="57" t="s">
        <v>414</v>
      </c>
      <c r="D417" s="57"/>
      <c r="E417" s="124" t="s">
        <v>415</v>
      </c>
      <c r="F417" s="94">
        <f>F418</f>
        <v>0</v>
      </c>
      <c r="G417" s="94">
        <f>G418</f>
        <v>5245.5</v>
      </c>
      <c r="H417" s="94">
        <f>H418</f>
        <v>1142.9000000000001</v>
      </c>
    </row>
    <row r="418" spans="1:8" s="37" customFormat="1" ht="14.25">
      <c r="A418" s="16" t="s">
        <v>105</v>
      </c>
      <c r="B418" s="16" t="s">
        <v>90</v>
      </c>
      <c r="C418" s="57" t="s">
        <v>414</v>
      </c>
      <c r="D418" s="21" t="s">
        <v>228</v>
      </c>
      <c r="E418" s="98" t="s">
        <v>227</v>
      </c>
      <c r="F418" s="94">
        <v>0</v>
      </c>
      <c r="G418" s="94">
        <v>5245.5</v>
      </c>
      <c r="H418" s="94">
        <v>1142.9000000000001</v>
      </c>
    </row>
    <row r="419" spans="1:8" s="37" customFormat="1" ht="51">
      <c r="A419" s="16" t="s">
        <v>105</v>
      </c>
      <c r="B419" s="16" t="s">
        <v>90</v>
      </c>
      <c r="C419" s="57" t="s">
        <v>666</v>
      </c>
      <c r="D419" s="21"/>
      <c r="E419" s="98" t="s">
        <v>667</v>
      </c>
      <c r="F419" s="94">
        <f>F420</f>
        <v>500</v>
      </c>
      <c r="G419" s="94">
        <f t="shared" ref="G419:H419" si="92">G420</f>
        <v>500</v>
      </c>
      <c r="H419" s="94">
        <f t="shared" si="92"/>
        <v>500</v>
      </c>
    </row>
    <row r="420" spans="1:8" s="37" customFormat="1" ht="14.25">
      <c r="A420" s="16" t="s">
        <v>105</v>
      </c>
      <c r="B420" s="16" t="s">
        <v>90</v>
      </c>
      <c r="C420" s="57" t="s">
        <v>666</v>
      </c>
      <c r="D420" s="21" t="s">
        <v>228</v>
      </c>
      <c r="E420" s="98" t="s">
        <v>227</v>
      </c>
      <c r="F420" s="94">
        <v>500</v>
      </c>
      <c r="G420" s="94">
        <v>500</v>
      </c>
      <c r="H420" s="94">
        <v>500</v>
      </c>
    </row>
    <row r="421" spans="1:8" s="37" customFormat="1" ht="38.25">
      <c r="A421" s="16" t="s">
        <v>105</v>
      </c>
      <c r="B421" s="16" t="s">
        <v>90</v>
      </c>
      <c r="C421" s="165" t="s">
        <v>760</v>
      </c>
      <c r="D421" s="21"/>
      <c r="E421" s="124" t="s">
        <v>761</v>
      </c>
      <c r="F421" s="94">
        <f>F422</f>
        <v>100</v>
      </c>
      <c r="G421" s="94">
        <f t="shared" ref="G421:H421" si="93">G422</f>
        <v>0</v>
      </c>
      <c r="H421" s="94">
        <f t="shared" si="93"/>
        <v>0</v>
      </c>
    </row>
    <row r="422" spans="1:8" s="37" customFormat="1" ht="14.25">
      <c r="A422" s="16" t="s">
        <v>105</v>
      </c>
      <c r="B422" s="16" t="s">
        <v>90</v>
      </c>
      <c r="C422" s="165" t="s">
        <v>760</v>
      </c>
      <c r="D422" s="21" t="s">
        <v>228</v>
      </c>
      <c r="E422" s="98" t="s">
        <v>227</v>
      </c>
      <c r="F422" s="94">
        <v>100</v>
      </c>
      <c r="G422" s="94">
        <v>0</v>
      </c>
      <c r="H422" s="94">
        <v>0</v>
      </c>
    </row>
    <row r="423" spans="1:8" s="37" customFormat="1" ht="38.25">
      <c r="A423" s="16" t="s">
        <v>105</v>
      </c>
      <c r="B423" s="16" t="s">
        <v>90</v>
      </c>
      <c r="C423" s="57" t="s">
        <v>417</v>
      </c>
      <c r="D423" s="21"/>
      <c r="E423" s="98" t="s">
        <v>313</v>
      </c>
      <c r="F423" s="94">
        <f>F424</f>
        <v>5249.9</v>
      </c>
      <c r="G423" s="94">
        <f>G424</f>
        <v>5249.9</v>
      </c>
      <c r="H423" s="94">
        <f>H424</f>
        <v>5249.9</v>
      </c>
    </row>
    <row r="424" spans="1:8" s="37" customFormat="1" ht="14.25">
      <c r="A424" s="16" t="s">
        <v>105</v>
      </c>
      <c r="B424" s="16" t="s">
        <v>90</v>
      </c>
      <c r="C424" s="57" t="s">
        <v>417</v>
      </c>
      <c r="D424" s="21" t="s">
        <v>228</v>
      </c>
      <c r="E424" s="98" t="s">
        <v>227</v>
      </c>
      <c r="F424" s="39">
        <v>5249.9</v>
      </c>
      <c r="G424" s="39">
        <v>5249.9</v>
      </c>
      <c r="H424" s="39">
        <v>5249.9</v>
      </c>
    </row>
    <row r="425" spans="1:8" s="37" customFormat="1" ht="76.5">
      <c r="A425" s="16" t="s">
        <v>105</v>
      </c>
      <c r="B425" s="16" t="s">
        <v>90</v>
      </c>
      <c r="C425" s="21" t="s">
        <v>419</v>
      </c>
      <c r="D425" s="21"/>
      <c r="E425" s="98" t="s">
        <v>136</v>
      </c>
      <c r="F425" s="94">
        <f>F426</f>
        <v>17550.099999999999</v>
      </c>
      <c r="G425" s="94">
        <f>G426</f>
        <v>17550.099999999999</v>
      </c>
      <c r="H425" s="94">
        <f>H426</f>
        <v>17550.099999999999</v>
      </c>
    </row>
    <row r="426" spans="1:8" s="37" customFormat="1" ht="14.25">
      <c r="A426" s="82" t="s">
        <v>105</v>
      </c>
      <c r="B426" s="16" t="s">
        <v>90</v>
      </c>
      <c r="C426" s="21" t="s">
        <v>419</v>
      </c>
      <c r="D426" s="21" t="s">
        <v>228</v>
      </c>
      <c r="E426" s="98" t="s">
        <v>227</v>
      </c>
      <c r="F426" s="94">
        <v>17550.099999999999</v>
      </c>
      <c r="G426" s="94">
        <v>17550.099999999999</v>
      </c>
      <c r="H426" s="94">
        <v>17550.099999999999</v>
      </c>
    </row>
    <row r="427" spans="1:8" s="37" customFormat="1" ht="76.5" customHeight="1">
      <c r="A427" s="16" t="s">
        <v>105</v>
      </c>
      <c r="B427" s="16" t="s">
        <v>90</v>
      </c>
      <c r="C427" s="21" t="s">
        <v>420</v>
      </c>
      <c r="D427" s="21"/>
      <c r="E427" s="98" t="s">
        <v>613</v>
      </c>
      <c r="F427" s="94">
        <f>F428</f>
        <v>175</v>
      </c>
      <c r="G427" s="94">
        <f>G428</f>
        <v>175</v>
      </c>
      <c r="H427" s="94">
        <f>H428</f>
        <v>0</v>
      </c>
    </row>
    <row r="428" spans="1:8" s="37" customFormat="1" ht="14.25">
      <c r="A428" s="16" t="s">
        <v>105</v>
      </c>
      <c r="B428" s="16" t="s">
        <v>90</v>
      </c>
      <c r="C428" s="21" t="s">
        <v>420</v>
      </c>
      <c r="D428" s="21" t="s">
        <v>228</v>
      </c>
      <c r="E428" s="98" t="s">
        <v>227</v>
      </c>
      <c r="F428" s="41">
        <v>175</v>
      </c>
      <c r="G428" s="41">
        <v>175</v>
      </c>
      <c r="H428" s="41">
        <v>0</v>
      </c>
    </row>
    <row r="429" spans="1:8" s="37" customFormat="1" ht="63.75">
      <c r="A429" s="16" t="s">
        <v>105</v>
      </c>
      <c r="B429" s="16" t="s">
        <v>90</v>
      </c>
      <c r="C429" s="21" t="s">
        <v>747</v>
      </c>
      <c r="D429" s="82"/>
      <c r="E429" s="55" t="s">
        <v>383</v>
      </c>
      <c r="F429" s="41">
        <f>F430</f>
        <v>18640</v>
      </c>
      <c r="G429" s="41">
        <f t="shared" ref="G429:H429" si="94">G430</f>
        <v>18640</v>
      </c>
      <c r="H429" s="41">
        <f t="shared" si="94"/>
        <v>18022.900000000001</v>
      </c>
    </row>
    <row r="430" spans="1:8" s="37" customFormat="1" ht="14.25">
      <c r="A430" s="16" t="s">
        <v>105</v>
      </c>
      <c r="B430" s="16" t="s">
        <v>90</v>
      </c>
      <c r="C430" s="21" t="s">
        <v>747</v>
      </c>
      <c r="D430" s="21" t="s">
        <v>228</v>
      </c>
      <c r="E430" s="98" t="s">
        <v>227</v>
      </c>
      <c r="F430" s="39">
        <v>18640</v>
      </c>
      <c r="G430" s="39">
        <v>18640</v>
      </c>
      <c r="H430" s="39">
        <v>18022.900000000001</v>
      </c>
    </row>
    <row r="431" spans="1:8" s="37" customFormat="1" ht="63.75">
      <c r="A431" s="16" t="s">
        <v>105</v>
      </c>
      <c r="B431" s="16" t="s">
        <v>90</v>
      </c>
      <c r="C431" s="21" t="s">
        <v>593</v>
      </c>
      <c r="D431" s="21"/>
      <c r="E431" s="98" t="s">
        <v>594</v>
      </c>
      <c r="F431" s="41">
        <f>F432</f>
        <v>4434.7</v>
      </c>
      <c r="G431" s="41">
        <f t="shared" ref="G431:H431" si="95">G432</f>
        <v>3968.1</v>
      </c>
      <c r="H431" s="41">
        <f t="shared" si="95"/>
        <v>0</v>
      </c>
    </row>
    <row r="432" spans="1:8" s="37" customFormat="1" ht="14.25">
      <c r="A432" s="16" t="s">
        <v>105</v>
      </c>
      <c r="B432" s="16" t="s">
        <v>90</v>
      </c>
      <c r="C432" s="21" t="s">
        <v>593</v>
      </c>
      <c r="D432" s="21" t="s">
        <v>228</v>
      </c>
      <c r="E432" s="98" t="s">
        <v>227</v>
      </c>
      <c r="F432" s="41">
        <f>3968.1+466.6</f>
        <v>4434.7</v>
      </c>
      <c r="G432" s="41">
        <v>3968.1</v>
      </c>
      <c r="H432" s="41">
        <v>0</v>
      </c>
    </row>
    <row r="433" spans="1:8" s="37" customFormat="1" ht="63" customHeight="1">
      <c r="A433" s="16" t="s">
        <v>105</v>
      </c>
      <c r="B433" s="16" t="s">
        <v>90</v>
      </c>
      <c r="C433" s="57" t="s">
        <v>746</v>
      </c>
      <c r="D433" s="21"/>
      <c r="E433" s="97" t="s">
        <v>745</v>
      </c>
      <c r="F433" s="41">
        <f>F434</f>
        <v>250</v>
      </c>
      <c r="G433" s="41">
        <f t="shared" ref="G433:H433" si="96">G434</f>
        <v>250</v>
      </c>
      <c r="H433" s="41">
        <f t="shared" si="96"/>
        <v>0</v>
      </c>
    </row>
    <row r="434" spans="1:8" s="37" customFormat="1" ht="14.25">
      <c r="A434" s="16" t="s">
        <v>105</v>
      </c>
      <c r="B434" s="16" t="s">
        <v>90</v>
      </c>
      <c r="C434" s="57" t="s">
        <v>746</v>
      </c>
      <c r="D434" s="21" t="s">
        <v>228</v>
      </c>
      <c r="E434" s="98" t="s">
        <v>227</v>
      </c>
      <c r="F434" s="41">
        <v>250</v>
      </c>
      <c r="G434" s="41">
        <v>250</v>
      </c>
      <c r="H434" s="41">
        <v>0</v>
      </c>
    </row>
    <row r="435" spans="1:8" s="37" customFormat="1" ht="51.75" customHeight="1">
      <c r="A435" s="16" t="s">
        <v>105</v>
      </c>
      <c r="B435" s="16" t="s">
        <v>90</v>
      </c>
      <c r="C435" s="57" t="s">
        <v>756</v>
      </c>
      <c r="D435" s="21"/>
      <c r="E435" s="97" t="s">
        <v>757</v>
      </c>
      <c r="F435" s="41">
        <f>F436</f>
        <v>389.3</v>
      </c>
      <c r="G435" s="41">
        <f t="shared" ref="G435:H435" si="97">G436</f>
        <v>0</v>
      </c>
      <c r="H435" s="41">
        <f t="shared" si="97"/>
        <v>0</v>
      </c>
    </row>
    <row r="436" spans="1:8" s="37" customFormat="1" ht="14.25">
      <c r="A436" s="16" t="s">
        <v>105</v>
      </c>
      <c r="B436" s="16" t="s">
        <v>90</v>
      </c>
      <c r="C436" s="57" t="s">
        <v>756</v>
      </c>
      <c r="D436" s="21" t="s">
        <v>228</v>
      </c>
      <c r="E436" s="98" t="s">
        <v>227</v>
      </c>
      <c r="F436" s="41">
        <v>389.3</v>
      </c>
      <c r="G436" s="41">
        <v>0</v>
      </c>
      <c r="H436" s="41">
        <v>0</v>
      </c>
    </row>
    <row r="437" spans="1:8" s="37" customFormat="1" ht="63.75">
      <c r="A437" s="56" t="s">
        <v>105</v>
      </c>
      <c r="B437" s="90" t="s">
        <v>90</v>
      </c>
      <c r="C437" s="57" t="s">
        <v>775</v>
      </c>
      <c r="D437" s="21"/>
      <c r="E437" s="98" t="s">
        <v>776</v>
      </c>
      <c r="F437" s="1">
        <f>F438</f>
        <v>685.4</v>
      </c>
      <c r="G437" s="1">
        <f t="shared" ref="G437:H437" si="98">G438</f>
        <v>2567.6</v>
      </c>
      <c r="H437" s="1">
        <f t="shared" si="98"/>
        <v>2567.6</v>
      </c>
    </row>
    <row r="438" spans="1:8" s="37" customFormat="1" ht="14.25">
      <c r="A438" s="16" t="s">
        <v>105</v>
      </c>
      <c r="B438" s="16" t="s">
        <v>90</v>
      </c>
      <c r="C438" s="57" t="s">
        <v>775</v>
      </c>
      <c r="D438" s="21" t="s">
        <v>228</v>
      </c>
      <c r="E438" s="98" t="s">
        <v>227</v>
      </c>
      <c r="F438" s="1">
        <v>685.4</v>
      </c>
      <c r="G438" s="1">
        <v>2567.6</v>
      </c>
      <c r="H438" s="1">
        <v>2567.6</v>
      </c>
    </row>
    <row r="439" spans="1:8" s="37" customFormat="1" ht="38.25">
      <c r="A439" s="16" t="s">
        <v>105</v>
      </c>
      <c r="B439" s="16" t="s">
        <v>90</v>
      </c>
      <c r="C439" s="82" t="s">
        <v>25</v>
      </c>
      <c r="D439" s="82"/>
      <c r="E439" s="99" t="s">
        <v>39</v>
      </c>
      <c r="F439" s="41">
        <f>F440</f>
        <v>115</v>
      </c>
      <c r="G439" s="41">
        <f t="shared" ref="G439:H439" si="99">G440</f>
        <v>0</v>
      </c>
      <c r="H439" s="41">
        <f t="shared" si="99"/>
        <v>0</v>
      </c>
    </row>
    <row r="440" spans="1:8" s="37" customFormat="1" ht="51">
      <c r="A440" s="16" t="s">
        <v>105</v>
      </c>
      <c r="B440" s="16" t="s">
        <v>90</v>
      </c>
      <c r="C440" s="82" t="s">
        <v>612</v>
      </c>
      <c r="D440" s="16"/>
      <c r="E440" s="54" t="s">
        <v>610</v>
      </c>
      <c r="F440" s="41">
        <f>SUM(F441:F441)</f>
        <v>115</v>
      </c>
      <c r="G440" s="41">
        <f>SUM(G441:G441)</f>
        <v>0</v>
      </c>
      <c r="H440" s="41">
        <f>SUM(H441:H441)</f>
        <v>0</v>
      </c>
    </row>
    <row r="441" spans="1:8" s="37" customFormat="1" ht="14.25">
      <c r="A441" s="16" t="s">
        <v>105</v>
      </c>
      <c r="B441" s="16" t="s">
        <v>90</v>
      </c>
      <c r="C441" s="82" t="s">
        <v>612</v>
      </c>
      <c r="D441" s="21" t="s">
        <v>228</v>
      </c>
      <c r="E441" s="98" t="s">
        <v>227</v>
      </c>
      <c r="F441" s="39">
        <f>70+45</f>
        <v>115</v>
      </c>
      <c r="G441" s="39">
        <v>0</v>
      </c>
      <c r="H441" s="39">
        <v>0</v>
      </c>
    </row>
    <row r="442" spans="1:8" s="37" customFormat="1" ht="14.25">
      <c r="A442" s="35" t="s">
        <v>105</v>
      </c>
      <c r="B442" s="35" t="s">
        <v>94</v>
      </c>
      <c r="C442" s="35"/>
      <c r="D442" s="35"/>
      <c r="E442" s="46" t="s">
        <v>157</v>
      </c>
      <c r="F442" s="42">
        <f>F443+F465+F475</f>
        <v>62034</v>
      </c>
      <c r="G442" s="42">
        <f>G443+G465+G475</f>
        <v>61818.200000000004</v>
      </c>
      <c r="H442" s="42">
        <f>H443+H465+H475</f>
        <v>61613.700000000004</v>
      </c>
    </row>
    <row r="443" spans="1:8" s="37" customFormat="1" ht="76.5">
      <c r="A443" s="5" t="s">
        <v>105</v>
      </c>
      <c r="B443" s="5" t="s">
        <v>94</v>
      </c>
      <c r="C443" s="73" t="s">
        <v>74</v>
      </c>
      <c r="D443" s="21"/>
      <c r="E443" s="64" t="s">
        <v>615</v>
      </c>
      <c r="F443" s="62">
        <f>F444+F462</f>
        <v>47002.9</v>
      </c>
      <c r="G443" s="62">
        <f>G444+G462</f>
        <v>46673.200000000004</v>
      </c>
      <c r="H443" s="62">
        <f>H444+H462</f>
        <v>46468.700000000004</v>
      </c>
    </row>
    <row r="444" spans="1:8" s="37" customFormat="1" ht="38.25">
      <c r="A444" s="16" t="s">
        <v>105</v>
      </c>
      <c r="B444" s="82" t="s">
        <v>94</v>
      </c>
      <c r="C444" s="52" t="s">
        <v>426</v>
      </c>
      <c r="D444" s="35"/>
      <c r="E444" s="46" t="s">
        <v>427</v>
      </c>
      <c r="F444" s="94">
        <f>F445+F447+F452+F454++F456+F458+F460</f>
        <v>46952.9</v>
      </c>
      <c r="G444" s="94">
        <f>G445+G452+G454++G456+G458+G460</f>
        <v>46623.200000000004</v>
      </c>
      <c r="H444" s="94">
        <f>H445+H452+H454++H456+H458+H460</f>
        <v>46468.700000000004</v>
      </c>
    </row>
    <row r="445" spans="1:8" s="37" customFormat="1" ht="76.5">
      <c r="A445" s="16" t="s">
        <v>105</v>
      </c>
      <c r="B445" s="82" t="s">
        <v>94</v>
      </c>
      <c r="C445" s="57" t="s">
        <v>430</v>
      </c>
      <c r="D445" s="16"/>
      <c r="E445" s="98" t="s">
        <v>429</v>
      </c>
      <c r="F445" s="94">
        <f>F446</f>
        <v>24633.4</v>
      </c>
      <c r="G445" s="94">
        <f t="shared" ref="G445:H445" si="100">SUM(G446:G451)</f>
        <v>36073.800000000003</v>
      </c>
      <c r="H445" s="94">
        <f t="shared" si="100"/>
        <v>36073.800000000003</v>
      </c>
    </row>
    <row r="446" spans="1:8" s="37" customFormat="1" ht="14.25">
      <c r="A446" s="16" t="s">
        <v>105</v>
      </c>
      <c r="B446" s="82" t="s">
        <v>94</v>
      </c>
      <c r="C446" s="57" t="s">
        <v>430</v>
      </c>
      <c r="D446" s="21" t="s">
        <v>228</v>
      </c>
      <c r="E446" s="98" t="s">
        <v>227</v>
      </c>
      <c r="F446" s="94">
        <f>35352.5+721.3-11440.4</f>
        <v>24633.4</v>
      </c>
      <c r="G446" s="94">
        <f>35352.5+721.3</f>
        <v>36073.800000000003</v>
      </c>
      <c r="H446" s="94">
        <f>35352.5+721.3</f>
        <v>36073.800000000003</v>
      </c>
    </row>
    <row r="447" spans="1:8" s="37" customFormat="1" ht="49.5" customHeight="1">
      <c r="A447" s="16" t="s">
        <v>105</v>
      </c>
      <c r="B447" s="82" t="s">
        <v>94</v>
      </c>
      <c r="C447" s="57" t="s">
        <v>731</v>
      </c>
      <c r="D447" s="21"/>
      <c r="E447" s="98" t="s">
        <v>732</v>
      </c>
      <c r="F447" s="94">
        <f>SUM(F448:F451)</f>
        <v>11770.1</v>
      </c>
      <c r="G447" s="94">
        <f t="shared" ref="G447:H447" si="101">SUM(G448:G451)</f>
        <v>0</v>
      </c>
      <c r="H447" s="94">
        <f t="shared" si="101"/>
        <v>0</v>
      </c>
    </row>
    <row r="448" spans="1:8" s="37" customFormat="1" ht="14.25">
      <c r="A448" s="16" t="s">
        <v>105</v>
      </c>
      <c r="B448" s="82" t="s">
        <v>94</v>
      </c>
      <c r="C448" s="57" t="s">
        <v>731</v>
      </c>
      <c r="D448" s="21" t="s">
        <v>228</v>
      </c>
      <c r="E448" s="98" t="s">
        <v>227</v>
      </c>
      <c r="F448" s="94">
        <f>329.7+10817.4+155.7</f>
        <v>11302.800000000001</v>
      </c>
      <c r="G448" s="94">
        <v>0</v>
      </c>
      <c r="H448" s="94">
        <v>0</v>
      </c>
    </row>
    <row r="449" spans="1:13" s="37" customFormat="1" ht="14.25">
      <c r="A449" s="16" t="s">
        <v>105</v>
      </c>
      <c r="B449" s="82" t="s">
        <v>94</v>
      </c>
      <c r="C449" s="57" t="s">
        <v>731</v>
      </c>
      <c r="D449" s="21" t="s">
        <v>743</v>
      </c>
      <c r="E449" s="98" t="s">
        <v>744</v>
      </c>
      <c r="F449" s="94">
        <v>155.69999999999999</v>
      </c>
      <c r="G449" s="94">
        <v>0</v>
      </c>
      <c r="H449" s="94">
        <v>0</v>
      </c>
    </row>
    <row r="450" spans="1:13" s="37" customFormat="1" ht="76.5">
      <c r="A450" s="16" t="s">
        <v>105</v>
      </c>
      <c r="B450" s="82" t="s">
        <v>94</v>
      </c>
      <c r="C450" s="57" t="s">
        <v>731</v>
      </c>
      <c r="D450" s="21" t="s">
        <v>19</v>
      </c>
      <c r="E450" s="98" t="s">
        <v>369</v>
      </c>
      <c r="F450" s="94">
        <v>155.80000000000001</v>
      </c>
      <c r="G450" s="94">
        <v>0</v>
      </c>
      <c r="H450" s="94">
        <v>0</v>
      </c>
    </row>
    <row r="451" spans="1:13" s="37" customFormat="1" ht="63.75">
      <c r="A451" s="16" t="s">
        <v>105</v>
      </c>
      <c r="B451" s="82" t="s">
        <v>94</v>
      </c>
      <c r="C451" s="57" t="s">
        <v>731</v>
      </c>
      <c r="D451" s="21" t="s">
        <v>12</v>
      </c>
      <c r="E451" s="98" t="s">
        <v>374</v>
      </c>
      <c r="F451" s="94">
        <v>155.80000000000001</v>
      </c>
      <c r="G451" s="94">
        <v>0</v>
      </c>
      <c r="H451" s="94">
        <v>0</v>
      </c>
    </row>
    <row r="452" spans="1:13" s="37" customFormat="1" ht="76.5">
      <c r="A452" s="16" t="s">
        <v>105</v>
      </c>
      <c r="B452" s="82" t="s">
        <v>94</v>
      </c>
      <c r="C452" s="57" t="s">
        <v>432</v>
      </c>
      <c r="D452" s="21"/>
      <c r="E452" s="98" t="s">
        <v>433</v>
      </c>
      <c r="F452" s="94">
        <f>F453</f>
        <v>9260.7999999999993</v>
      </c>
      <c r="G452" s="94">
        <f>G453</f>
        <v>9260.7999999999993</v>
      </c>
      <c r="H452" s="94">
        <f>H453</f>
        <v>9260.7999999999993</v>
      </c>
      <c r="K452" s="151"/>
      <c r="L452" s="151"/>
      <c r="M452" s="151"/>
    </row>
    <row r="453" spans="1:13" s="37" customFormat="1" ht="14.25">
      <c r="A453" s="16" t="s">
        <v>105</v>
      </c>
      <c r="B453" s="82" t="s">
        <v>94</v>
      </c>
      <c r="C453" s="57" t="s">
        <v>432</v>
      </c>
      <c r="D453" s="21" t="s">
        <v>228</v>
      </c>
      <c r="E453" s="98" t="s">
        <v>227</v>
      </c>
      <c r="F453" s="133">
        <f>9259.8+1</f>
        <v>9260.7999999999993</v>
      </c>
      <c r="G453" s="133">
        <f t="shared" ref="G453:H453" si="102">9259.8+1</f>
        <v>9260.7999999999993</v>
      </c>
      <c r="H453" s="133">
        <f t="shared" si="102"/>
        <v>9260.7999999999993</v>
      </c>
    </row>
    <row r="454" spans="1:13" s="37" customFormat="1" ht="76.5">
      <c r="A454" s="16" t="s">
        <v>105</v>
      </c>
      <c r="B454" s="82" t="s">
        <v>94</v>
      </c>
      <c r="C454" s="57" t="s">
        <v>434</v>
      </c>
      <c r="D454" s="57"/>
      <c r="E454" s="98" t="s">
        <v>435</v>
      </c>
      <c r="F454" s="39">
        <f>F455</f>
        <v>93.6</v>
      </c>
      <c r="G454" s="39">
        <f>G455</f>
        <v>93.6</v>
      </c>
      <c r="H454" s="39">
        <f>H455</f>
        <v>93.6</v>
      </c>
      <c r="J454" s="151"/>
    </row>
    <row r="455" spans="1:13" s="37" customFormat="1" ht="14.25">
      <c r="A455" s="16" t="s">
        <v>105</v>
      </c>
      <c r="B455" s="82" t="s">
        <v>94</v>
      </c>
      <c r="C455" s="21" t="s">
        <v>434</v>
      </c>
      <c r="D455" s="21" t="s">
        <v>228</v>
      </c>
      <c r="E455" s="98" t="s">
        <v>227</v>
      </c>
      <c r="F455" s="41">
        <v>93.6</v>
      </c>
      <c r="G455" s="41">
        <v>93.6</v>
      </c>
      <c r="H455" s="41">
        <v>93.6</v>
      </c>
    </row>
    <row r="456" spans="1:13" s="37" customFormat="1" ht="51">
      <c r="A456" s="16" t="s">
        <v>105</v>
      </c>
      <c r="B456" s="82" t="s">
        <v>94</v>
      </c>
      <c r="C456" s="57" t="s">
        <v>601</v>
      </c>
      <c r="D456" s="21"/>
      <c r="E456" s="108" t="s">
        <v>438</v>
      </c>
      <c r="F456" s="94">
        <f>F457</f>
        <v>795</v>
      </c>
      <c r="G456" s="94">
        <f t="shared" ref="G456:H456" si="103">G457</f>
        <v>795</v>
      </c>
      <c r="H456" s="94">
        <f t="shared" si="103"/>
        <v>790.5</v>
      </c>
    </row>
    <row r="457" spans="1:13" s="37" customFormat="1" ht="14.25">
      <c r="A457" s="16" t="s">
        <v>105</v>
      </c>
      <c r="B457" s="82" t="s">
        <v>94</v>
      </c>
      <c r="C457" s="57" t="s">
        <v>601</v>
      </c>
      <c r="D457" s="21" t="s">
        <v>228</v>
      </c>
      <c r="E457" s="98" t="s">
        <v>227</v>
      </c>
      <c r="F457" s="94">
        <v>795</v>
      </c>
      <c r="G457" s="94">
        <v>795</v>
      </c>
      <c r="H457" s="94">
        <f>695.5+25+70.2-0.2</f>
        <v>790.5</v>
      </c>
    </row>
    <row r="458" spans="1:13" s="37" customFormat="1" ht="38.25">
      <c r="A458" s="16" t="s">
        <v>105</v>
      </c>
      <c r="B458" s="82" t="s">
        <v>94</v>
      </c>
      <c r="C458" s="57" t="s">
        <v>439</v>
      </c>
      <c r="D458" s="21"/>
      <c r="E458" s="98" t="s">
        <v>185</v>
      </c>
      <c r="F458" s="41">
        <f>F459</f>
        <v>250</v>
      </c>
      <c r="G458" s="41">
        <f t="shared" ref="G458:H458" si="104">G459</f>
        <v>250</v>
      </c>
      <c r="H458" s="41">
        <f t="shared" si="104"/>
        <v>250</v>
      </c>
    </row>
    <row r="459" spans="1:13" s="37" customFormat="1" ht="14.25">
      <c r="A459" s="16" t="s">
        <v>105</v>
      </c>
      <c r="B459" s="82" t="s">
        <v>94</v>
      </c>
      <c r="C459" s="57" t="s">
        <v>439</v>
      </c>
      <c r="D459" s="21" t="s">
        <v>228</v>
      </c>
      <c r="E459" s="98" t="s">
        <v>227</v>
      </c>
      <c r="F459" s="41">
        <v>250</v>
      </c>
      <c r="G459" s="41">
        <v>250</v>
      </c>
      <c r="H459" s="41">
        <v>250</v>
      </c>
    </row>
    <row r="460" spans="1:13" s="37" customFormat="1" ht="38.25">
      <c r="A460" s="16" t="s">
        <v>105</v>
      </c>
      <c r="B460" s="82" t="s">
        <v>94</v>
      </c>
      <c r="C460" s="57" t="s">
        <v>440</v>
      </c>
      <c r="D460" s="21"/>
      <c r="E460" s="98" t="s">
        <v>441</v>
      </c>
      <c r="F460" s="41">
        <f>F461</f>
        <v>150</v>
      </c>
      <c r="G460" s="41">
        <f t="shared" ref="G460:H460" si="105">G461</f>
        <v>150</v>
      </c>
      <c r="H460" s="41">
        <f t="shared" si="105"/>
        <v>0</v>
      </c>
    </row>
    <row r="461" spans="1:13" s="37" customFormat="1" ht="14.25">
      <c r="A461" s="16" t="s">
        <v>105</v>
      </c>
      <c r="B461" s="82" t="s">
        <v>94</v>
      </c>
      <c r="C461" s="57" t="s">
        <v>440</v>
      </c>
      <c r="D461" s="21" t="s">
        <v>228</v>
      </c>
      <c r="E461" s="98" t="s">
        <v>227</v>
      </c>
      <c r="F461" s="41">
        <v>150</v>
      </c>
      <c r="G461" s="41">
        <v>150</v>
      </c>
      <c r="H461" s="41">
        <v>0</v>
      </c>
    </row>
    <row r="462" spans="1:13" s="37" customFormat="1" ht="27" customHeight="1">
      <c r="A462" s="47" t="s">
        <v>105</v>
      </c>
      <c r="B462" s="47" t="s">
        <v>94</v>
      </c>
      <c r="C462" s="52" t="s">
        <v>443</v>
      </c>
      <c r="D462" s="82"/>
      <c r="E462" s="46" t="s">
        <v>442</v>
      </c>
      <c r="F462" s="93">
        <f>F463</f>
        <v>50</v>
      </c>
      <c r="G462" s="93">
        <f t="shared" ref="G462:H462" si="106">G463</f>
        <v>50</v>
      </c>
      <c r="H462" s="93">
        <f t="shared" si="106"/>
        <v>0</v>
      </c>
    </row>
    <row r="463" spans="1:13" s="37" customFormat="1" ht="76.5">
      <c r="A463" s="16" t="s">
        <v>105</v>
      </c>
      <c r="B463" s="82" t="s">
        <v>94</v>
      </c>
      <c r="C463" s="57" t="s">
        <v>595</v>
      </c>
      <c r="D463" s="16"/>
      <c r="E463" s="98" t="s">
        <v>446</v>
      </c>
      <c r="F463" s="41">
        <f>F464</f>
        <v>50</v>
      </c>
      <c r="G463" s="41">
        <f>G464</f>
        <v>50</v>
      </c>
      <c r="H463" s="41">
        <f>H464</f>
        <v>0</v>
      </c>
    </row>
    <row r="464" spans="1:13" s="37" customFormat="1" ht="14.25">
      <c r="A464" s="16" t="s">
        <v>105</v>
      </c>
      <c r="B464" s="82" t="s">
        <v>94</v>
      </c>
      <c r="C464" s="57" t="s">
        <v>595</v>
      </c>
      <c r="D464" s="21" t="s">
        <v>228</v>
      </c>
      <c r="E464" s="98" t="s">
        <v>227</v>
      </c>
      <c r="F464" s="41">
        <v>50</v>
      </c>
      <c r="G464" s="41">
        <v>50</v>
      </c>
      <c r="H464" s="41">
        <v>0</v>
      </c>
    </row>
    <row r="465" spans="1:12" s="37" customFormat="1" ht="90">
      <c r="A465" s="16" t="s">
        <v>105</v>
      </c>
      <c r="B465" s="82" t="s">
        <v>94</v>
      </c>
      <c r="C465" s="73" t="s">
        <v>60</v>
      </c>
      <c r="D465" s="35"/>
      <c r="E465" s="53" t="s">
        <v>616</v>
      </c>
      <c r="F465" s="65">
        <f t="shared" ref="F465:H465" si="107">F466</f>
        <v>14686.1</v>
      </c>
      <c r="G465" s="65">
        <f t="shared" si="107"/>
        <v>15144.999999999998</v>
      </c>
      <c r="H465" s="65">
        <f t="shared" si="107"/>
        <v>15144.999999999998</v>
      </c>
    </row>
    <row r="466" spans="1:12" s="37" customFormat="1" ht="25.5">
      <c r="A466" s="16" t="s">
        <v>105</v>
      </c>
      <c r="B466" s="82" t="s">
        <v>94</v>
      </c>
      <c r="C466" s="52" t="s">
        <v>61</v>
      </c>
      <c r="D466" s="35"/>
      <c r="E466" s="48" t="s">
        <v>173</v>
      </c>
      <c r="F466" s="58">
        <f>F467+F469+F471+F474</f>
        <v>14686.1</v>
      </c>
      <c r="G466" s="58">
        <f t="shared" ref="G466:H466" si="108">G467+G469+G471+G474</f>
        <v>15144.999999999998</v>
      </c>
      <c r="H466" s="58">
        <f t="shared" si="108"/>
        <v>15144.999999999998</v>
      </c>
    </row>
    <row r="467" spans="1:12" s="37" customFormat="1" ht="27.75" customHeight="1">
      <c r="A467" s="16" t="s">
        <v>105</v>
      </c>
      <c r="B467" s="82" t="s">
        <v>94</v>
      </c>
      <c r="C467" s="74">
        <v>210221100</v>
      </c>
      <c r="D467" s="16"/>
      <c r="E467" s="99" t="s">
        <v>175</v>
      </c>
      <c r="F467" s="39">
        <f>F468</f>
        <v>10657.1</v>
      </c>
      <c r="G467" s="39">
        <f>G468</f>
        <v>11353.199999999999</v>
      </c>
      <c r="H467" s="39">
        <f>H468</f>
        <v>11353.199999999999</v>
      </c>
    </row>
    <row r="468" spans="1:12" s="37" customFormat="1" ht="14.25">
      <c r="A468" s="16" t="s">
        <v>105</v>
      </c>
      <c r="B468" s="82" t="s">
        <v>94</v>
      </c>
      <c r="C468" s="74">
        <v>210221100</v>
      </c>
      <c r="D468" s="21" t="s">
        <v>228</v>
      </c>
      <c r="E468" s="98" t="s">
        <v>227</v>
      </c>
      <c r="F468" s="1">
        <f>10427.2-6.1+236</f>
        <v>10657.1</v>
      </c>
      <c r="G468" s="1">
        <f>11359.3-6.1</f>
        <v>11353.199999999999</v>
      </c>
      <c r="H468" s="1">
        <f>11359.3-6.1</f>
        <v>11353.199999999999</v>
      </c>
    </row>
    <row r="469" spans="1:12" s="37" customFormat="1" ht="76.5">
      <c r="A469" s="16" t="s">
        <v>105</v>
      </c>
      <c r="B469" s="82" t="s">
        <v>94</v>
      </c>
      <c r="C469" s="74">
        <v>210210690</v>
      </c>
      <c r="D469" s="21"/>
      <c r="E469" s="98" t="s">
        <v>322</v>
      </c>
      <c r="F469" s="39">
        <f>F470</f>
        <v>3753.9</v>
      </c>
      <c r="G469" s="39">
        <f>G470</f>
        <v>3753.9</v>
      </c>
      <c r="H469" s="39">
        <f>H470</f>
        <v>3753.9</v>
      </c>
      <c r="J469" s="151"/>
      <c r="K469" s="151"/>
      <c r="L469" s="151"/>
    </row>
    <row r="470" spans="1:12" s="37" customFormat="1" ht="14.25">
      <c r="A470" s="16" t="s">
        <v>105</v>
      </c>
      <c r="B470" s="82" t="s">
        <v>94</v>
      </c>
      <c r="C470" s="74">
        <v>210210690</v>
      </c>
      <c r="D470" s="21" t="s">
        <v>228</v>
      </c>
      <c r="E470" s="98" t="s">
        <v>227</v>
      </c>
      <c r="F470" s="133">
        <v>3753.9</v>
      </c>
      <c r="G470" s="133">
        <v>3753.9</v>
      </c>
      <c r="H470" s="133">
        <v>3753.9</v>
      </c>
    </row>
    <row r="471" spans="1:12" s="37" customFormat="1" ht="63.75">
      <c r="A471" s="16" t="s">
        <v>105</v>
      </c>
      <c r="B471" s="82" t="s">
        <v>94</v>
      </c>
      <c r="C471" s="74" t="s">
        <v>458</v>
      </c>
      <c r="D471" s="82"/>
      <c r="E471" s="98" t="s">
        <v>323</v>
      </c>
      <c r="F471" s="39">
        <f>SUM(F472:F472)</f>
        <v>37.9</v>
      </c>
      <c r="G471" s="39">
        <f>SUM(G472:G472)</f>
        <v>37.9</v>
      </c>
      <c r="H471" s="39">
        <f>SUM(H472:H472)</f>
        <v>37.9</v>
      </c>
    </row>
    <row r="472" spans="1:12" s="37" customFormat="1" ht="14.25">
      <c r="A472" s="82" t="s">
        <v>105</v>
      </c>
      <c r="B472" s="82" t="s">
        <v>94</v>
      </c>
      <c r="C472" s="74" t="s">
        <v>458</v>
      </c>
      <c r="D472" s="21" t="s">
        <v>228</v>
      </c>
      <c r="E472" s="98" t="s">
        <v>227</v>
      </c>
      <c r="F472" s="39">
        <f>31.8+6.1</f>
        <v>37.9</v>
      </c>
      <c r="G472" s="39">
        <f t="shared" ref="G472:H472" si="109">31.8+6.1</f>
        <v>37.9</v>
      </c>
      <c r="H472" s="39">
        <f t="shared" si="109"/>
        <v>37.9</v>
      </c>
    </row>
    <row r="473" spans="1:12" s="37" customFormat="1" ht="25.5">
      <c r="A473" s="16" t="s">
        <v>105</v>
      </c>
      <c r="B473" s="82" t="s">
        <v>94</v>
      </c>
      <c r="C473" s="21" t="s">
        <v>711</v>
      </c>
      <c r="D473" s="82"/>
      <c r="E473" s="98" t="s">
        <v>676</v>
      </c>
      <c r="F473" s="41">
        <f>F474</f>
        <v>237.2</v>
      </c>
      <c r="G473" s="41">
        <f t="shared" ref="G473:H473" si="110">G474</f>
        <v>0</v>
      </c>
      <c r="H473" s="41">
        <f t="shared" si="110"/>
        <v>0</v>
      </c>
    </row>
    <row r="474" spans="1:12" s="37" customFormat="1" ht="14.25">
      <c r="A474" s="16" t="s">
        <v>105</v>
      </c>
      <c r="B474" s="82" t="s">
        <v>94</v>
      </c>
      <c r="C474" s="21" t="s">
        <v>711</v>
      </c>
      <c r="D474" s="21" t="s">
        <v>228</v>
      </c>
      <c r="E474" s="98" t="s">
        <v>227</v>
      </c>
      <c r="F474" s="41">
        <v>237.2</v>
      </c>
      <c r="G474" s="41">
        <v>0</v>
      </c>
      <c r="H474" s="41">
        <v>0</v>
      </c>
    </row>
    <row r="475" spans="1:12" s="37" customFormat="1" ht="38.25">
      <c r="A475" s="82" t="s">
        <v>105</v>
      </c>
      <c r="B475" s="82" t="s">
        <v>94</v>
      </c>
      <c r="C475" s="82" t="s">
        <v>25</v>
      </c>
      <c r="D475" s="82"/>
      <c r="E475" s="99" t="s">
        <v>39</v>
      </c>
      <c r="F475" s="41">
        <f>F476</f>
        <v>345</v>
      </c>
      <c r="G475" s="41">
        <f t="shared" ref="G475:H475" si="111">G476</f>
        <v>0</v>
      </c>
      <c r="H475" s="41">
        <f t="shared" si="111"/>
        <v>0</v>
      </c>
    </row>
    <row r="476" spans="1:12" s="37" customFormat="1" ht="51">
      <c r="A476" s="16" t="s">
        <v>105</v>
      </c>
      <c r="B476" s="82" t="s">
        <v>94</v>
      </c>
      <c r="C476" s="82" t="s">
        <v>612</v>
      </c>
      <c r="D476" s="16"/>
      <c r="E476" s="54" t="s">
        <v>610</v>
      </c>
      <c r="F476" s="41">
        <f>SUM(F477:F477)</f>
        <v>345</v>
      </c>
      <c r="G476" s="41">
        <f>SUM(G477:G477)</f>
        <v>0</v>
      </c>
      <c r="H476" s="41">
        <f>SUM(H477:H477)</f>
        <v>0</v>
      </c>
    </row>
    <row r="477" spans="1:12" s="37" customFormat="1" ht="14.25">
      <c r="A477" s="16" t="s">
        <v>105</v>
      </c>
      <c r="B477" s="82" t="s">
        <v>94</v>
      </c>
      <c r="C477" s="82" t="s">
        <v>612</v>
      </c>
      <c r="D477" s="21" t="s">
        <v>228</v>
      </c>
      <c r="E477" s="98" t="s">
        <v>227</v>
      </c>
      <c r="F477" s="39">
        <f>150+195</f>
        <v>345</v>
      </c>
      <c r="G477" s="39">
        <v>0</v>
      </c>
      <c r="H477" s="39">
        <v>0</v>
      </c>
    </row>
    <row r="478" spans="1:12" s="37" customFormat="1" ht="38.25">
      <c r="A478" s="35" t="s">
        <v>105</v>
      </c>
      <c r="B478" s="35" t="s">
        <v>96</v>
      </c>
      <c r="C478" s="35"/>
      <c r="D478" s="35"/>
      <c r="E478" s="46" t="s">
        <v>2</v>
      </c>
      <c r="F478" s="42">
        <f t="shared" ref="F478:H480" si="112">F479</f>
        <v>250</v>
      </c>
      <c r="G478" s="42">
        <f t="shared" si="112"/>
        <v>250</v>
      </c>
      <c r="H478" s="42">
        <f t="shared" si="112"/>
        <v>250</v>
      </c>
    </row>
    <row r="479" spans="1:12" s="37" customFormat="1" ht="76.5">
      <c r="A479" s="16" t="s">
        <v>105</v>
      </c>
      <c r="B479" s="16" t="s">
        <v>96</v>
      </c>
      <c r="C479" s="21" t="s">
        <v>74</v>
      </c>
      <c r="D479" s="35"/>
      <c r="E479" s="64" t="s">
        <v>615</v>
      </c>
      <c r="F479" s="62">
        <f t="shared" si="112"/>
        <v>250</v>
      </c>
      <c r="G479" s="62">
        <f t="shared" si="112"/>
        <v>250</v>
      </c>
      <c r="H479" s="62">
        <f t="shared" si="112"/>
        <v>250</v>
      </c>
    </row>
    <row r="480" spans="1:12" s="37" customFormat="1" ht="25.5" customHeight="1">
      <c r="A480" s="16" t="s">
        <v>105</v>
      </c>
      <c r="B480" s="16" t="s">
        <v>96</v>
      </c>
      <c r="C480" s="52" t="s">
        <v>443</v>
      </c>
      <c r="D480" s="35"/>
      <c r="E480" s="46" t="s">
        <v>442</v>
      </c>
      <c r="F480" s="58">
        <f t="shared" si="112"/>
        <v>250</v>
      </c>
      <c r="G480" s="58">
        <f t="shared" si="112"/>
        <v>250</v>
      </c>
      <c r="H480" s="58">
        <f t="shared" si="112"/>
        <v>250</v>
      </c>
    </row>
    <row r="481" spans="1:8" s="37" customFormat="1" ht="38.25">
      <c r="A481" s="16" t="s">
        <v>105</v>
      </c>
      <c r="B481" s="16" t="s">
        <v>96</v>
      </c>
      <c r="C481" s="57" t="s">
        <v>596</v>
      </c>
      <c r="D481" s="16"/>
      <c r="E481" s="98" t="s">
        <v>45</v>
      </c>
      <c r="F481" s="41">
        <f>F482</f>
        <v>250</v>
      </c>
      <c r="G481" s="41">
        <f>G482</f>
        <v>250</v>
      </c>
      <c r="H481" s="41">
        <f>H482</f>
        <v>250</v>
      </c>
    </row>
    <row r="482" spans="1:8" s="37" customFormat="1" ht="14.25">
      <c r="A482" s="16" t="s">
        <v>105</v>
      </c>
      <c r="B482" s="16" t="s">
        <v>96</v>
      </c>
      <c r="C482" s="57" t="s">
        <v>596</v>
      </c>
      <c r="D482" s="21" t="s">
        <v>228</v>
      </c>
      <c r="E482" s="98" t="s">
        <v>227</v>
      </c>
      <c r="F482" s="94">
        <v>250</v>
      </c>
      <c r="G482" s="94">
        <v>250</v>
      </c>
      <c r="H482" s="94">
        <v>250</v>
      </c>
    </row>
    <row r="483" spans="1:8" s="37" customFormat="1" ht="14.25">
      <c r="A483" s="35" t="s">
        <v>105</v>
      </c>
      <c r="B483" s="35" t="s">
        <v>105</v>
      </c>
      <c r="C483" s="35"/>
      <c r="D483" s="35"/>
      <c r="E483" s="46" t="s">
        <v>156</v>
      </c>
      <c r="F483" s="42">
        <f>F484+F499</f>
        <v>10814.300000000001</v>
      </c>
      <c r="G483" s="42">
        <f t="shared" ref="G483:H483" si="113">G484+G499</f>
        <v>7837.2</v>
      </c>
      <c r="H483" s="42">
        <f t="shared" si="113"/>
        <v>7837.2</v>
      </c>
    </row>
    <row r="484" spans="1:8" ht="90">
      <c r="A484" s="5" t="s">
        <v>105</v>
      </c>
      <c r="B484" s="5" t="s">
        <v>105</v>
      </c>
      <c r="C484" s="73" t="s">
        <v>60</v>
      </c>
      <c r="D484" s="35"/>
      <c r="E484" s="53" t="s">
        <v>616</v>
      </c>
      <c r="F484" s="65">
        <f>F485</f>
        <v>10604.300000000001</v>
      </c>
      <c r="G484" s="65">
        <f t="shared" ref="G484:H484" si="114">G485</f>
        <v>7787.2</v>
      </c>
      <c r="H484" s="65">
        <f t="shared" si="114"/>
        <v>7787.2</v>
      </c>
    </row>
    <row r="485" spans="1:8" ht="25.5">
      <c r="A485" s="16" t="s">
        <v>105</v>
      </c>
      <c r="B485" s="16" t="s">
        <v>105</v>
      </c>
      <c r="C485" s="52" t="s">
        <v>31</v>
      </c>
      <c r="D485" s="21"/>
      <c r="E485" s="48" t="s">
        <v>179</v>
      </c>
      <c r="F485" s="41">
        <f>F486+F488+F490+F492+F494+F496</f>
        <v>10604.300000000001</v>
      </c>
      <c r="G485" s="41">
        <f t="shared" ref="G485:H485" si="115">G486+G488+G490+G492+G494+G496</f>
        <v>7787.2</v>
      </c>
      <c r="H485" s="41">
        <f t="shared" si="115"/>
        <v>7787.2</v>
      </c>
    </row>
    <row r="486" spans="1:8" ht="51">
      <c r="A486" s="16" t="s">
        <v>105</v>
      </c>
      <c r="B486" s="16" t="s">
        <v>105</v>
      </c>
      <c r="C486" s="136" t="s">
        <v>470</v>
      </c>
      <c r="D486" s="16"/>
      <c r="E486" s="100" t="s">
        <v>209</v>
      </c>
      <c r="F486" s="39">
        <f>F487</f>
        <v>6.6</v>
      </c>
      <c r="G486" s="39">
        <f>G487</f>
        <v>6.6</v>
      </c>
      <c r="H486" s="39">
        <f>H487</f>
        <v>6.6</v>
      </c>
    </row>
    <row r="487" spans="1:8" ht="38.25">
      <c r="A487" s="16" t="s">
        <v>105</v>
      </c>
      <c r="B487" s="16" t="s">
        <v>105</v>
      </c>
      <c r="C487" s="136" t="s">
        <v>470</v>
      </c>
      <c r="D487" s="82" t="s">
        <v>214</v>
      </c>
      <c r="E487" s="98" t="s">
        <v>215</v>
      </c>
      <c r="F487" s="41">
        <v>6.6</v>
      </c>
      <c r="G487" s="41">
        <v>6.6</v>
      </c>
      <c r="H487" s="41">
        <v>6.6</v>
      </c>
    </row>
    <row r="488" spans="1:8" ht="25.5">
      <c r="A488" s="16" t="s">
        <v>105</v>
      </c>
      <c r="B488" s="16" t="s">
        <v>105</v>
      </c>
      <c r="C488" s="136" t="s">
        <v>471</v>
      </c>
      <c r="D488" s="16"/>
      <c r="E488" s="98" t="s">
        <v>180</v>
      </c>
      <c r="F488" s="41">
        <f>F489</f>
        <v>285.60000000000002</v>
      </c>
      <c r="G488" s="41">
        <f>G489</f>
        <v>289.60000000000002</v>
      </c>
      <c r="H488" s="41">
        <f>H489</f>
        <v>289.60000000000002</v>
      </c>
    </row>
    <row r="489" spans="1:8" ht="38.25">
      <c r="A489" s="16" t="s">
        <v>105</v>
      </c>
      <c r="B489" s="16" t="s">
        <v>105</v>
      </c>
      <c r="C489" s="136" t="s">
        <v>471</v>
      </c>
      <c r="D489" s="82" t="s">
        <v>214</v>
      </c>
      <c r="E489" s="98" t="s">
        <v>215</v>
      </c>
      <c r="F489" s="41">
        <f>289.6-4</f>
        <v>285.60000000000002</v>
      </c>
      <c r="G489" s="41">
        <v>289.60000000000002</v>
      </c>
      <c r="H489" s="41">
        <v>289.60000000000002</v>
      </c>
    </row>
    <row r="490" spans="1:8" ht="63.75">
      <c r="A490" s="16" t="s">
        <v>105</v>
      </c>
      <c r="B490" s="16" t="s">
        <v>105</v>
      </c>
      <c r="C490" s="136" t="s">
        <v>472</v>
      </c>
      <c r="D490" s="16"/>
      <c r="E490" s="98" t="s">
        <v>78</v>
      </c>
      <c r="F490" s="41">
        <f>F491</f>
        <v>15</v>
      </c>
      <c r="G490" s="41">
        <f>G491</f>
        <v>15</v>
      </c>
      <c r="H490" s="41">
        <f>H491</f>
        <v>15</v>
      </c>
    </row>
    <row r="491" spans="1:8" ht="38.25">
      <c r="A491" s="16" t="s">
        <v>105</v>
      </c>
      <c r="B491" s="16" t="s">
        <v>105</v>
      </c>
      <c r="C491" s="136" t="s">
        <v>472</v>
      </c>
      <c r="D491" s="82" t="s">
        <v>214</v>
      </c>
      <c r="E491" s="98" t="s">
        <v>215</v>
      </c>
      <c r="F491" s="41">
        <v>15</v>
      </c>
      <c r="G491" s="41">
        <v>15</v>
      </c>
      <c r="H491" s="41">
        <v>15</v>
      </c>
    </row>
    <row r="492" spans="1:8">
      <c r="A492" s="16" t="s">
        <v>105</v>
      </c>
      <c r="B492" s="16" t="s">
        <v>105</v>
      </c>
      <c r="C492" s="136" t="s">
        <v>473</v>
      </c>
      <c r="D492" s="82"/>
      <c r="E492" s="54" t="s">
        <v>387</v>
      </c>
      <c r="F492" s="41">
        <f>F493</f>
        <v>50</v>
      </c>
      <c r="G492" s="41">
        <f>G493</f>
        <v>50</v>
      </c>
      <c r="H492" s="41">
        <f>H493</f>
        <v>50</v>
      </c>
    </row>
    <row r="493" spans="1:8" ht="38.25">
      <c r="A493" s="16" t="s">
        <v>105</v>
      </c>
      <c r="B493" s="16" t="s">
        <v>105</v>
      </c>
      <c r="C493" s="136" t="s">
        <v>473</v>
      </c>
      <c r="D493" s="82" t="s">
        <v>214</v>
      </c>
      <c r="E493" s="98" t="s">
        <v>215</v>
      </c>
      <c r="F493" s="41">
        <v>50</v>
      </c>
      <c r="G493" s="41">
        <v>50</v>
      </c>
      <c r="H493" s="41">
        <v>50</v>
      </c>
    </row>
    <row r="494" spans="1:8" ht="42.75" customHeight="1">
      <c r="A494" s="16" t="s">
        <v>105</v>
      </c>
      <c r="B494" s="16" t="s">
        <v>105</v>
      </c>
      <c r="C494" s="74">
        <v>230221100</v>
      </c>
      <c r="D494" s="16"/>
      <c r="E494" s="98" t="s">
        <v>0</v>
      </c>
      <c r="F494" s="41">
        <f t="shared" ref="F494:H494" si="116">F495</f>
        <v>8963.4</v>
      </c>
      <c r="G494" s="41">
        <f t="shared" si="116"/>
        <v>7426</v>
      </c>
      <c r="H494" s="41">
        <f t="shared" si="116"/>
        <v>7426</v>
      </c>
    </row>
    <row r="495" spans="1:8">
      <c r="A495" s="16" t="s">
        <v>105</v>
      </c>
      <c r="B495" s="16" t="s">
        <v>105</v>
      </c>
      <c r="C495" s="74">
        <v>230221100</v>
      </c>
      <c r="D495" s="82" t="s">
        <v>228</v>
      </c>
      <c r="E495" s="98" t="s">
        <v>227</v>
      </c>
      <c r="F495" s="41">
        <f>8853.6+109.8</f>
        <v>8963.4</v>
      </c>
      <c r="G495" s="41">
        <f>7316.2+109.8</f>
        <v>7426</v>
      </c>
      <c r="H495" s="41">
        <f>7316.2+109.8</f>
        <v>7426</v>
      </c>
    </row>
    <row r="496" spans="1:8" ht="63.75">
      <c r="A496" s="16" t="s">
        <v>105</v>
      </c>
      <c r="B496" s="16" t="s">
        <v>105</v>
      </c>
      <c r="C496" s="21" t="s">
        <v>476</v>
      </c>
      <c r="D496" s="82"/>
      <c r="E496" s="98" t="s">
        <v>475</v>
      </c>
      <c r="F496" s="41">
        <f t="shared" ref="F496:H497" si="117">F497</f>
        <v>1283.7</v>
      </c>
      <c r="G496" s="41">
        <f t="shared" si="117"/>
        <v>0</v>
      </c>
      <c r="H496" s="41">
        <f t="shared" si="117"/>
        <v>0</v>
      </c>
    </row>
    <row r="497" spans="1:8" ht="57.75" customHeight="1">
      <c r="A497" s="16" t="s">
        <v>105</v>
      </c>
      <c r="B497" s="16" t="s">
        <v>105</v>
      </c>
      <c r="C497" s="74">
        <v>230321210</v>
      </c>
      <c r="D497" s="82"/>
      <c r="E497" s="98" t="s">
        <v>474</v>
      </c>
      <c r="F497" s="41">
        <f t="shared" si="117"/>
        <v>1283.7</v>
      </c>
      <c r="G497" s="41">
        <f t="shared" si="117"/>
        <v>0</v>
      </c>
      <c r="H497" s="41">
        <f t="shared" si="117"/>
        <v>0</v>
      </c>
    </row>
    <row r="498" spans="1:8">
      <c r="A498" s="82" t="s">
        <v>105</v>
      </c>
      <c r="B498" s="82" t="s">
        <v>105</v>
      </c>
      <c r="C498" s="74">
        <v>230321210</v>
      </c>
      <c r="D498" s="21" t="s">
        <v>228</v>
      </c>
      <c r="E498" s="98" t="s">
        <v>227</v>
      </c>
      <c r="F498" s="41">
        <v>1283.7</v>
      </c>
      <c r="G498" s="41">
        <v>0</v>
      </c>
      <c r="H498" s="41">
        <v>0</v>
      </c>
    </row>
    <row r="499" spans="1:8" ht="89.25">
      <c r="A499" s="5" t="s">
        <v>105</v>
      </c>
      <c r="B499" s="5" t="s">
        <v>105</v>
      </c>
      <c r="C499" s="73" t="s">
        <v>72</v>
      </c>
      <c r="D499" s="16"/>
      <c r="E499" s="53" t="s">
        <v>626</v>
      </c>
      <c r="F499" s="96">
        <f>F500+F505</f>
        <v>210</v>
      </c>
      <c r="G499" s="96">
        <f t="shared" ref="G499:H499" si="118">G500+G505</f>
        <v>50</v>
      </c>
      <c r="H499" s="96">
        <f t="shared" si="118"/>
        <v>50</v>
      </c>
    </row>
    <row r="500" spans="1:8" ht="76.5">
      <c r="A500" s="47" t="s">
        <v>105</v>
      </c>
      <c r="B500" s="47" t="s">
        <v>105</v>
      </c>
      <c r="C500" s="52" t="s">
        <v>540</v>
      </c>
      <c r="D500" s="16"/>
      <c r="E500" s="48" t="s">
        <v>181</v>
      </c>
      <c r="F500" s="93">
        <f>F501+F503</f>
        <v>40</v>
      </c>
      <c r="G500" s="93">
        <f t="shared" ref="G500:H500" si="119">G501+G503</f>
        <v>50</v>
      </c>
      <c r="H500" s="93">
        <f t="shared" si="119"/>
        <v>50</v>
      </c>
    </row>
    <row r="501" spans="1:8" ht="102">
      <c r="A501" s="16" t="s">
        <v>105</v>
      </c>
      <c r="B501" s="16" t="s">
        <v>105</v>
      </c>
      <c r="C501" s="74">
        <v>1020123085</v>
      </c>
      <c r="D501" s="16"/>
      <c r="E501" s="98" t="s">
        <v>182</v>
      </c>
      <c r="F501" s="41">
        <f>F502</f>
        <v>5</v>
      </c>
      <c r="G501" s="41">
        <f>G502</f>
        <v>5</v>
      </c>
      <c r="H501" s="41">
        <f>H502</f>
        <v>5</v>
      </c>
    </row>
    <row r="502" spans="1:8" ht="38.25">
      <c r="A502" s="16" t="s">
        <v>105</v>
      </c>
      <c r="B502" s="16" t="s">
        <v>105</v>
      </c>
      <c r="C502" s="74">
        <v>1020123085</v>
      </c>
      <c r="D502" s="82" t="s">
        <v>214</v>
      </c>
      <c r="E502" s="98" t="s">
        <v>215</v>
      </c>
      <c r="F502" s="41">
        <v>5</v>
      </c>
      <c r="G502" s="41">
        <v>5</v>
      </c>
      <c r="H502" s="41">
        <v>5</v>
      </c>
    </row>
    <row r="503" spans="1:8">
      <c r="A503" s="16" t="s">
        <v>105</v>
      </c>
      <c r="B503" s="16" t="s">
        <v>105</v>
      </c>
      <c r="C503" s="74">
        <v>1020123086</v>
      </c>
      <c r="D503" s="16"/>
      <c r="E503" s="98" t="s">
        <v>183</v>
      </c>
      <c r="F503" s="41">
        <f>F504</f>
        <v>35</v>
      </c>
      <c r="G503" s="41">
        <f>G504</f>
        <v>45</v>
      </c>
      <c r="H503" s="41">
        <f>H504</f>
        <v>45</v>
      </c>
    </row>
    <row r="504" spans="1:8" ht="38.25">
      <c r="A504" s="16" t="s">
        <v>105</v>
      </c>
      <c r="B504" s="16" t="s">
        <v>105</v>
      </c>
      <c r="C504" s="74">
        <v>1020123086</v>
      </c>
      <c r="D504" s="82" t="s">
        <v>214</v>
      </c>
      <c r="E504" s="98" t="s">
        <v>215</v>
      </c>
      <c r="F504" s="41">
        <v>35</v>
      </c>
      <c r="G504" s="41">
        <v>45</v>
      </c>
      <c r="H504" s="41">
        <v>45</v>
      </c>
    </row>
    <row r="505" spans="1:8" ht="51">
      <c r="A505" s="47" t="s">
        <v>105</v>
      </c>
      <c r="B505" s="47" t="s">
        <v>105</v>
      </c>
      <c r="C505" s="52" t="s">
        <v>670</v>
      </c>
      <c r="D505" s="82"/>
      <c r="E505" s="98" t="s">
        <v>708</v>
      </c>
      <c r="F505" s="41">
        <f>F506+F508+F510</f>
        <v>170</v>
      </c>
      <c r="G505" s="41">
        <f t="shared" ref="G505:H505" si="120">G506+G508+G510</f>
        <v>0</v>
      </c>
      <c r="H505" s="41">
        <f t="shared" si="120"/>
        <v>0</v>
      </c>
    </row>
    <row r="506" spans="1:8" ht="38.25">
      <c r="A506" s="16" t="s">
        <v>105</v>
      </c>
      <c r="B506" s="16" t="s">
        <v>105</v>
      </c>
      <c r="C506" s="74">
        <v>1030323090</v>
      </c>
      <c r="D506" s="82"/>
      <c r="E506" s="98" t="s">
        <v>671</v>
      </c>
      <c r="F506" s="41">
        <f>F507</f>
        <v>10</v>
      </c>
      <c r="G506" s="41">
        <f t="shared" ref="G506:H506" si="121">G507</f>
        <v>0</v>
      </c>
      <c r="H506" s="41">
        <f t="shared" si="121"/>
        <v>0</v>
      </c>
    </row>
    <row r="507" spans="1:8" ht="38.25">
      <c r="A507" s="16" t="s">
        <v>105</v>
      </c>
      <c r="B507" s="16" t="s">
        <v>105</v>
      </c>
      <c r="C507" s="74">
        <v>1030323090</v>
      </c>
      <c r="D507" s="82" t="s">
        <v>214</v>
      </c>
      <c r="E507" s="98" t="s">
        <v>215</v>
      </c>
      <c r="F507" s="41">
        <v>10</v>
      </c>
      <c r="G507" s="41">
        <v>0</v>
      </c>
      <c r="H507" s="41">
        <v>0</v>
      </c>
    </row>
    <row r="508" spans="1:8" ht="38.25">
      <c r="A508" s="16" t="s">
        <v>105</v>
      </c>
      <c r="B508" s="16" t="s">
        <v>105</v>
      </c>
      <c r="C508" s="74">
        <v>1030323091</v>
      </c>
      <c r="D508" s="82"/>
      <c r="E508" s="98" t="s">
        <v>672</v>
      </c>
      <c r="F508" s="41">
        <f>F509</f>
        <v>130</v>
      </c>
      <c r="G508" s="41">
        <f t="shared" ref="G508:H508" si="122">G509</f>
        <v>0</v>
      </c>
      <c r="H508" s="41">
        <f t="shared" si="122"/>
        <v>0</v>
      </c>
    </row>
    <row r="509" spans="1:8" ht="38.25">
      <c r="A509" s="16" t="s">
        <v>105</v>
      </c>
      <c r="B509" s="16" t="s">
        <v>105</v>
      </c>
      <c r="C509" s="74">
        <v>1030323091</v>
      </c>
      <c r="D509" s="82" t="s">
        <v>214</v>
      </c>
      <c r="E509" s="98" t="s">
        <v>215</v>
      </c>
      <c r="F509" s="41">
        <v>130</v>
      </c>
      <c r="G509" s="41">
        <v>0</v>
      </c>
      <c r="H509" s="41">
        <v>0</v>
      </c>
    </row>
    <row r="510" spans="1:8" ht="38.25">
      <c r="A510" s="16" t="s">
        <v>105</v>
      </c>
      <c r="B510" s="16" t="s">
        <v>105</v>
      </c>
      <c r="C510" s="74">
        <v>1030323092</v>
      </c>
      <c r="D510" s="82"/>
      <c r="E510" s="98" t="s">
        <v>673</v>
      </c>
      <c r="F510" s="41">
        <f>F511</f>
        <v>30</v>
      </c>
      <c r="G510" s="41">
        <f t="shared" ref="G510:H510" si="123">G511</f>
        <v>0</v>
      </c>
      <c r="H510" s="41">
        <f t="shared" si="123"/>
        <v>0</v>
      </c>
    </row>
    <row r="511" spans="1:8" ht="38.25">
      <c r="A511" s="16" t="s">
        <v>105</v>
      </c>
      <c r="B511" s="16" t="s">
        <v>105</v>
      </c>
      <c r="C511" s="74">
        <v>1030323092</v>
      </c>
      <c r="D511" s="82" t="s">
        <v>214</v>
      </c>
      <c r="E511" s="98" t="s">
        <v>215</v>
      </c>
      <c r="F511" s="41">
        <v>30</v>
      </c>
      <c r="G511" s="41">
        <v>0</v>
      </c>
      <c r="H511" s="41">
        <v>0</v>
      </c>
    </row>
    <row r="512" spans="1:8" ht="25.5">
      <c r="A512" s="35" t="s">
        <v>105</v>
      </c>
      <c r="B512" s="35" t="s">
        <v>100</v>
      </c>
      <c r="C512" s="35"/>
      <c r="D512" s="35"/>
      <c r="E512" s="46" t="s">
        <v>110</v>
      </c>
      <c r="F512" s="42">
        <f t="shared" ref="F512:H512" si="124">F513</f>
        <v>13638.7</v>
      </c>
      <c r="G512" s="42">
        <f t="shared" si="124"/>
        <v>13205.300000000001</v>
      </c>
      <c r="H512" s="42">
        <f t="shared" si="124"/>
        <v>13205.300000000001</v>
      </c>
    </row>
    <row r="513" spans="1:8" s="20" customFormat="1" ht="77.25">
      <c r="A513" s="16" t="s">
        <v>105</v>
      </c>
      <c r="B513" s="16" t="s">
        <v>100</v>
      </c>
      <c r="C513" s="21" t="s">
        <v>74</v>
      </c>
      <c r="D513" s="35"/>
      <c r="E513" s="64" t="s">
        <v>615</v>
      </c>
      <c r="F513" s="62">
        <f>F514+F523+F541</f>
        <v>13638.7</v>
      </c>
      <c r="G513" s="62">
        <f>G514+G523+G541</f>
        <v>13205.300000000001</v>
      </c>
      <c r="H513" s="62">
        <f>H514+H523+H541</f>
        <v>13205.300000000001</v>
      </c>
    </row>
    <row r="514" spans="1:8" s="20" customFormat="1" ht="42" customHeight="1">
      <c r="A514" s="16" t="s">
        <v>105</v>
      </c>
      <c r="B514" s="16" t="s">
        <v>100</v>
      </c>
      <c r="C514" s="52" t="s">
        <v>76</v>
      </c>
      <c r="D514" s="21"/>
      <c r="E514" s="46" t="s">
        <v>602</v>
      </c>
      <c r="F514" s="58">
        <f>F515+F517+F520</f>
        <v>4025.9</v>
      </c>
      <c r="G514" s="58">
        <f t="shared" ref="G514:H514" si="125">G515+G517+G520</f>
        <v>3725.4</v>
      </c>
      <c r="H514" s="58">
        <f t="shared" si="125"/>
        <v>3725.4</v>
      </c>
    </row>
    <row r="515" spans="1:8" s="20" customFormat="1" ht="21" customHeight="1">
      <c r="A515" s="16" t="s">
        <v>105</v>
      </c>
      <c r="B515" s="16" t="s">
        <v>100</v>
      </c>
      <c r="C515" s="57" t="s">
        <v>423</v>
      </c>
      <c r="D515" s="21"/>
      <c r="E515" s="98" t="s">
        <v>46</v>
      </c>
      <c r="F515" s="41">
        <f>F516</f>
        <v>1506.9</v>
      </c>
      <c r="G515" s="41">
        <f>G516</f>
        <v>1200.2</v>
      </c>
      <c r="H515" s="41">
        <f>H516</f>
        <v>1200.2</v>
      </c>
    </row>
    <row r="516" spans="1:8" s="20" customFormat="1" ht="19.5" customHeight="1">
      <c r="A516" s="16" t="s">
        <v>105</v>
      </c>
      <c r="B516" s="16" t="s">
        <v>100</v>
      </c>
      <c r="C516" s="57" t="s">
        <v>423</v>
      </c>
      <c r="D516" s="21" t="s">
        <v>228</v>
      </c>
      <c r="E516" s="98" t="s">
        <v>227</v>
      </c>
      <c r="F516" s="41">
        <f>1200.2+306.7</f>
        <v>1506.9</v>
      </c>
      <c r="G516" s="41">
        <v>1200.2</v>
      </c>
      <c r="H516" s="41">
        <v>1200.2</v>
      </c>
    </row>
    <row r="517" spans="1:8" s="20" customFormat="1" ht="42" customHeight="1">
      <c r="A517" s="16" t="s">
        <v>105</v>
      </c>
      <c r="B517" s="16" t="s">
        <v>100</v>
      </c>
      <c r="C517" s="57" t="s">
        <v>425</v>
      </c>
      <c r="D517" s="21"/>
      <c r="E517" s="98" t="s">
        <v>424</v>
      </c>
      <c r="F517" s="41">
        <f>SUM(F518:F519)</f>
        <v>2341.8000000000002</v>
      </c>
      <c r="G517" s="41">
        <f>SUM(G518:G519)</f>
        <v>2341.8000000000002</v>
      </c>
      <c r="H517" s="41">
        <f>SUM(H518:H519)</f>
        <v>2341.8000000000002</v>
      </c>
    </row>
    <row r="518" spans="1:8" s="20" customFormat="1" ht="15.75" customHeight="1">
      <c r="A518" s="16" t="s">
        <v>105</v>
      </c>
      <c r="B518" s="16" t="s">
        <v>100</v>
      </c>
      <c r="C518" s="57" t="s">
        <v>425</v>
      </c>
      <c r="D518" s="21" t="s">
        <v>228</v>
      </c>
      <c r="E518" s="98" t="s">
        <v>227</v>
      </c>
      <c r="F518" s="39">
        <v>2141.8000000000002</v>
      </c>
      <c r="G518" s="39">
        <v>2141.8000000000002</v>
      </c>
      <c r="H518" s="39">
        <v>2141.8000000000002</v>
      </c>
    </row>
    <row r="519" spans="1:8" s="20" customFormat="1" ht="63.75" customHeight="1">
      <c r="A519" s="16" t="s">
        <v>105</v>
      </c>
      <c r="B519" s="16" t="s">
        <v>105</v>
      </c>
      <c r="C519" s="57" t="s">
        <v>425</v>
      </c>
      <c r="D519" s="16" t="s">
        <v>12</v>
      </c>
      <c r="E519" s="98" t="s">
        <v>374</v>
      </c>
      <c r="F519" s="41">
        <v>200</v>
      </c>
      <c r="G519" s="41">
        <v>200</v>
      </c>
      <c r="H519" s="41">
        <v>200</v>
      </c>
    </row>
    <row r="520" spans="1:8" s="20" customFormat="1" ht="38.25">
      <c r="A520" s="16" t="s">
        <v>105</v>
      </c>
      <c r="B520" s="16" t="s">
        <v>100</v>
      </c>
      <c r="C520" s="57" t="s">
        <v>598</v>
      </c>
      <c r="D520" s="21"/>
      <c r="E520" s="98" t="s">
        <v>135</v>
      </c>
      <c r="F520" s="41">
        <f>SUM(F521:F522)</f>
        <v>177.2</v>
      </c>
      <c r="G520" s="41">
        <f>SUM(G521:G522)</f>
        <v>183.4</v>
      </c>
      <c r="H520" s="41">
        <f>SUM(H521:H522)</f>
        <v>183.4</v>
      </c>
    </row>
    <row r="521" spans="1:8" s="20" customFormat="1" ht="25.5">
      <c r="A521" s="16" t="s">
        <v>105</v>
      </c>
      <c r="B521" s="16" t="s">
        <v>100</v>
      </c>
      <c r="C521" s="57" t="s">
        <v>598</v>
      </c>
      <c r="D521" s="82" t="s">
        <v>65</v>
      </c>
      <c r="E521" s="55" t="s">
        <v>131</v>
      </c>
      <c r="F521" s="41">
        <v>88.5</v>
      </c>
      <c r="G521" s="41">
        <v>88.5</v>
      </c>
      <c r="H521" s="41">
        <v>88.5</v>
      </c>
    </row>
    <row r="522" spans="1:8" s="20" customFormat="1" ht="38.25">
      <c r="A522" s="16" t="s">
        <v>105</v>
      </c>
      <c r="B522" s="16" t="s">
        <v>100</v>
      </c>
      <c r="C522" s="57" t="s">
        <v>598</v>
      </c>
      <c r="D522" s="82" t="s">
        <v>214</v>
      </c>
      <c r="E522" s="98" t="s">
        <v>215</v>
      </c>
      <c r="F522" s="41">
        <f>94.9-6.2</f>
        <v>88.7</v>
      </c>
      <c r="G522" s="41">
        <v>94.9</v>
      </c>
      <c r="H522" s="41">
        <v>94.9</v>
      </c>
    </row>
    <row r="523" spans="1:8" s="20" customFormat="1" ht="24.75" customHeight="1">
      <c r="A523" s="16" t="s">
        <v>105</v>
      </c>
      <c r="B523" s="16" t="s">
        <v>100</v>
      </c>
      <c r="C523" s="52" t="s">
        <v>443</v>
      </c>
      <c r="D523" s="82"/>
      <c r="E523" s="46" t="s">
        <v>442</v>
      </c>
      <c r="F523" s="41">
        <f>F524+F526+F528+F530+F532+F535+F537+F539</f>
        <v>1329.2</v>
      </c>
      <c r="G523" s="41">
        <f t="shared" ref="G523:H523" si="126">G524+G526+G528+G530+G532+G535+G537</f>
        <v>1196.2</v>
      </c>
      <c r="H523" s="41">
        <f t="shared" si="126"/>
        <v>1196.2</v>
      </c>
    </row>
    <row r="524" spans="1:8" s="20" customFormat="1" ht="51.75">
      <c r="A524" s="16" t="s">
        <v>105</v>
      </c>
      <c r="B524" s="16" t="s">
        <v>100</v>
      </c>
      <c r="C524" s="21" t="s">
        <v>599</v>
      </c>
      <c r="D524" s="16"/>
      <c r="E524" s="97" t="s">
        <v>445</v>
      </c>
      <c r="F524" s="39">
        <f>F525</f>
        <v>134.30000000000001</v>
      </c>
      <c r="G524" s="39">
        <f>G525</f>
        <v>134.30000000000001</v>
      </c>
      <c r="H524" s="39">
        <f>H525</f>
        <v>134.30000000000001</v>
      </c>
    </row>
    <row r="525" spans="1:8" s="20" customFormat="1" ht="15">
      <c r="A525" s="16" t="s">
        <v>105</v>
      </c>
      <c r="B525" s="16" t="s">
        <v>100</v>
      </c>
      <c r="C525" s="21" t="s">
        <v>599</v>
      </c>
      <c r="D525" s="82" t="s">
        <v>364</v>
      </c>
      <c r="E525" s="98" t="s">
        <v>365</v>
      </c>
      <c r="F525" s="41">
        <v>134.30000000000001</v>
      </c>
      <c r="G525" s="41">
        <v>134.30000000000001</v>
      </c>
      <c r="H525" s="41">
        <v>134.30000000000001</v>
      </c>
    </row>
    <row r="526" spans="1:8" s="20" customFormat="1" ht="38.25">
      <c r="A526" s="16" t="s">
        <v>105</v>
      </c>
      <c r="B526" s="16" t="s">
        <v>100</v>
      </c>
      <c r="C526" s="57" t="s">
        <v>600</v>
      </c>
      <c r="D526" s="16"/>
      <c r="E526" s="98" t="s">
        <v>50</v>
      </c>
      <c r="F526" s="41">
        <f>F527</f>
        <v>130.1</v>
      </c>
      <c r="G526" s="41">
        <f>G527</f>
        <v>123.9</v>
      </c>
      <c r="H526" s="41">
        <f>H527</f>
        <v>123.9</v>
      </c>
    </row>
    <row r="527" spans="1:8" s="20" customFormat="1" ht="38.25">
      <c r="A527" s="16" t="s">
        <v>105</v>
      </c>
      <c r="B527" s="16" t="s">
        <v>100</v>
      </c>
      <c r="C527" s="57" t="s">
        <v>600</v>
      </c>
      <c r="D527" s="82" t="s">
        <v>214</v>
      </c>
      <c r="E527" s="98" t="s">
        <v>215</v>
      </c>
      <c r="F527" s="41">
        <f>123.9+6.2</f>
        <v>130.1</v>
      </c>
      <c r="G527" s="41">
        <v>123.9</v>
      </c>
      <c r="H527" s="41">
        <v>123.9</v>
      </c>
    </row>
    <row r="528" spans="1:8" s="20" customFormat="1" ht="38.25">
      <c r="A528" s="16" t="s">
        <v>105</v>
      </c>
      <c r="B528" s="16" t="s">
        <v>100</v>
      </c>
      <c r="C528" s="57" t="s">
        <v>597</v>
      </c>
      <c r="D528" s="16"/>
      <c r="E528" s="54" t="s">
        <v>537</v>
      </c>
      <c r="F528" s="94">
        <f>F529</f>
        <v>55.999999999999993</v>
      </c>
      <c r="G528" s="94">
        <f>G529</f>
        <v>71.099999999999994</v>
      </c>
      <c r="H528" s="94">
        <f>H529</f>
        <v>71.099999999999994</v>
      </c>
    </row>
    <row r="529" spans="1:8" s="20" customFormat="1" ht="15">
      <c r="A529" s="16" t="s">
        <v>105</v>
      </c>
      <c r="B529" s="16" t="s">
        <v>100</v>
      </c>
      <c r="C529" s="57" t="s">
        <v>597</v>
      </c>
      <c r="D529" s="21" t="s">
        <v>228</v>
      </c>
      <c r="E529" s="98" t="s">
        <v>227</v>
      </c>
      <c r="F529" s="94">
        <f>71.1-15.1</f>
        <v>55.999999999999993</v>
      </c>
      <c r="G529" s="94">
        <v>71.099999999999994</v>
      </c>
      <c r="H529" s="94">
        <v>71.099999999999994</v>
      </c>
    </row>
    <row r="530" spans="1:8" s="20" customFormat="1" ht="63.75">
      <c r="A530" s="16" t="s">
        <v>105</v>
      </c>
      <c r="B530" s="16" t="s">
        <v>100</v>
      </c>
      <c r="C530" s="80">
        <v>140323020</v>
      </c>
      <c r="D530" s="82"/>
      <c r="E530" s="98" t="s">
        <v>134</v>
      </c>
      <c r="F530" s="41">
        <f>F531</f>
        <v>311.70000000000005</v>
      </c>
      <c r="G530" s="41">
        <f>G531</f>
        <v>296.60000000000002</v>
      </c>
      <c r="H530" s="41">
        <f>H531</f>
        <v>296.60000000000002</v>
      </c>
    </row>
    <row r="531" spans="1:8" s="20" customFormat="1" ht="38.25">
      <c r="A531" s="16" t="s">
        <v>105</v>
      </c>
      <c r="B531" s="16" t="s">
        <v>100</v>
      </c>
      <c r="C531" s="80">
        <v>140323020</v>
      </c>
      <c r="D531" s="82" t="s">
        <v>214</v>
      </c>
      <c r="E531" s="98" t="s">
        <v>215</v>
      </c>
      <c r="F531" s="41">
        <f>112+140.5+44.1+15.1</f>
        <v>311.70000000000005</v>
      </c>
      <c r="G531" s="41">
        <f t="shared" ref="G531:H531" si="127">112+140.5+44.1</f>
        <v>296.60000000000002</v>
      </c>
      <c r="H531" s="41">
        <f t="shared" si="127"/>
        <v>296.60000000000002</v>
      </c>
    </row>
    <row r="532" spans="1:8" s="20" customFormat="1" ht="90" customHeight="1">
      <c r="A532" s="16" t="s">
        <v>105</v>
      </c>
      <c r="B532" s="16" t="s">
        <v>100</v>
      </c>
      <c r="C532" s="80">
        <v>140323025</v>
      </c>
      <c r="D532" s="82"/>
      <c r="E532" s="98" t="s">
        <v>451</v>
      </c>
      <c r="F532" s="41">
        <f>SUM(F533:F534)</f>
        <v>322.3</v>
      </c>
      <c r="G532" s="41">
        <f t="shared" ref="G532:H532" si="128">SUM(G533:G534)</f>
        <v>322.3</v>
      </c>
      <c r="H532" s="41">
        <f t="shared" si="128"/>
        <v>322.3</v>
      </c>
    </row>
    <row r="533" spans="1:8" s="20" customFormat="1" ht="38.25">
      <c r="A533" s="16" t="s">
        <v>105</v>
      </c>
      <c r="B533" s="16" t="s">
        <v>100</v>
      </c>
      <c r="C533" s="80">
        <v>140323025</v>
      </c>
      <c r="D533" s="82" t="s">
        <v>214</v>
      </c>
      <c r="E533" s="98" t="s">
        <v>215</v>
      </c>
      <c r="F533" s="41">
        <f>322.3-35-5</f>
        <v>282.3</v>
      </c>
      <c r="G533" s="41">
        <f t="shared" ref="G533:H533" si="129">322.3-35</f>
        <v>287.3</v>
      </c>
      <c r="H533" s="41">
        <f t="shared" si="129"/>
        <v>287.3</v>
      </c>
    </row>
    <row r="534" spans="1:8" s="20" customFormat="1" ht="15">
      <c r="A534" s="16" t="s">
        <v>105</v>
      </c>
      <c r="B534" s="16" t="s">
        <v>100</v>
      </c>
      <c r="C534" s="80">
        <v>140323025</v>
      </c>
      <c r="D534" s="82" t="s">
        <v>709</v>
      </c>
      <c r="E534" s="98" t="s">
        <v>710</v>
      </c>
      <c r="F534" s="41">
        <f>35+5</f>
        <v>40</v>
      </c>
      <c r="G534" s="41">
        <v>35</v>
      </c>
      <c r="H534" s="41">
        <v>35</v>
      </c>
    </row>
    <row r="535" spans="1:8" s="20" customFormat="1" ht="63.75">
      <c r="A535" s="16" t="s">
        <v>105</v>
      </c>
      <c r="B535" s="16" t="s">
        <v>100</v>
      </c>
      <c r="C535" s="80" t="s">
        <v>452</v>
      </c>
      <c r="D535" s="82"/>
      <c r="E535" s="98" t="s">
        <v>453</v>
      </c>
      <c r="F535" s="41">
        <f>F536</f>
        <v>45.9</v>
      </c>
      <c r="G535" s="41">
        <f>G536</f>
        <v>45.9</v>
      </c>
      <c r="H535" s="41">
        <f>H536</f>
        <v>45.9</v>
      </c>
    </row>
    <row r="536" spans="1:8" s="20" customFormat="1" ht="38.25">
      <c r="A536" s="16" t="s">
        <v>105</v>
      </c>
      <c r="B536" s="16" t="s">
        <v>100</v>
      </c>
      <c r="C536" s="80" t="s">
        <v>452</v>
      </c>
      <c r="D536" s="82" t="s">
        <v>214</v>
      </c>
      <c r="E536" s="98" t="s">
        <v>215</v>
      </c>
      <c r="F536" s="41">
        <f>90-44.1</f>
        <v>45.9</v>
      </c>
      <c r="G536" s="41">
        <f t="shared" ref="G536:H536" si="130">90-44.1</f>
        <v>45.9</v>
      </c>
      <c r="H536" s="41">
        <f t="shared" si="130"/>
        <v>45.9</v>
      </c>
    </row>
    <row r="537" spans="1:8" s="36" customFormat="1" ht="38.25">
      <c r="A537" s="16" t="s">
        <v>105</v>
      </c>
      <c r="B537" s="16" t="s">
        <v>100</v>
      </c>
      <c r="C537" s="80">
        <v>140311080</v>
      </c>
      <c r="D537" s="82"/>
      <c r="E537" s="98" t="s">
        <v>454</v>
      </c>
      <c r="F537" s="41">
        <f>F538</f>
        <v>202.1</v>
      </c>
      <c r="G537" s="41">
        <f>G538</f>
        <v>202.1</v>
      </c>
      <c r="H537" s="41">
        <f>H538</f>
        <v>202.1</v>
      </c>
    </row>
    <row r="538" spans="1:8" ht="38.25">
      <c r="A538" s="16" t="s">
        <v>105</v>
      </c>
      <c r="B538" s="16" t="s">
        <v>100</v>
      </c>
      <c r="C538" s="80">
        <v>140311080</v>
      </c>
      <c r="D538" s="82" t="s">
        <v>214</v>
      </c>
      <c r="E538" s="98" t="s">
        <v>215</v>
      </c>
      <c r="F538" s="39">
        <v>202.1</v>
      </c>
      <c r="G538" s="39">
        <v>202.1</v>
      </c>
      <c r="H538" s="39">
        <v>202.1</v>
      </c>
    </row>
    <row r="539" spans="1:8" ht="63.75">
      <c r="A539" s="16" t="s">
        <v>105</v>
      </c>
      <c r="B539" s="16" t="s">
        <v>100</v>
      </c>
      <c r="C539" s="21" t="s">
        <v>762</v>
      </c>
      <c r="D539" s="82"/>
      <c r="E539" s="131" t="s">
        <v>763</v>
      </c>
      <c r="F539" s="39">
        <f>F540</f>
        <v>126.8</v>
      </c>
      <c r="G539" s="39">
        <v>0</v>
      </c>
      <c r="H539" s="39">
        <v>0</v>
      </c>
    </row>
    <row r="540" spans="1:8" ht="38.25">
      <c r="A540" s="16" t="s">
        <v>105</v>
      </c>
      <c r="B540" s="16" t="s">
        <v>100</v>
      </c>
      <c r="C540" s="21" t="s">
        <v>762</v>
      </c>
      <c r="D540" s="82" t="s">
        <v>214</v>
      </c>
      <c r="E540" s="98" t="s">
        <v>215</v>
      </c>
      <c r="F540" s="39">
        <f>120+6.8</f>
        <v>126.8</v>
      </c>
      <c r="G540" s="39">
        <v>0</v>
      </c>
      <c r="H540" s="39">
        <v>0</v>
      </c>
    </row>
    <row r="541" spans="1:8">
      <c r="A541" s="16" t="s">
        <v>105</v>
      </c>
      <c r="B541" s="16" t="s">
        <v>100</v>
      </c>
      <c r="C541" s="52" t="s">
        <v>77</v>
      </c>
      <c r="D541" s="16"/>
      <c r="E541" s="66" t="s">
        <v>47</v>
      </c>
      <c r="F541" s="93">
        <f>F542</f>
        <v>8283.6</v>
      </c>
      <c r="G541" s="93">
        <f>G542</f>
        <v>8283.7000000000007</v>
      </c>
      <c r="H541" s="93">
        <f>H542</f>
        <v>8283.7000000000007</v>
      </c>
    </row>
    <row r="542" spans="1:8" ht="63.75">
      <c r="A542" s="16" t="s">
        <v>105</v>
      </c>
      <c r="B542" s="16" t="s">
        <v>100</v>
      </c>
      <c r="C542" s="80">
        <v>190022200</v>
      </c>
      <c r="D542" s="82"/>
      <c r="E542" s="98" t="s">
        <v>455</v>
      </c>
      <c r="F542" s="41">
        <f>SUM(F543:F544)</f>
        <v>8283.6</v>
      </c>
      <c r="G542" s="41">
        <f>SUM(G543:G544)</f>
        <v>8283.7000000000007</v>
      </c>
      <c r="H542" s="41">
        <f>SUM(H543:H544)</f>
        <v>8283.7000000000007</v>
      </c>
    </row>
    <row r="543" spans="1:8" ht="38.25">
      <c r="A543" s="16" t="s">
        <v>105</v>
      </c>
      <c r="B543" s="16" t="s">
        <v>100</v>
      </c>
      <c r="C543" s="80">
        <v>190022200</v>
      </c>
      <c r="D543" s="16" t="s">
        <v>63</v>
      </c>
      <c r="E543" s="55" t="s">
        <v>64</v>
      </c>
      <c r="F543" s="41">
        <f>4887.2+592.5+1638.9+711.9</f>
        <v>7830.5</v>
      </c>
      <c r="G543" s="41">
        <f>4887.2+592.5+1638.9+712</f>
        <v>7830.6</v>
      </c>
      <c r="H543" s="41">
        <f>4887.2+592.5+1638.9+712</f>
        <v>7830.6</v>
      </c>
    </row>
    <row r="544" spans="1:8" ht="38.25">
      <c r="A544" s="16" t="s">
        <v>105</v>
      </c>
      <c r="B544" s="16" t="s">
        <v>100</v>
      </c>
      <c r="C544" s="80">
        <v>190022200</v>
      </c>
      <c r="D544" s="82" t="s">
        <v>214</v>
      </c>
      <c r="E544" s="98" t="s">
        <v>215</v>
      </c>
      <c r="F544" s="41">
        <f>453.1</f>
        <v>453.1</v>
      </c>
      <c r="G544" s="41">
        <f t="shared" ref="G544:H544" si="131">453.1</f>
        <v>453.1</v>
      </c>
      <c r="H544" s="41">
        <f t="shared" si="131"/>
        <v>453.1</v>
      </c>
    </row>
    <row r="545" spans="1:12" ht="15.75">
      <c r="A545" s="4" t="s">
        <v>102</v>
      </c>
      <c r="B545" s="3"/>
      <c r="C545" s="3"/>
      <c r="D545" s="3"/>
      <c r="E545" s="49" t="s">
        <v>20</v>
      </c>
      <c r="F545" s="92">
        <f>F546+F577</f>
        <v>77688.7</v>
      </c>
      <c r="G545" s="92">
        <f>G546+G577</f>
        <v>63727.8</v>
      </c>
      <c r="H545" s="92">
        <f>H546+H577</f>
        <v>63727.8</v>
      </c>
    </row>
    <row r="546" spans="1:12" s="37" customFormat="1" ht="14.25">
      <c r="A546" s="35" t="s">
        <v>102</v>
      </c>
      <c r="B546" s="35" t="s">
        <v>89</v>
      </c>
      <c r="C546" s="35"/>
      <c r="D546" s="35"/>
      <c r="E546" s="45" t="s">
        <v>107</v>
      </c>
      <c r="F546" s="42">
        <f>F547+F572+F575</f>
        <v>73571.199999999997</v>
      </c>
      <c r="G546" s="42">
        <f t="shared" ref="G546:H546" si="132">G547+G572</f>
        <v>60276.800000000003</v>
      </c>
      <c r="H546" s="42">
        <f t="shared" si="132"/>
        <v>60276.800000000003</v>
      </c>
    </row>
    <row r="547" spans="1:12" s="37" customFormat="1" ht="90">
      <c r="A547" s="16" t="s">
        <v>102</v>
      </c>
      <c r="B547" s="16" t="s">
        <v>89</v>
      </c>
      <c r="C547" s="73" t="s">
        <v>60</v>
      </c>
      <c r="D547" s="35"/>
      <c r="E547" s="53" t="s">
        <v>616</v>
      </c>
      <c r="F547" s="65">
        <f t="shared" ref="F547:H547" si="133">F548</f>
        <v>73521.2</v>
      </c>
      <c r="G547" s="65">
        <f t="shared" si="133"/>
        <v>60276.800000000003</v>
      </c>
      <c r="H547" s="65">
        <f t="shared" si="133"/>
        <v>60276.800000000003</v>
      </c>
    </row>
    <row r="548" spans="1:12" s="37" customFormat="1" ht="25.5">
      <c r="A548" s="16" t="s">
        <v>102</v>
      </c>
      <c r="B548" s="16" t="s">
        <v>89</v>
      </c>
      <c r="C548" s="21" t="s">
        <v>61</v>
      </c>
      <c r="D548" s="35"/>
      <c r="E548" s="48" t="s">
        <v>173</v>
      </c>
      <c r="F548" s="58">
        <f>F549+F552+F554+F557+F562+F564+F566+F568+F570+F560</f>
        <v>73521.2</v>
      </c>
      <c r="G548" s="58">
        <f t="shared" ref="G548:H548" si="134">G549+G552+G554+G557+G562+G564+G566+G568+G570+G560</f>
        <v>60276.800000000003</v>
      </c>
      <c r="H548" s="58">
        <f t="shared" si="134"/>
        <v>60276.800000000003</v>
      </c>
    </row>
    <row r="549" spans="1:12" s="37" customFormat="1" ht="27" customHeight="1">
      <c r="A549" s="16" t="s">
        <v>102</v>
      </c>
      <c r="B549" s="16" t="s">
        <v>89</v>
      </c>
      <c r="C549" s="74">
        <v>210122900</v>
      </c>
      <c r="D549" s="16"/>
      <c r="E549" s="99" t="s">
        <v>172</v>
      </c>
      <c r="F549" s="39">
        <f>F550+F551</f>
        <v>14414.3</v>
      </c>
      <c r="G549" s="39">
        <f>G550+G551</f>
        <v>10293.400000000001</v>
      </c>
      <c r="H549" s="39">
        <f>H550+H551</f>
        <v>10293.400000000001</v>
      </c>
    </row>
    <row r="550" spans="1:12" s="37" customFormat="1" ht="25.5">
      <c r="A550" s="16" t="s">
        <v>102</v>
      </c>
      <c r="B550" s="16" t="s">
        <v>89</v>
      </c>
      <c r="C550" s="74">
        <v>210122900</v>
      </c>
      <c r="D550" s="82" t="s">
        <v>65</v>
      </c>
      <c r="E550" s="55" t="s">
        <v>131</v>
      </c>
      <c r="F550" s="39">
        <f>5408.8-17.4</f>
        <v>5391.4000000000005</v>
      </c>
      <c r="G550" s="39">
        <f>5635.6-17.4</f>
        <v>5618.2000000000007</v>
      </c>
      <c r="H550" s="39">
        <f>5635.6-17.4</f>
        <v>5618.2000000000007</v>
      </c>
      <c r="J550" s="151"/>
    </row>
    <row r="551" spans="1:12" s="37" customFormat="1" ht="38.25">
      <c r="A551" s="16" t="s">
        <v>102</v>
      </c>
      <c r="B551" s="16" t="s">
        <v>89</v>
      </c>
      <c r="C551" s="74">
        <v>210122900</v>
      </c>
      <c r="D551" s="82" t="s">
        <v>214</v>
      </c>
      <c r="E551" s="98" t="s">
        <v>215</v>
      </c>
      <c r="F551" s="39">
        <f>5956.5+2577.4+502.4-13.4</f>
        <v>9022.9</v>
      </c>
      <c r="G551" s="39">
        <v>4675.2</v>
      </c>
      <c r="H551" s="39">
        <v>4675.2</v>
      </c>
    </row>
    <row r="552" spans="1:12" s="37" customFormat="1" ht="51">
      <c r="A552" s="16" t="s">
        <v>102</v>
      </c>
      <c r="B552" s="16" t="s">
        <v>89</v>
      </c>
      <c r="C552" s="74">
        <v>210121100</v>
      </c>
      <c r="D552" s="16"/>
      <c r="E552" s="99" t="s">
        <v>174</v>
      </c>
      <c r="F552" s="39">
        <f>F553</f>
        <v>33792</v>
      </c>
      <c r="G552" s="39">
        <f>G553</f>
        <v>26356.9</v>
      </c>
      <c r="H552" s="39">
        <f>H553</f>
        <v>26356.9</v>
      </c>
      <c r="J552" s="151"/>
      <c r="K552" s="151"/>
      <c r="L552" s="151"/>
    </row>
    <row r="553" spans="1:12" s="37" customFormat="1" ht="14.25">
      <c r="A553" s="16" t="s">
        <v>102</v>
      </c>
      <c r="B553" s="16" t="s">
        <v>89</v>
      </c>
      <c r="C553" s="74">
        <v>210121100</v>
      </c>
      <c r="D553" s="21" t="s">
        <v>228</v>
      </c>
      <c r="E553" s="98" t="s">
        <v>227</v>
      </c>
      <c r="F553" s="39">
        <f>33945.3-18.5-109.8-25</f>
        <v>33792</v>
      </c>
      <c r="G553" s="1">
        <f>26485.2-18.5-109.8</f>
        <v>26356.9</v>
      </c>
      <c r="H553" s="1">
        <f>26485.2-18.5-109.8</f>
        <v>26356.9</v>
      </c>
    </row>
    <row r="554" spans="1:12" s="37" customFormat="1" ht="51">
      <c r="A554" s="16" t="s">
        <v>102</v>
      </c>
      <c r="B554" s="16" t="s">
        <v>89</v>
      </c>
      <c r="C554" s="74" t="s">
        <v>456</v>
      </c>
      <c r="D554" s="82"/>
      <c r="E554" s="98" t="s">
        <v>321</v>
      </c>
      <c r="F554" s="39">
        <f>SUM(F555:F556)</f>
        <v>235.9</v>
      </c>
      <c r="G554" s="39">
        <f>SUM(G555:G556)</f>
        <v>235.9</v>
      </c>
      <c r="H554" s="39">
        <f>SUM(H555:H556)</f>
        <v>235.9</v>
      </c>
      <c r="J554" s="151"/>
    </row>
    <row r="555" spans="1:12" s="37" customFormat="1" ht="25.5">
      <c r="A555" s="16" t="s">
        <v>102</v>
      </c>
      <c r="B555" s="16" t="s">
        <v>89</v>
      </c>
      <c r="C555" s="74" t="s">
        <v>456</v>
      </c>
      <c r="D555" s="82" t="s">
        <v>65</v>
      </c>
      <c r="E555" s="55" t="s">
        <v>131</v>
      </c>
      <c r="F555" s="39">
        <f>50+17.4</f>
        <v>67.400000000000006</v>
      </c>
      <c r="G555" s="39">
        <f t="shared" ref="G555:H555" si="135">50+17.4</f>
        <v>67.400000000000006</v>
      </c>
      <c r="H555" s="39">
        <f t="shared" si="135"/>
        <v>67.400000000000006</v>
      </c>
    </row>
    <row r="556" spans="1:12" s="37" customFormat="1" ht="14.25">
      <c r="A556" s="16" t="s">
        <v>102</v>
      </c>
      <c r="B556" s="16" t="s">
        <v>89</v>
      </c>
      <c r="C556" s="74" t="s">
        <v>456</v>
      </c>
      <c r="D556" s="21" t="s">
        <v>228</v>
      </c>
      <c r="E556" s="98" t="s">
        <v>227</v>
      </c>
      <c r="F556" s="39">
        <f>150+18.5</f>
        <v>168.5</v>
      </c>
      <c r="G556" s="39">
        <f t="shared" ref="G556:H556" si="136">150+18.5</f>
        <v>168.5</v>
      </c>
      <c r="H556" s="39">
        <f t="shared" si="136"/>
        <v>168.5</v>
      </c>
    </row>
    <row r="557" spans="1:12" s="37" customFormat="1" ht="51">
      <c r="A557" s="16" t="s">
        <v>102</v>
      </c>
      <c r="B557" s="16" t="s">
        <v>89</v>
      </c>
      <c r="C557" s="74">
        <v>210110680</v>
      </c>
      <c r="D557" s="82"/>
      <c r="E557" s="98" t="s">
        <v>360</v>
      </c>
      <c r="F557" s="39">
        <f>SUM(F558:F559)</f>
        <v>23354.600000000002</v>
      </c>
      <c r="G557" s="39">
        <f t="shared" ref="G557:H557" si="137">SUM(G558:G559)</f>
        <v>23354.600000000002</v>
      </c>
      <c r="H557" s="39">
        <f t="shared" si="137"/>
        <v>23354.600000000002</v>
      </c>
      <c r="J557" s="151"/>
    </row>
    <row r="558" spans="1:12" s="37" customFormat="1" ht="25.5">
      <c r="A558" s="16" t="s">
        <v>102</v>
      </c>
      <c r="B558" s="16" t="s">
        <v>89</v>
      </c>
      <c r="C558" s="74">
        <v>210110680</v>
      </c>
      <c r="D558" s="82" t="s">
        <v>65</v>
      </c>
      <c r="E558" s="55" t="s">
        <v>131</v>
      </c>
      <c r="F558" s="39">
        <v>6672.7</v>
      </c>
      <c r="G558" s="39">
        <v>6672.7</v>
      </c>
      <c r="H558" s="39">
        <v>6672.7</v>
      </c>
    </row>
    <row r="559" spans="1:12" s="37" customFormat="1" ht="14.25">
      <c r="A559" s="16" t="s">
        <v>102</v>
      </c>
      <c r="B559" s="16" t="s">
        <v>89</v>
      </c>
      <c r="C559" s="74">
        <v>210110680</v>
      </c>
      <c r="D559" s="21" t="s">
        <v>228</v>
      </c>
      <c r="E559" s="98" t="s">
        <v>227</v>
      </c>
      <c r="F559" s="39">
        <v>16681.900000000001</v>
      </c>
      <c r="G559" s="39">
        <v>16681.900000000001</v>
      </c>
      <c r="H559" s="39">
        <v>16681.900000000001</v>
      </c>
    </row>
    <row r="560" spans="1:12" s="37" customFormat="1" ht="51">
      <c r="A560" s="16" t="s">
        <v>102</v>
      </c>
      <c r="B560" s="16" t="s">
        <v>89</v>
      </c>
      <c r="C560" s="74" t="s">
        <v>758</v>
      </c>
      <c r="D560" s="21"/>
      <c r="E560" s="54" t="s">
        <v>759</v>
      </c>
      <c r="F560" s="39">
        <f>F561</f>
        <v>133.4</v>
      </c>
      <c r="G560" s="39">
        <f t="shared" ref="G560:H560" si="138">G561</f>
        <v>0</v>
      </c>
      <c r="H560" s="39">
        <f t="shared" si="138"/>
        <v>0</v>
      </c>
    </row>
    <row r="561" spans="1:8" s="37" customFormat="1" ht="38.25">
      <c r="A561" s="16" t="s">
        <v>102</v>
      </c>
      <c r="B561" s="16" t="s">
        <v>89</v>
      </c>
      <c r="C561" s="74" t="s">
        <v>758</v>
      </c>
      <c r="D561" s="82" t="s">
        <v>214</v>
      </c>
      <c r="E561" s="98" t="s">
        <v>215</v>
      </c>
      <c r="F561" s="39">
        <f>120+13.4</f>
        <v>133.4</v>
      </c>
      <c r="G561" s="39">
        <v>0</v>
      </c>
      <c r="H561" s="39">
        <v>0</v>
      </c>
    </row>
    <row r="562" spans="1:8" s="37" customFormat="1" ht="38.25">
      <c r="A562" s="16" t="s">
        <v>102</v>
      </c>
      <c r="B562" s="16" t="s">
        <v>89</v>
      </c>
      <c r="C562" s="165" t="s">
        <v>766</v>
      </c>
      <c r="D562" s="82"/>
      <c r="E562" s="124" t="s">
        <v>767</v>
      </c>
      <c r="F562" s="39">
        <f>F563</f>
        <v>20</v>
      </c>
      <c r="G562" s="39">
        <f t="shared" ref="G562:H562" si="139">G563</f>
        <v>0</v>
      </c>
      <c r="H562" s="39">
        <f t="shared" si="139"/>
        <v>0</v>
      </c>
    </row>
    <row r="563" spans="1:8" s="37" customFormat="1" ht="38.25">
      <c r="A563" s="16" t="s">
        <v>102</v>
      </c>
      <c r="B563" s="16" t="s">
        <v>89</v>
      </c>
      <c r="C563" s="165" t="s">
        <v>766</v>
      </c>
      <c r="D563" s="82" t="s">
        <v>214</v>
      </c>
      <c r="E563" s="98" t="s">
        <v>215</v>
      </c>
      <c r="F563" s="39">
        <v>20</v>
      </c>
      <c r="G563" s="39">
        <v>0</v>
      </c>
      <c r="H563" s="39">
        <v>0</v>
      </c>
    </row>
    <row r="564" spans="1:8" s="37" customFormat="1" ht="51">
      <c r="A564" s="16" t="s">
        <v>102</v>
      </c>
      <c r="B564" s="16" t="s">
        <v>89</v>
      </c>
      <c r="C564" s="125" t="s">
        <v>459</v>
      </c>
      <c r="D564" s="82"/>
      <c r="E564" s="131" t="s">
        <v>375</v>
      </c>
      <c r="F564" s="39">
        <f>F565</f>
        <v>624</v>
      </c>
      <c r="G564" s="39">
        <f>G565</f>
        <v>35</v>
      </c>
      <c r="H564" s="39">
        <f>H565</f>
        <v>35</v>
      </c>
    </row>
    <row r="565" spans="1:8" s="37" customFormat="1" ht="14.25">
      <c r="A565" s="16" t="s">
        <v>102</v>
      </c>
      <c r="B565" s="16" t="s">
        <v>89</v>
      </c>
      <c r="C565" s="125" t="s">
        <v>459</v>
      </c>
      <c r="D565" s="21" t="s">
        <v>228</v>
      </c>
      <c r="E565" s="98" t="s">
        <v>227</v>
      </c>
      <c r="F565" s="39">
        <f>13+611</f>
        <v>624</v>
      </c>
      <c r="G565" s="39">
        <v>35</v>
      </c>
      <c r="H565" s="39">
        <v>35</v>
      </c>
    </row>
    <row r="566" spans="1:8" s="37" customFormat="1" ht="51">
      <c r="A566" s="16" t="s">
        <v>102</v>
      </c>
      <c r="B566" s="16" t="s">
        <v>89</v>
      </c>
      <c r="C566" s="134" t="s">
        <v>461</v>
      </c>
      <c r="D566" s="21"/>
      <c r="E566" s="98" t="s">
        <v>460</v>
      </c>
      <c r="F566" s="39">
        <f>F567</f>
        <v>945</v>
      </c>
      <c r="G566" s="39">
        <f>G567</f>
        <v>0</v>
      </c>
      <c r="H566" s="39">
        <f>H567</f>
        <v>0</v>
      </c>
    </row>
    <row r="567" spans="1:8" s="37" customFormat="1" ht="14.25">
      <c r="A567" s="16" t="s">
        <v>102</v>
      </c>
      <c r="B567" s="16" t="s">
        <v>89</v>
      </c>
      <c r="C567" s="134" t="s">
        <v>461</v>
      </c>
      <c r="D567" s="21" t="s">
        <v>228</v>
      </c>
      <c r="E567" s="98" t="s">
        <v>227</v>
      </c>
      <c r="F567" s="39">
        <v>945</v>
      </c>
      <c r="G567" s="39">
        <v>0</v>
      </c>
      <c r="H567" s="39">
        <v>0</v>
      </c>
    </row>
    <row r="568" spans="1:8" s="37" customFormat="1" ht="51">
      <c r="A568" s="16" t="s">
        <v>102</v>
      </c>
      <c r="B568" s="16" t="s">
        <v>89</v>
      </c>
      <c r="C568" s="125" t="s">
        <v>674</v>
      </c>
      <c r="D568" s="82"/>
      <c r="E568" s="124" t="s">
        <v>675</v>
      </c>
      <c r="F568" s="39">
        <f>F569</f>
        <v>1</v>
      </c>
      <c r="G568" s="39">
        <f>G569</f>
        <v>0</v>
      </c>
      <c r="H568" s="39">
        <f>H569</f>
        <v>0</v>
      </c>
    </row>
    <row r="569" spans="1:8" s="37" customFormat="1" ht="14.25">
      <c r="A569" s="16" t="s">
        <v>102</v>
      </c>
      <c r="B569" s="16" t="s">
        <v>89</v>
      </c>
      <c r="C569" s="125" t="s">
        <v>674</v>
      </c>
      <c r="D569" s="21" t="s">
        <v>228</v>
      </c>
      <c r="E569" s="98" t="s">
        <v>227</v>
      </c>
      <c r="F569" s="39">
        <v>1</v>
      </c>
      <c r="G569" s="39">
        <v>0</v>
      </c>
      <c r="H569" s="39">
        <v>0</v>
      </c>
    </row>
    <row r="570" spans="1:8" s="156" customFormat="1" ht="63.75">
      <c r="A570" s="152" t="s">
        <v>102</v>
      </c>
      <c r="B570" s="152" t="s">
        <v>89</v>
      </c>
      <c r="C570" s="153" t="s">
        <v>465</v>
      </c>
      <c r="D570" s="154"/>
      <c r="E570" s="155" t="s">
        <v>464</v>
      </c>
      <c r="F570" s="39">
        <f>F571</f>
        <v>1</v>
      </c>
      <c r="G570" s="39">
        <f t="shared" ref="G570:H570" si="140">G571</f>
        <v>1</v>
      </c>
      <c r="H570" s="39">
        <f t="shared" si="140"/>
        <v>1</v>
      </c>
    </row>
    <row r="571" spans="1:8" s="37" customFormat="1" ht="14.25">
      <c r="A571" s="16" t="s">
        <v>102</v>
      </c>
      <c r="B571" s="16" t="s">
        <v>89</v>
      </c>
      <c r="C571" s="134" t="s">
        <v>465</v>
      </c>
      <c r="D571" s="21" t="s">
        <v>228</v>
      </c>
      <c r="E571" s="98" t="s">
        <v>227</v>
      </c>
      <c r="F571" s="39">
        <v>1</v>
      </c>
      <c r="G571" s="39">
        <v>1</v>
      </c>
      <c r="H571" s="39">
        <v>1</v>
      </c>
    </row>
    <row r="572" spans="1:8" s="37" customFormat="1" ht="38.25">
      <c r="A572" s="16" t="s">
        <v>102</v>
      </c>
      <c r="B572" s="16" t="s">
        <v>89</v>
      </c>
      <c r="C572" s="82" t="s">
        <v>25</v>
      </c>
      <c r="D572" s="82"/>
      <c r="E572" s="99" t="s">
        <v>39</v>
      </c>
      <c r="F572" s="41">
        <f>F573</f>
        <v>50</v>
      </c>
      <c r="G572" s="41">
        <f t="shared" ref="G572:H572" si="141">G573</f>
        <v>0</v>
      </c>
      <c r="H572" s="41">
        <f t="shared" si="141"/>
        <v>0</v>
      </c>
    </row>
    <row r="573" spans="1:8" s="37" customFormat="1" ht="51.75" customHeight="1">
      <c r="A573" s="16" t="s">
        <v>102</v>
      </c>
      <c r="B573" s="16" t="s">
        <v>89</v>
      </c>
      <c r="C573" s="82" t="s">
        <v>612</v>
      </c>
      <c r="D573" s="16"/>
      <c r="E573" s="54" t="s">
        <v>614</v>
      </c>
      <c r="F573" s="41">
        <f>SUM(F574:F574)</f>
        <v>50</v>
      </c>
      <c r="G573" s="41">
        <f>SUM(G574:G574)</f>
        <v>0</v>
      </c>
      <c r="H573" s="41">
        <f>SUM(H574:H574)</f>
        <v>0</v>
      </c>
    </row>
    <row r="574" spans="1:8" s="37" customFormat="1" ht="14.25">
      <c r="A574" s="16" t="s">
        <v>102</v>
      </c>
      <c r="B574" s="16" t="s">
        <v>89</v>
      </c>
      <c r="C574" s="82" t="s">
        <v>612</v>
      </c>
      <c r="D574" s="21" t="s">
        <v>228</v>
      </c>
      <c r="E574" s="98" t="s">
        <v>227</v>
      </c>
      <c r="F574" s="39">
        <v>50</v>
      </c>
      <c r="G574" s="39">
        <v>0</v>
      </c>
      <c r="H574" s="39">
        <v>0</v>
      </c>
    </row>
    <row r="575" spans="1:8" s="37" customFormat="1" ht="51">
      <c r="A575" s="16" t="s">
        <v>102</v>
      </c>
      <c r="B575" s="16" t="s">
        <v>89</v>
      </c>
      <c r="C575" s="82" t="s">
        <v>611</v>
      </c>
      <c r="D575" s="21"/>
      <c r="E575" s="54" t="s">
        <v>610</v>
      </c>
      <c r="F575" s="39">
        <f>F576</f>
        <v>0</v>
      </c>
      <c r="G575" s="39">
        <f t="shared" ref="G575:H575" si="142">G576</f>
        <v>0</v>
      </c>
      <c r="H575" s="39">
        <f t="shared" si="142"/>
        <v>0</v>
      </c>
    </row>
    <row r="576" spans="1:8" s="37" customFormat="1" ht="38.25">
      <c r="A576" s="16" t="s">
        <v>102</v>
      </c>
      <c r="B576" s="16" t="s">
        <v>89</v>
      </c>
      <c r="C576" s="82" t="s">
        <v>611</v>
      </c>
      <c r="D576" s="82" t="s">
        <v>214</v>
      </c>
      <c r="E576" s="98" t="s">
        <v>215</v>
      </c>
      <c r="F576" s="39"/>
      <c r="G576" s="39"/>
      <c r="H576" s="39"/>
    </row>
    <row r="577" spans="1:8" ht="25.5">
      <c r="A577" s="35" t="s">
        <v>102</v>
      </c>
      <c r="B577" s="35" t="s">
        <v>95</v>
      </c>
      <c r="C577" s="35"/>
      <c r="D577" s="35"/>
      <c r="E577" s="46" t="s">
        <v>7</v>
      </c>
      <c r="F577" s="42">
        <f>F578+F588</f>
        <v>4117.5</v>
      </c>
      <c r="G577" s="42">
        <f>G578+G588</f>
        <v>3451</v>
      </c>
      <c r="H577" s="42">
        <f>H578+H588</f>
        <v>3451</v>
      </c>
    </row>
    <row r="578" spans="1:8" ht="90">
      <c r="A578" s="5" t="s">
        <v>102</v>
      </c>
      <c r="B578" s="5" t="s">
        <v>95</v>
      </c>
      <c r="C578" s="73" t="s">
        <v>60</v>
      </c>
      <c r="D578" s="35"/>
      <c r="E578" s="53" t="s">
        <v>616</v>
      </c>
      <c r="F578" s="65">
        <f>F579+F584</f>
        <v>3877.5</v>
      </c>
      <c r="G578" s="65">
        <f>G579+G584</f>
        <v>3451</v>
      </c>
      <c r="H578" s="65">
        <f>H579+H584</f>
        <v>3451</v>
      </c>
    </row>
    <row r="579" spans="1:8" ht="25.5">
      <c r="A579" s="16" t="s">
        <v>102</v>
      </c>
      <c r="B579" s="16" t="s">
        <v>95</v>
      </c>
      <c r="C579" s="21" t="s">
        <v>61</v>
      </c>
      <c r="D579" s="35"/>
      <c r="E579" s="48" t="s">
        <v>173</v>
      </c>
      <c r="F579" s="42">
        <f>F580+F582</f>
        <v>474</v>
      </c>
      <c r="G579" s="42">
        <f t="shared" ref="G579:H579" si="143">G580+G582</f>
        <v>300</v>
      </c>
      <c r="H579" s="42">
        <f t="shared" si="143"/>
        <v>300</v>
      </c>
    </row>
    <row r="580" spans="1:8" ht="51">
      <c r="A580" s="16" t="s">
        <v>102</v>
      </c>
      <c r="B580" s="16" t="s">
        <v>95</v>
      </c>
      <c r="C580" s="21" t="s">
        <v>467</v>
      </c>
      <c r="D580" s="16"/>
      <c r="E580" s="98" t="s">
        <v>176</v>
      </c>
      <c r="F580" s="41">
        <f t="shared" ref="F580:H580" si="144">F581</f>
        <v>374</v>
      </c>
      <c r="G580" s="41">
        <f t="shared" si="144"/>
        <v>300</v>
      </c>
      <c r="H580" s="41">
        <f t="shared" si="144"/>
        <v>300</v>
      </c>
    </row>
    <row r="581" spans="1:8" ht="38.25">
      <c r="A581" s="16" t="s">
        <v>102</v>
      </c>
      <c r="B581" s="16" t="s">
        <v>95</v>
      </c>
      <c r="C581" s="21" t="s">
        <v>467</v>
      </c>
      <c r="D581" s="82" t="s">
        <v>214</v>
      </c>
      <c r="E581" s="98" t="s">
        <v>215</v>
      </c>
      <c r="F581" s="41">
        <v>374</v>
      </c>
      <c r="G581" s="41">
        <v>300</v>
      </c>
      <c r="H581" s="41">
        <v>300</v>
      </c>
    </row>
    <row r="582" spans="1:8" ht="25.5">
      <c r="A582" s="16" t="s">
        <v>102</v>
      </c>
      <c r="B582" s="16" t="s">
        <v>95</v>
      </c>
      <c r="C582" s="21" t="s">
        <v>768</v>
      </c>
      <c r="D582" s="82"/>
      <c r="E582" s="108" t="s">
        <v>769</v>
      </c>
      <c r="F582" s="41">
        <f>F583</f>
        <v>100</v>
      </c>
      <c r="G582" s="41">
        <f t="shared" ref="G582:H582" si="145">G583</f>
        <v>0</v>
      </c>
      <c r="H582" s="41">
        <f t="shared" si="145"/>
        <v>0</v>
      </c>
    </row>
    <row r="583" spans="1:8" ht="38.25">
      <c r="A583" s="16" t="s">
        <v>102</v>
      </c>
      <c r="B583" s="16" t="s">
        <v>95</v>
      </c>
      <c r="C583" s="167" t="s">
        <v>768</v>
      </c>
      <c r="D583" s="82" t="s">
        <v>214</v>
      </c>
      <c r="E583" s="98" t="s">
        <v>215</v>
      </c>
      <c r="F583" s="41">
        <v>100</v>
      </c>
      <c r="G583" s="41">
        <v>0</v>
      </c>
      <c r="H583" s="41">
        <v>0</v>
      </c>
    </row>
    <row r="584" spans="1:8">
      <c r="A584" s="16" t="s">
        <v>102</v>
      </c>
      <c r="B584" s="16" t="s">
        <v>95</v>
      </c>
      <c r="C584" s="52" t="s">
        <v>32</v>
      </c>
      <c r="D584" s="21"/>
      <c r="E584" s="66" t="s">
        <v>47</v>
      </c>
      <c r="F584" s="58">
        <f>F585</f>
        <v>3403.5</v>
      </c>
      <c r="G584" s="58">
        <f>G585</f>
        <v>3151</v>
      </c>
      <c r="H584" s="58">
        <f>H585</f>
        <v>3151</v>
      </c>
    </row>
    <row r="585" spans="1:8" ht="65.25" customHeight="1">
      <c r="A585" s="16" t="s">
        <v>102</v>
      </c>
      <c r="B585" s="16" t="s">
        <v>95</v>
      </c>
      <c r="C585" s="80">
        <v>290022200</v>
      </c>
      <c r="D585" s="21"/>
      <c r="E585" s="98" t="s">
        <v>266</v>
      </c>
      <c r="F585" s="94">
        <f>SUM(F586:F587)</f>
        <v>3403.5</v>
      </c>
      <c r="G585" s="94">
        <f>SUM(G586:G587)</f>
        <v>3151</v>
      </c>
      <c r="H585" s="94">
        <f>SUM(H586:H587)</f>
        <v>3151</v>
      </c>
    </row>
    <row r="586" spans="1:8" ht="38.25">
      <c r="A586" s="16" t="s">
        <v>102</v>
      </c>
      <c r="B586" s="16" t="s">
        <v>95</v>
      </c>
      <c r="C586" s="80">
        <v>290022200</v>
      </c>
      <c r="D586" s="16" t="s">
        <v>63</v>
      </c>
      <c r="E586" s="55" t="s">
        <v>64</v>
      </c>
      <c r="F586" s="94">
        <f>3035.4+300.6</f>
        <v>3336</v>
      </c>
      <c r="G586" s="94">
        <f>2788.9+300.6</f>
        <v>3089.5</v>
      </c>
      <c r="H586" s="94">
        <f>2788.9+300.6</f>
        <v>3089.5</v>
      </c>
    </row>
    <row r="587" spans="1:8" ht="38.25">
      <c r="A587" s="16" t="s">
        <v>102</v>
      </c>
      <c r="B587" s="16" t="s">
        <v>95</v>
      </c>
      <c r="C587" s="80">
        <v>290022200</v>
      </c>
      <c r="D587" s="82" t="s">
        <v>214</v>
      </c>
      <c r="E587" s="98" t="s">
        <v>215</v>
      </c>
      <c r="F587" s="41">
        <v>67.5</v>
      </c>
      <c r="G587" s="41">
        <v>61.5</v>
      </c>
      <c r="H587" s="41">
        <v>61.5</v>
      </c>
    </row>
    <row r="588" spans="1:8" ht="38.25">
      <c r="A588" s="16" t="s">
        <v>102</v>
      </c>
      <c r="B588" s="16" t="s">
        <v>95</v>
      </c>
      <c r="C588" s="82" t="s">
        <v>25</v>
      </c>
      <c r="D588" s="82"/>
      <c r="E588" s="99" t="s">
        <v>39</v>
      </c>
      <c r="F588" s="41">
        <f>F589</f>
        <v>240</v>
      </c>
      <c r="G588" s="41">
        <f t="shared" ref="G588:H589" si="146">G589</f>
        <v>0</v>
      </c>
      <c r="H588" s="41">
        <f t="shared" si="146"/>
        <v>0</v>
      </c>
    </row>
    <row r="589" spans="1:8" ht="51">
      <c r="A589" s="16" t="s">
        <v>102</v>
      </c>
      <c r="B589" s="16" t="s">
        <v>95</v>
      </c>
      <c r="C589" s="82" t="s">
        <v>611</v>
      </c>
      <c r="D589" s="21"/>
      <c r="E589" s="54" t="s">
        <v>610</v>
      </c>
      <c r="F589" s="39">
        <f>F590</f>
        <v>240</v>
      </c>
      <c r="G589" s="39">
        <f t="shared" si="146"/>
        <v>0</v>
      </c>
      <c r="H589" s="39">
        <f t="shared" si="146"/>
        <v>0</v>
      </c>
    </row>
    <row r="590" spans="1:8" ht="38.25">
      <c r="A590" s="16" t="s">
        <v>102</v>
      </c>
      <c r="B590" s="16" t="s">
        <v>95</v>
      </c>
      <c r="C590" s="82" t="s">
        <v>611</v>
      </c>
      <c r="D590" s="82" t="s">
        <v>214</v>
      </c>
      <c r="E590" s="98" t="s">
        <v>215</v>
      </c>
      <c r="F590" s="39">
        <v>240</v>
      </c>
      <c r="G590" s="39">
        <v>0</v>
      </c>
      <c r="H590" s="39">
        <v>0</v>
      </c>
    </row>
    <row r="591" spans="1:8" ht="15.75">
      <c r="A591" s="4" t="s">
        <v>111</v>
      </c>
      <c r="B591" s="3"/>
      <c r="C591" s="3"/>
      <c r="D591" s="3"/>
      <c r="E591" s="49" t="s">
        <v>112</v>
      </c>
      <c r="F591" s="96">
        <f>F592+F597+F610</f>
        <v>57195.600000000006</v>
      </c>
      <c r="G591" s="96">
        <f t="shared" ref="G591:H591" si="147">G592+G597+G610</f>
        <v>24787.399999999998</v>
      </c>
      <c r="H591" s="96">
        <f t="shared" si="147"/>
        <v>28190.6</v>
      </c>
    </row>
    <row r="592" spans="1:8" s="37" customFormat="1" ht="14.25">
      <c r="A592" s="35" t="s">
        <v>111</v>
      </c>
      <c r="B592" s="35" t="s">
        <v>89</v>
      </c>
      <c r="C592" s="35"/>
      <c r="D592" s="35"/>
      <c r="E592" s="45" t="s">
        <v>113</v>
      </c>
      <c r="F592" s="42">
        <f t="shared" ref="F592:H595" si="148">F593</f>
        <v>2338.3000000000002</v>
      </c>
      <c r="G592" s="42">
        <f t="shared" si="148"/>
        <v>1585.3</v>
      </c>
      <c r="H592" s="42">
        <f t="shared" si="148"/>
        <v>1585.3</v>
      </c>
    </row>
    <row r="593" spans="1:8" ht="90">
      <c r="A593" s="5" t="s">
        <v>111</v>
      </c>
      <c r="B593" s="5" t="s">
        <v>89</v>
      </c>
      <c r="C593" s="73" t="s">
        <v>36</v>
      </c>
      <c r="D593" s="3"/>
      <c r="E593" s="142" t="s">
        <v>629</v>
      </c>
      <c r="F593" s="96">
        <f t="shared" si="148"/>
        <v>2338.3000000000002</v>
      </c>
      <c r="G593" s="96">
        <f t="shared" si="148"/>
        <v>1585.3</v>
      </c>
      <c r="H593" s="96">
        <f t="shared" si="148"/>
        <v>1585.3</v>
      </c>
    </row>
    <row r="594" spans="1:8" ht="26.25">
      <c r="A594" s="16" t="s">
        <v>111</v>
      </c>
      <c r="B594" s="16" t="s">
        <v>89</v>
      </c>
      <c r="C594" s="52" t="s">
        <v>38</v>
      </c>
      <c r="D594" s="3"/>
      <c r="E594" s="46" t="s">
        <v>81</v>
      </c>
      <c r="F594" s="93">
        <f t="shared" si="148"/>
        <v>2338.3000000000002</v>
      </c>
      <c r="G594" s="93">
        <f t="shared" si="148"/>
        <v>1585.3</v>
      </c>
      <c r="H594" s="93">
        <f t="shared" si="148"/>
        <v>1585.3</v>
      </c>
    </row>
    <row r="595" spans="1:8" ht="26.25">
      <c r="A595" s="16" t="s">
        <v>111</v>
      </c>
      <c r="B595" s="16" t="s">
        <v>89</v>
      </c>
      <c r="C595" s="79">
        <v>1320225100</v>
      </c>
      <c r="D595" s="3"/>
      <c r="E595" s="99" t="s">
        <v>371</v>
      </c>
      <c r="F595" s="41">
        <f t="shared" si="148"/>
        <v>2338.3000000000002</v>
      </c>
      <c r="G595" s="41">
        <f t="shared" si="148"/>
        <v>1585.3</v>
      </c>
      <c r="H595" s="41">
        <f t="shared" si="148"/>
        <v>1585.3</v>
      </c>
    </row>
    <row r="596" spans="1:8" ht="25.5">
      <c r="A596" s="16" t="s">
        <v>111</v>
      </c>
      <c r="B596" s="16" t="s">
        <v>89</v>
      </c>
      <c r="C596" s="79">
        <v>1320225100</v>
      </c>
      <c r="D596" s="82" t="s">
        <v>284</v>
      </c>
      <c r="E596" s="98" t="s">
        <v>285</v>
      </c>
      <c r="F596" s="39">
        <f>1585.3+753</f>
        <v>2338.3000000000002</v>
      </c>
      <c r="G596" s="39">
        <v>1585.3</v>
      </c>
      <c r="H596" s="39">
        <v>1585.3</v>
      </c>
    </row>
    <row r="597" spans="1:8" s="37" customFormat="1" ht="14.25">
      <c r="A597" s="35" t="s">
        <v>111</v>
      </c>
      <c r="B597" s="35" t="s">
        <v>94</v>
      </c>
      <c r="C597" s="35"/>
      <c r="D597" s="35"/>
      <c r="E597" s="45" t="s">
        <v>117</v>
      </c>
      <c r="F597" s="42">
        <f>F598+F602+F606</f>
        <v>1890</v>
      </c>
      <c r="G597" s="42">
        <f t="shared" ref="G597:H597" si="149">G598+G602+G606</f>
        <v>1790</v>
      </c>
      <c r="H597" s="42">
        <f t="shared" si="149"/>
        <v>1790</v>
      </c>
    </row>
    <row r="598" spans="1:8" s="37" customFormat="1" ht="77.25">
      <c r="A598" s="5" t="s">
        <v>111</v>
      </c>
      <c r="B598" s="5" t="s">
        <v>94</v>
      </c>
      <c r="C598" s="21" t="s">
        <v>74</v>
      </c>
      <c r="D598" s="35"/>
      <c r="E598" s="64" t="s">
        <v>615</v>
      </c>
      <c r="F598" s="65">
        <f t="shared" ref="F598:H599" si="150">F599</f>
        <v>1152</v>
      </c>
      <c r="G598" s="65">
        <f t="shared" si="150"/>
        <v>1152</v>
      </c>
      <c r="H598" s="65">
        <f t="shared" si="150"/>
        <v>1152</v>
      </c>
    </row>
    <row r="599" spans="1:8" s="37" customFormat="1" ht="27" customHeight="1">
      <c r="A599" s="16" t="s">
        <v>111</v>
      </c>
      <c r="B599" s="16" t="s">
        <v>94</v>
      </c>
      <c r="C599" s="52" t="s">
        <v>443</v>
      </c>
      <c r="D599" s="82"/>
      <c r="E599" s="46" t="s">
        <v>442</v>
      </c>
      <c r="F599" s="58">
        <f t="shared" si="150"/>
        <v>1152</v>
      </c>
      <c r="G599" s="58">
        <f t="shared" si="150"/>
        <v>1152</v>
      </c>
      <c r="H599" s="58">
        <f t="shared" si="150"/>
        <v>1152</v>
      </c>
    </row>
    <row r="600" spans="1:8" s="37" customFormat="1" ht="103.5" customHeight="1">
      <c r="A600" s="16" t="s">
        <v>111</v>
      </c>
      <c r="B600" s="16" t="s">
        <v>94</v>
      </c>
      <c r="C600" s="80">
        <v>140210560</v>
      </c>
      <c r="D600" s="82"/>
      <c r="E600" s="98" t="s">
        <v>184</v>
      </c>
      <c r="F600" s="41">
        <f>F601</f>
        <v>1152</v>
      </c>
      <c r="G600" s="41">
        <f>G601</f>
        <v>1152</v>
      </c>
      <c r="H600" s="41">
        <f>H601</f>
        <v>1152</v>
      </c>
    </row>
    <row r="601" spans="1:8" s="37" customFormat="1" ht="25.5">
      <c r="A601" s="16" t="s">
        <v>111</v>
      </c>
      <c r="B601" s="16" t="s">
        <v>94</v>
      </c>
      <c r="C601" s="80">
        <v>140210560</v>
      </c>
      <c r="D601" s="82" t="s">
        <v>284</v>
      </c>
      <c r="E601" s="98" t="s">
        <v>285</v>
      </c>
      <c r="F601" s="39">
        <v>1152</v>
      </c>
      <c r="G601" s="39">
        <v>1152</v>
      </c>
      <c r="H601" s="39">
        <v>1152</v>
      </c>
    </row>
    <row r="602" spans="1:8" s="37" customFormat="1" ht="90">
      <c r="A602" s="5" t="s">
        <v>111</v>
      </c>
      <c r="B602" s="5" t="s">
        <v>94</v>
      </c>
      <c r="C602" s="73" t="s">
        <v>36</v>
      </c>
      <c r="D602" s="3"/>
      <c r="E602" s="142" t="s">
        <v>629</v>
      </c>
      <c r="F602" s="59">
        <f t="shared" ref="F602:H603" si="151">F603</f>
        <v>688</v>
      </c>
      <c r="G602" s="59">
        <f t="shared" si="151"/>
        <v>638</v>
      </c>
      <c r="H602" s="59">
        <f t="shared" si="151"/>
        <v>638</v>
      </c>
    </row>
    <row r="603" spans="1:8" s="37" customFormat="1" ht="25.5">
      <c r="A603" s="47" t="s">
        <v>111</v>
      </c>
      <c r="B603" s="47" t="s">
        <v>94</v>
      </c>
      <c r="C603" s="52" t="s">
        <v>38</v>
      </c>
      <c r="D603" s="16"/>
      <c r="E603" s="46" t="s">
        <v>81</v>
      </c>
      <c r="F603" s="93">
        <f>F604</f>
        <v>688</v>
      </c>
      <c r="G603" s="93">
        <f t="shared" si="151"/>
        <v>638</v>
      </c>
      <c r="H603" s="93">
        <f t="shared" si="151"/>
        <v>638</v>
      </c>
    </row>
    <row r="604" spans="1:8" s="37" customFormat="1" ht="63.75">
      <c r="A604" s="16" t="s">
        <v>111</v>
      </c>
      <c r="B604" s="16" t="s">
        <v>94</v>
      </c>
      <c r="C604" s="79">
        <v>1320127100</v>
      </c>
      <c r="D604" s="16"/>
      <c r="E604" s="98" t="s">
        <v>3</v>
      </c>
      <c r="F604" s="41">
        <f t="shared" ref="F604:H604" si="152">F605</f>
        <v>688</v>
      </c>
      <c r="G604" s="41">
        <f t="shared" si="152"/>
        <v>638</v>
      </c>
      <c r="H604" s="41">
        <f t="shared" si="152"/>
        <v>638</v>
      </c>
    </row>
    <row r="605" spans="1:8" s="37" customFormat="1" ht="76.5">
      <c r="A605" s="16" t="s">
        <v>111</v>
      </c>
      <c r="B605" s="16" t="s">
        <v>94</v>
      </c>
      <c r="C605" s="79">
        <v>1320127100</v>
      </c>
      <c r="D605" s="16" t="s">
        <v>19</v>
      </c>
      <c r="E605" s="99" t="s">
        <v>369</v>
      </c>
      <c r="F605" s="41">
        <v>688</v>
      </c>
      <c r="G605" s="41">
        <v>638</v>
      </c>
      <c r="H605" s="41">
        <v>638</v>
      </c>
    </row>
    <row r="606" spans="1:8" s="37" customFormat="1" ht="25.5">
      <c r="A606" s="5" t="s">
        <v>111</v>
      </c>
      <c r="B606" s="5" t="s">
        <v>94</v>
      </c>
      <c r="C606" s="83">
        <v>9900000000</v>
      </c>
      <c r="D606" s="5"/>
      <c r="E606" s="84" t="s">
        <v>145</v>
      </c>
      <c r="F606" s="62">
        <f>F607</f>
        <v>50</v>
      </c>
      <c r="G606" s="62">
        <f t="shared" ref="G606:H606" si="153">G607</f>
        <v>0</v>
      </c>
      <c r="H606" s="62">
        <f t="shared" si="153"/>
        <v>0</v>
      </c>
    </row>
    <row r="607" spans="1:8" s="37" customFormat="1" ht="14.25">
      <c r="A607" s="16" t="s">
        <v>111</v>
      </c>
      <c r="B607" s="16" t="s">
        <v>94</v>
      </c>
      <c r="C607" s="79">
        <v>9920000000</v>
      </c>
      <c r="D607" s="35"/>
      <c r="E607" s="126" t="s">
        <v>5</v>
      </c>
      <c r="F607" s="94">
        <f t="shared" ref="F607:H608" si="154">F608</f>
        <v>50</v>
      </c>
      <c r="G607" s="94">
        <f t="shared" si="154"/>
        <v>0</v>
      </c>
      <c r="H607" s="94">
        <f t="shared" si="154"/>
        <v>0</v>
      </c>
    </row>
    <row r="608" spans="1:8" s="37" customFormat="1" ht="25.5">
      <c r="A608" s="16" t="s">
        <v>111</v>
      </c>
      <c r="B608" s="16" t="s">
        <v>94</v>
      </c>
      <c r="C608" s="79">
        <v>9920026100</v>
      </c>
      <c r="D608" s="21"/>
      <c r="E608" s="99" t="s">
        <v>11</v>
      </c>
      <c r="F608" s="39">
        <f t="shared" si="154"/>
        <v>50</v>
      </c>
      <c r="G608" s="39">
        <f t="shared" si="154"/>
        <v>0</v>
      </c>
      <c r="H608" s="39">
        <f t="shared" si="154"/>
        <v>0</v>
      </c>
    </row>
    <row r="609" spans="1:8" s="37" customFormat="1" ht="14.25">
      <c r="A609" s="16" t="s">
        <v>111</v>
      </c>
      <c r="B609" s="16" t="s">
        <v>94</v>
      </c>
      <c r="C609" s="79">
        <v>9920026100</v>
      </c>
      <c r="D609" s="82" t="s">
        <v>82</v>
      </c>
      <c r="E609" s="98" t="s">
        <v>83</v>
      </c>
      <c r="F609" s="39">
        <v>50</v>
      </c>
      <c r="G609" s="39">
        <v>0</v>
      </c>
      <c r="H609" s="39">
        <v>0</v>
      </c>
    </row>
    <row r="610" spans="1:8" ht="14.25">
      <c r="A610" s="35" t="s">
        <v>111</v>
      </c>
      <c r="B610" s="35" t="s">
        <v>95</v>
      </c>
      <c r="C610" s="35"/>
      <c r="D610" s="38"/>
      <c r="E610" s="50" t="s">
        <v>13</v>
      </c>
      <c r="F610" s="42">
        <f t="shared" ref="F610:G610" si="155">F611+F616</f>
        <v>52967.3</v>
      </c>
      <c r="G610" s="42">
        <f t="shared" si="155"/>
        <v>21412.1</v>
      </c>
      <c r="H610" s="42">
        <f t="shared" ref="H610" si="156">H611+H616</f>
        <v>24815.3</v>
      </c>
    </row>
    <row r="611" spans="1:8" ht="76.5">
      <c r="A611" s="16" t="s">
        <v>111</v>
      </c>
      <c r="B611" s="16" t="s">
        <v>95</v>
      </c>
      <c r="C611" s="21" t="s">
        <v>74</v>
      </c>
      <c r="D611" s="35"/>
      <c r="E611" s="64" t="s">
        <v>615</v>
      </c>
      <c r="F611" s="96">
        <f t="shared" ref="F611:H612" si="157">F612</f>
        <v>13068.1</v>
      </c>
      <c r="G611" s="96">
        <f t="shared" si="157"/>
        <v>13068.1</v>
      </c>
      <c r="H611" s="96">
        <f t="shared" si="157"/>
        <v>13068.1</v>
      </c>
    </row>
    <row r="612" spans="1:8" ht="25.5">
      <c r="A612" s="16" t="s">
        <v>111</v>
      </c>
      <c r="B612" s="16" t="s">
        <v>95</v>
      </c>
      <c r="C612" s="52" t="s">
        <v>75</v>
      </c>
      <c r="D612" s="35"/>
      <c r="E612" s="46" t="s">
        <v>402</v>
      </c>
      <c r="F612" s="93">
        <f t="shared" si="157"/>
        <v>13068.1</v>
      </c>
      <c r="G612" s="93">
        <f t="shared" si="157"/>
        <v>13068.1</v>
      </c>
      <c r="H612" s="93">
        <f t="shared" si="157"/>
        <v>13068.1</v>
      </c>
    </row>
    <row r="613" spans="1:8" ht="76.5">
      <c r="A613" s="16" t="s">
        <v>111</v>
      </c>
      <c r="B613" s="16" t="s">
        <v>95</v>
      </c>
      <c r="C613" s="57" t="s">
        <v>401</v>
      </c>
      <c r="D613" s="21"/>
      <c r="E613" s="98" t="s">
        <v>400</v>
      </c>
      <c r="F613" s="94">
        <f>F614+F615</f>
        <v>13068.1</v>
      </c>
      <c r="G613" s="94">
        <f>G614+G615</f>
        <v>13068.1</v>
      </c>
      <c r="H613" s="94">
        <f>H614+H615</f>
        <v>13068.1</v>
      </c>
    </row>
    <row r="614" spans="1:8" ht="38.25">
      <c r="A614" s="16" t="s">
        <v>111</v>
      </c>
      <c r="B614" s="16" t="s">
        <v>95</v>
      </c>
      <c r="C614" s="57" t="s">
        <v>401</v>
      </c>
      <c r="D614" s="82" t="s">
        <v>214</v>
      </c>
      <c r="E614" s="98" t="s">
        <v>215</v>
      </c>
      <c r="F614" s="94">
        <v>330</v>
      </c>
      <c r="G614" s="94">
        <v>330</v>
      </c>
      <c r="H614" s="94">
        <v>330</v>
      </c>
    </row>
    <row r="615" spans="1:8" ht="38.25">
      <c r="A615" s="16" t="s">
        <v>111</v>
      </c>
      <c r="B615" s="16" t="s">
        <v>95</v>
      </c>
      <c r="C615" s="57" t="s">
        <v>401</v>
      </c>
      <c r="D615" s="82" t="s">
        <v>265</v>
      </c>
      <c r="E615" s="98" t="s">
        <v>254</v>
      </c>
      <c r="F615" s="94">
        <v>12738.1</v>
      </c>
      <c r="G615" s="94">
        <v>12738.1</v>
      </c>
      <c r="H615" s="94">
        <v>12738.1</v>
      </c>
    </row>
    <row r="616" spans="1:8" ht="90">
      <c r="A616" s="5" t="s">
        <v>111</v>
      </c>
      <c r="B616" s="5" t="s">
        <v>95</v>
      </c>
      <c r="C616" s="73" t="s">
        <v>36</v>
      </c>
      <c r="D616" s="3"/>
      <c r="E616" s="142" t="s">
        <v>629</v>
      </c>
      <c r="F616" s="59">
        <f t="shared" ref="F616:H616" si="158">F617</f>
        <v>39899.200000000004</v>
      </c>
      <c r="G616" s="59">
        <f t="shared" si="158"/>
        <v>8344</v>
      </c>
      <c r="H616" s="59">
        <f t="shared" si="158"/>
        <v>11747.199999999999</v>
      </c>
    </row>
    <row r="617" spans="1:8" ht="25.5">
      <c r="A617" s="47" t="s">
        <v>111</v>
      </c>
      <c r="B617" s="47" t="s">
        <v>95</v>
      </c>
      <c r="C617" s="52" t="s">
        <v>37</v>
      </c>
      <c r="D617" s="35"/>
      <c r="E617" s="46" t="s">
        <v>84</v>
      </c>
      <c r="F617" s="93">
        <f>F618+F620+F622+F624+F626</f>
        <v>39899.200000000004</v>
      </c>
      <c r="G617" s="93">
        <f t="shared" ref="G617:H617" si="159">G618+G620+G622+G624+G626</f>
        <v>8344</v>
      </c>
      <c r="H617" s="93">
        <f t="shared" si="159"/>
        <v>11747.199999999999</v>
      </c>
    </row>
    <row r="618" spans="1:8" ht="39">
      <c r="A618" s="16" t="s">
        <v>111</v>
      </c>
      <c r="B618" s="16" t="s">
        <v>95</v>
      </c>
      <c r="C618" s="21" t="s">
        <v>311</v>
      </c>
      <c r="D618" s="3"/>
      <c r="E618" s="128" t="s">
        <v>204</v>
      </c>
      <c r="F618" s="41">
        <f t="shared" ref="F618:H618" si="160">F619</f>
        <v>686.2</v>
      </c>
      <c r="G618" s="41">
        <f t="shared" si="160"/>
        <v>686.2</v>
      </c>
      <c r="H618" s="41">
        <f t="shared" si="160"/>
        <v>857.8</v>
      </c>
    </row>
    <row r="619" spans="1:8">
      <c r="A619" s="16" t="s">
        <v>111</v>
      </c>
      <c r="B619" s="16" t="s">
        <v>95</v>
      </c>
      <c r="C619" s="21" t="s">
        <v>311</v>
      </c>
      <c r="D619" s="82" t="s">
        <v>253</v>
      </c>
      <c r="E619" s="102" t="s">
        <v>252</v>
      </c>
      <c r="F619" s="41">
        <v>686.2</v>
      </c>
      <c r="G619" s="41">
        <v>686.2</v>
      </c>
      <c r="H619" s="41">
        <v>857.8</v>
      </c>
    </row>
    <row r="620" spans="1:8" ht="38.25">
      <c r="A620" s="16" t="s">
        <v>111</v>
      </c>
      <c r="B620" s="16" t="s">
        <v>95</v>
      </c>
      <c r="C620" s="21" t="s">
        <v>723</v>
      </c>
      <c r="D620" s="82"/>
      <c r="E620" s="124" t="s">
        <v>724</v>
      </c>
      <c r="F620" s="41">
        <f>F621</f>
        <v>2744.9</v>
      </c>
      <c r="G620" s="41">
        <f t="shared" ref="G620:H620" si="161">G621</f>
        <v>0</v>
      </c>
      <c r="H620" s="41">
        <f t="shared" si="161"/>
        <v>0</v>
      </c>
    </row>
    <row r="621" spans="1:8">
      <c r="A621" s="16" t="s">
        <v>111</v>
      </c>
      <c r="B621" s="16" t="s">
        <v>95</v>
      </c>
      <c r="C621" s="21" t="s">
        <v>723</v>
      </c>
      <c r="D621" s="82" t="s">
        <v>253</v>
      </c>
      <c r="E621" s="102" t="s">
        <v>252</v>
      </c>
      <c r="F621" s="41">
        <v>2744.9</v>
      </c>
      <c r="G621" s="41">
        <v>0</v>
      </c>
      <c r="H621" s="41">
        <v>0</v>
      </c>
    </row>
    <row r="622" spans="1:8" ht="51">
      <c r="A622" s="16" t="s">
        <v>111</v>
      </c>
      <c r="B622" s="16" t="s">
        <v>95</v>
      </c>
      <c r="C622" s="79">
        <v>1310210820</v>
      </c>
      <c r="D622" s="16"/>
      <c r="E622" s="98" t="s">
        <v>169</v>
      </c>
      <c r="F622" s="39">
        <f>F623</f>
        <v>14410.7</v>
      </c>
      <c r="G622" s="39">
        <f>G623</f>
        <v>0</v>
      </c>
      <c r="H622" s="39">
        <f>H623</f>
        <v>0</v>
      </c>
    </row>
    <row r="623" spans="1:8">
      <c r="A623" s="16" t="s">
        <v>111</v>
      </c>
      <c r="B623" s="16" t="s">
        <v>95</v>
      </c>
      <c r="C623" s="79">
        <v>1310210820</v>
      </c>
      <c r="D623" s="82" t="s">
        <v>253</v>
      </c>
      <c r="E623" s="102" t="s">
        <v>252</v>
      </c>
      <c r="F623" s="39">
        <f>4803.6+9607.1</f>
        <v>14410.7</v>
      </c>
      <c r="G623" s="39">
        <v>0</v>
      </c>
      <c r="H623" s="39">
        <v>0</v>
      </c>
    </row>
    <row r="624" spans="1:8" ht="38.25">
      <c r="A624" s="16" t="s">
        <v>111</v>
      </c>
      <c r="B624" s="16" t="s">
        <v>95</v>
      </c>
      <c r="C624" s="79" t="s">
        <v>344</v>
      </c>
      <c r="D624" s="16"/>
      <c r="E624" s="98" t="s">
        <v>318</v>
      </c>
      <c r="F624" s="39">
        <f>F625</f>
        <v>8005.9</v>
      </c>
      <c r="G624" s="39">
        <f>G625</f>
        <v>4803.6000000000004</v>
      </c>
      <c r="H624" s="39">
        <f>H625</f>
        <v>8005.9</v>
      </c>
    </row>
    <row r="625" spans="1:8">
      <c r="A625" s="16" t="s">
        <v>111</v>
      </c>
      <c r="B625" s="16" t="s">
        <v>95</v>
      </c>
      <c r="C625" s="79" t="s">
        <v>344</v>
      </c>
      <c r="D625" s="82" t="s">
        <v>253</v>
      </c>
      <c r="E625" s="102" t="s">
        <v>252</v>
      </c>
      <c r="F625" s="39">
        <f>17613-9607.1</f>
        <v>8005.9</v>
      </c>
      <c r="G625" s="39">
        <v>4803.6000000000004</v>
      </c>
      <c r="H625" s="39">
        <v>8005.9</v>
      </c>
    </row>
    <row r="626" spans="1:8" ht="51">
      <c r="A626" s="16" t="s">
        <v>111</v>
      </c>
      <c r="B626" s="16" t="s">
        <v>95</v>
      </c>
      <c r="C626" s="74" t="s">
        <v>338</v>
      </c>
      <c r="D626" s="16"/>
      <c r="E626" s="98" t="s">
        <v>325</v>
      </c>
      <c r="F626" s="94">
        <f t="shared" ref="F626:H626" si="162">F627</f>
        <v>14051.5</v>
      </c>
      <c r="G626" s="94">
        <f t="shared" si="162"/>
        <v>2854.2000000000003</v>
      </c>
      <c r="H626" s="94">
        <f t="shared" si="162"/>
        <v>2883.5</v>
      </c>
    </row>
    <row r="627" spans="1:8" ht="38.25">
      <c r="A627" s="16" t="s">
        <v>111</v>
      </c>
      <c r="B627" s="16" t="s">
        <v>95</v>
      </c>
      <c r="C627" s="74" t="s">
        <v>338</v>
      </c>
      <c r="D627" s="82" t="s">
        <v>265</v>
      </c>
      <c r="E627" s="98" t="s">
        <v>254</v>
      </c>
      <c r="F627" s="94">
        <f>2810.3+11241.2</f>
        <v>14051.5</v>
      </c>
      <c r="G627" s="94">
        <f>2810.3+43.9</f>
        <v>2854.2000000000003</v>
      </c>
      <c r="H627" s="94">
        <v>2883.5</v>
      </c>
    </row>
    <row r="628" spans="1:8" ht="15.75">
      <c r="A628" s="4" t="s">
        <v>103</v>
      </c>
      <c r="B628" s="3"/>
      <c r="C628" s="3"/>
      <c r="D628" s="3"/>
      <c r="E628" s="49" t="s">
        <v>124</v>
      </c>
      <c r="F628" s="92">
        <f t="shared" ref="F628:H630" si="163">F629</f>
        <v>5986</v>
      </c>
      <c r="G628" s="92">
        <f t="shared" si="163"/>
        <v>496.29999999999995</v>
      </c>
      <c r="H628" s="92">
        <f t="shared" si="163"/>
        <v>496.29999999999995</v>
      </c>
    </row>
    <row r="629" spans="1:8" s="37" customFormat="1" ht="14.25">
      <c r="A629" s="35" t="s">
        <v>103</v>
      </c>
      <c r="B629" s="35" t="s">
        <v>90</v>
      </c>
      <c r="C629" s="35"/>
      <c r="D629" s="35"/>
      <c r="E629" s="46" t="s">
        <v>6</v>
      </c>
      <c r="F629" s="42">
        <f t="shared" si="163"/>
        <v>5986</v>
      </c>
      <c r="G629" s="42">
        <f t="shared" si="163"/>
        <v>496.29999999999995</v>
      </c>
      <c r="H629" s="42">
        <f t="shared" si="163"/>
        <v>496.29999999999995</v>
      </c>
    </row>
    <row r="630" spans="1:8" s="37" customFormat="1" ht="89.25">
      <c r="A630" s="16" t="s">
        <v>103</v>
      </c>
      <c r="B630" s="16" t="s">
        <v>90</v>
      </c>
      <c r="C630" s="73" t="s">
        <v>60</v>
      </c>
      <c r="D630" s="35"/>
      <c r="E630" s="53" t="s">
        <v>616</v>
      </c>
      <c r="F630" s="62">
        <f t="shared" si="163"/>
        <v>5986</v>
      </c>
      <c r="G630" s="62">
        <f t="shared" si="163"/>
        <v>496.29999999999995</v>
      </c>
      <c r="H630" s="62">
        <f t="shared" si="163"/>
        <v>496.29999999999995</v>
      </c>
    </row>
    <row r="631" spans="1:8" s="37" customFormat="1" ht="38.25">
      <c r="A631" s="47" t="s">
        <v>103</v>
      </c>
      <c r="B631" s="47" t="s">
        <v>90</v>
      </c>
      <c r="C631" s="52" t="s">
        <v>44</v>
      </c>
      <c r="D631" s="35"/>
      <c r="E631" s="48" t="s">
        <v>203</v>
      </c>
      <c r="F631" s="58">
        <f>F632+F635+F638+F640+F642</f>
        <v>5986</v>
      </c>
      <c r="G631" s="58">
        <f>G632+G635+G638+G640</f>
        <v>496.29999999999995</v>
      </c>
      <c r="H631" s="58">
        <f>H632+H635+H638+H640</f>
        <v>496.29999999999995</v>
      </c>
    </row>
    <row r="632" spans="1:8" s="37" customFormat="1" ht="89.25">
      <c r="A632" s="16" t="s">
        <v>103</v>
      </c>
      <c r="B632" s="16" t="s">
        <v>90</v>
      </c>
      <c r="C632" s="21" t="s">
        <v>468</v>
      </c>
      <c r="D632" s="21"/>
      <c r="E632" s="99" t="s">
        <v>178</v>
      </c>
      <c r="F632" s="39">
        <f>SUM(F633:F634)</f>
        <v>543.70000000000005</v>
      </c>
      <c r="G632" s="39">
        <f t="shared" ref="G632:H632" si="164">SUM(G633:G634)</f>
        <v>415.7</v>
      </c>
      <c r="H632" s="39">
        <f t="shared" si="164"/>
        <v>415.7</v>
      </c>
    </row>
    <row r="633" spans="1:8" s="37" customFormat="1" ht="25.5">
      <c r="A633" s="16" t="s">
        <v>103</v>
      </c>
      <c r="B633" s="16" t="s">
        <v>90</v>
      </c>
      <c r="C633" s="21" t="s">
        <v>468</v>
      </c>
      <c r="D633" s="82" t="s">
        <v>65</v>
      </c>
      <c r="E633" s="55" t="s">
        <v>131</v>
      </c>
      <c r="F633" s="39">
        <v>130</v>
      </c>
      <c r="G633" s="39">
        <v>0</v>
      </c>
      <c r="H633" s="39">
        <v>0</v>
      </c>
    </row>
    <row r="634" spans="1:8" s="37" customFormat="1" ht="38.25">
      <c r="A634" s="16" t="s">
        <v>103</v>
      </c>
      <c r="B634" s="16" t="s">
        <v>90</v>
      </c>
      <c r="C634" s="21" t="s">
        <v>468</v>
      </c>
      <c r="D634" s="82" t="s">
        <v>214</v>
      </c>
      <c r="E634" s="98" t="s">
        <v>215</v>
      </c>
      <c r="F634" s="39">
        <f>543.7-130</f>
        <v>413.70000000000005</v>
      </c>
      <c r="G634" s="39">
        <v>415.7</v>
      </c>
      <c r="H634" s="39">
        <v>415.7</v>
      </c>
    </row>
    <row r="635" spans="1:8" s="37" customFormat="1" ht="63.75">
      <c r="A635" s="16" t="s">
        <v>103</v>
      </c>
      <c r="B635" s="16" t="s">
        <v>90</v>
      </c>
      <c r="C635" s="21" t="s">
        <v>469</v>
      </c>
      <c r="D635" s="21"/>
      <c r="E635" s="99" t="s">
        <v>62</v>
      </c>
      <c r="F635" s="39">
        <f>SUM(F636:F637)</f>
        <v>90.6</v>
      </c>
      <c r="G635" s="39">
        <f>SUM(G636:G637)</f>
        <v>80.599999999999994</v>
      </c>
      <c r="H635" s="39">
        <f>SUM(H636:H637)</f>
        <v>80.599999999999994</v>
      </c>
    </row>
    <row r="636" spans="1:8" s="37" customFormat="1" ht="25.5">
      <c r="A636" s="16" t="s">
        <v>103</v>
      </c>
      <c r="B636" s="16" t="s">
        <v>90</v>
      </c>
      <c r="C636" s="21" t="s">
        <v>469</v>
      </c>
      <c r="D636" s="82" t="s">
        <v>65</v>
      </c>
      <c r="E636" s="55" t="s">
        <v>131</v>
      </c>
      <c r="F636" s="39">
        <v>39.6</v>
      </c>
      <c r="G636" s="39">
        <v>39.6</v>
      </c>
      <c r="H636" s="39">
        <v>39.6</v>
      </c>
    </row>
    <row r="637" spans="1:8" ht="38.25">
      <c r="A637" s="16" t="s">
        <v>103</v>
      </c>
      <c r="B637" s="16" t="s">
        <v>90</v>
      </c>
      <c r="C637" s="21" t="s">
        <v>469</v>
      </c>
      <c r="D637" s="82" t="s">
        <v>214</v>
      </c>
      <c r="E637" s="98" t="s">
        <v>215</v>
      </c>
      <c r="F637" s="39">
        <v>51</v>
      </c>
      <c r="G637" s="39">
        <v>41</v>
      </c>
      <c r="H637" s="39">
        <v>41</v>
      </c>
    </row>
    <row r="638" spans="1:8" ht="27" customHeight="1">
      <c r="A638" s="16" t="s">
        <v>103</v>
      </c>
      <c r="B638" s="16" t="s">
        <v>90</v>
      </c>
      <c r="C638" s="21" t="s">
        <v>729</v>
      </c>
      <c r="D638" s="82"/>
      <c r="E638" s="98" t="s">
        <v>728</v>
      </c>
      <c r="F638" s="39">
        <f>F639</f>
        <v>5101.7</v>
      </c>
      <c r="G638" s="39">
        <f t="shared" ref="G638:H638" si="165">G639</f>
        <v>0</v>
      </c>
      <c r="H638" s="39">
        <f t="shared" si="165"/>
        <v>0</v>
      </c>
    </row>
    <row r="639" spans="1:8" ht="38.25">
      <c r="A639" s="16" t="s">
        <v>103</v>
      </c>
      <c r="B639" s="16" t="s">
        <v>90</v>
      </c>
      <c r="C639" s="21" t="s">
        <v>729</v>
      </c>
      <c r="D639" s="82" t="s">
        <v>214</v>
      </c>
      <c r="E639" s="98" t="s">
        <v>215</v>
      </c>
      <c r="F639" s="39">
        <v>5101.7</v>
      </c>
      <c r="G639" s="39">
        <v>0</v>
      </c>
      <c r="H639" s="39">
        <v>0</v>
      </c>
    </row>
    <row r="640" spans="1:8" ht="51">
      <c r="A640" s="16" t="s">
        <v>103</v>
      </c>
      <c r="B640" s="16" t="s">
        <v>90</v>
      </c>
      <c r="C640" s="21" t="s">
        <v>685</v>
      </c>
      <c r="D640" s="82"/>
      <c r="E640" s="98" t="s">
        <v>686</v>
      </c>
      <c r="F640" s="39">
        <f t="shared" ref="F640:H640" si="166">F641</f>
        <v>50</v>
      </c>
      <c r="G640" s="39">
        <f t="shared" si="166"/>
        <v>0</v>
      </c>
      <c r="H640" s="39">
        <f t="shared" si="166"/>
        <v>0</v>
      </c>
    </row>
    <row r="641" spans="1:8" ht="38.25">
      <c r="A641" s="16" t="s">
        <v>103</v>
      </c>
      <c r="B641" s="16" t="s">
        <v>90</v>
      </c>
      <c r="C641" s="21" t="s">
        <v>685</v>
      </c>
      <c r="D641" s="82" t="s">
        <v>214</v>
      </c>
      <c r="E641" s="98" t="s">
        <v>215</v>
      </c>
      <c r="F641" s="39">
        <v>50</v>
      </c>
      <c r="G641" s="39">
        <v>0</v>
      </c>
      <c r="H641" s="39">
        <v>0</v>
      </c>
    </row>
    <row r="642" spans="1:8" ht="51">
      <c r="A642" s="16" t="s">
        <v>103</v>
      </c>
      <c r="B642" s="16" t="s">
        <v>90</v>
      </c>
      <c r="C642" s="21" t="s">
        <v>741</v>
      </c>
      <c r="D642" s="82"/>
      <c r="E642" s="98" t="s">
        <v>742</v>
      </c>
      <c r="F642" s="39">
        <f>F643</f>
        <v>200</v>
      </c>
      <c r="G642" s="39">
        <f t="shared" ref="G642:H642" si="167">G643</f>
        <v>0</v>
      </c>
      <c r="H642" s="39">
        <f t="shared" si="167"/>
        <v>0</v>
      </c>
    </row>
    <row r="643" spans="1:8" ht="38.25">
      <c r="A643" s="16" t="s">
        <v>103</v>
      </c>
      <c r="B643" s="16" t="s">
        <v>90</v>
      </c>
      <c r="C643" s="21" t="s">
        <v>741</v>
      </c>
      <c r="D643" s="82" t="s">
        <v>214</v>
      </c>
      <c r="E643" s="98" t="s">
        <v>215</v>
      </c>
      <c r="F643" s="39">
        <v>200</v>
      </c>
      <c r="G643" s="39">
        <v>0</v>
      </c>
      <c r="H643" s="39">
        <v>0</v>
      </c>
    </row>
    <row r="644" spans="1:8" ht="30">
      <c r="A644" s="4" t="s">
        <v>123</v>
      </c>
      <c r="B644" s="3"/>
      <c r="C644" s="3"/>
      <c r="D644" s="3"/>
      <c r="E644" s="49" t="s">
        <v>8</v>
      </c>
      <c r="F644" s="92">
        <f t="shared" ref="F644:H646" si="168">F645</f>
        <v>3836.5</v>
      </c>
      <c r="G644" s="92">
        <f t="shared" si="168"/>
        <v>3536.5</v>
      </c>
      <c r="H644" s="92">
        <f t="shared" si="168"/>
        <v>3536.5</v>
      </c>
    </row>
    <row r="645" spans="1:8" ht="28.5">
      <c r="A645" s="35" t="s">
        <v>123</v>
      </c>
      <c r="B645" s="35" t="s">
        <v>95</v>
      </c>
      <c r="C645" s="35"/>
      <c r="D645" s="35"/>
      <c r="E645" s="50" t="s">
        <v>14</v>
      </c>
      <c r="F645" s="40">
        <f t="shared" si="168"/>
        <v>3836.5</v>
      </c>
      <c r="G645" s="40">
        <f t="shared" si="168"/>
        <v>3536.5</v>
      </c>
      <c r="H645" s="40">
        <f t="shared" si="168"/>
        <v>3536.5</v>
      </c>
    </row>
    <row r="646" spans="1:8" s="20" customFormat="1" ht="90">
      <c r="A646" s="16" t="s">
        <v>123</v>
      </c>
      <c r="B646" s="16" t="s">
        <v>95</v>
      </c>
      <c r="C646" s="74">
        <v>400000000</v>
      </c>
      <c r="D646" s="30"/>
      <c r="E646" s="142" t="s">
        <v>619</v>
      </c>
      <c r="F646" s="96">
        <f t="shared" si="168"/>
        <v>3836.5</v>
      </c>
      <c r="G646" s="96">
        <f t="shared" si="168"/>
        <v>3536.5</v>
      </c>
      <c r="H646" s="96">
        <f t="shared" si="168"/>
        <v>3536.5</v>
      </c>
    </row>
    <row r="647" spans="1:8" s="20" customFormat="1" ht="51.75">
      <c r="A647" s="16" t="s">
        <v>123</v>
      </c>
      <c r="B647" s="16" t="s">
        <v>95</v>
      </c>
      <c r="C647" s="75">
        <v>420000000</v>
      </c>
      <c r="D647" s="30"/>
      <c r="E647" s="46" t="s">
        <v>167</v>
      </c>
      <c r="F647" s="93">
        <f>F648+F650+F652+F654+F656+F658</f>
        <v>3836.5</v>
      </c>
      <c r="G647" s="93">
        <f t="shared" ref="G647:H647" si="169">G648+G650+G652+G654+G656+G658</f>
        <v>3536.5</v>
      </c>
      <c r="H647" s="93">
        <f t="shared" si="169"/>
        <v>3536.5</v>
      </c>
    </row>
    <row r="648" spans="1:8" s="20" customFormat="1" ht="51">
      <c r="A648" s="16" t="s">
        <v>123</v>
      </c>
      <c r="B648" s="16" t="s">
        <v>95</v>
      </c>
      <c r="C648" s="74" t="s">
        <v>494</v>
      </c>
      <c r="D648" s="16"/>
      <c r="E648" s="98" t="s">
        <v>361</v>
      </c>
      <c r="F648" s="41">
        <f>F649</f>
        <v>600</v>
      </c>
      <c r="G648" s="41">
        <f t="shared" ref="G648:H648" si="170">G649</f>
        <v>300</v>
      </c>
      <c r="H648" s="41">
        <f t="shared" si="170"/>
        <v>300</v>
      </c>
    </row>
    <row r="649" spans="1:8" s="20" customFormat="1" ht="77.25">
      <c r="A649" s="16" t="s">
        <v>123</v>
      </c>
      <c r="B649" s="16" t="s">
        <v>95</v>
      </c>
      <c r="C649" s="74" t="s">
        <v>494</v>
      </c>
      <c r="D649" s="16" t="s">
        <v>19</v>
      </c>
      <c r="E649" s="99" t="s">
        <v>369</v>
      </c>
      <c r="F649" s="41">
        <v>600</v>
      </c>
      <c r="G649" s="41">
        <v>300</v>
      </c>
      <c r="H649" s="41">
        <v>300</v>
      </c>
    </row>
    <row r="650" spans="1:8" s="20" customFormat="1" ht="75.75" customHeight="1">
      <c r="A650" s="16" t="s">
        <v>123</v>
      </c>
      <c r="B650" s="16" t="s">
        <v>95</v>
      </c>
      <c r="C650" s="74">
        <v>420123230</v>
      </c>
      <c r="D650" s="16"/>
      <c r="E650" s="99" t="s">
        <v>495</v>
      </c>
      <c r="F650" s="41">
        <f>F651</f>
        <v>1200</v>
      </c>
      <c r="G650" s="41">
        <f t="shared" ref="G650:H650" si="171">G651</f>
        <v>1300</v>
      </c>
      <c r="H650" s="41">
        <f t="shared" si="171"/>
        <v>1300</v>
      </c>
    </row>
    <row r="651" spans="1:8" s="20" customFormat="1" ht="38.25">
      <c r="A651" s="16" t="s">
        <v>123</v>
      </c>
      <c r="B651" s="16" t="s">
        <v>95</v>
      </c>
      <c r="C651" s="74">
        <v>420123230</v>
      </c>
      <c r="D651" s="82" t="s">
        <v>214</v>
      </c>
      <c r="E651" s="98" t="s">
        <v>215</v>
      </c>
      <c r="F651" s="41">
        <v>1200</v>
      </c>
      <c r="G651" s="41">
        <v>1300</v>
      </c>
      <c r="H651" s="41">
        <v>1300</v>
      </c>
    </row>
    <row r="652" spans="1:8" s="20" customFormat="1" ht="39">
      <c r="A652" s="16" t="s">
        <v>123</v>
      </c>
      <c r="B652" s="16" t="s">
        <v>95</v>
      </c>
      <c r="C652" s="74">
        <v>420110320</v>
      </c>
      <c r="D652" s="1"/>
      <c r="E652" s="135" t="s">
        <v>496</v>
      </c>
      <c r="F652" s="41">
        <f>F653</f>
        <v>924.4</v>
      </c>
      <c r="G652" s="41">
        <f t="shared" ref="G652:H652" si="172">G653</f>
        <v>924.4</v>
      </c>
      <c r="H652" s="41">
        <f t="shared" si="172"/>
        <v>924.4</v>
      </c>
    </row>
    <row r="653" spans="1:8" s="20" customFormat="1" ht="77.25">
      <c r="A653" s="16" t="s">
        <v>123</v>
      </c>
      <c r="B653" s="16" t="s">
        <v>95</v>
      </c>
      <c r="C653" s="74">
        <v>420110320</v>
      </c>
      <c r="D653" s="16" t="s">
        <v>19</v>
      </c>
      <c r="E653" s="99" t="s">
        <v>369</v>
      </c>
      <c r="F653" s="41">
        <f>895.5+28.9</f>
        <v>924.4</v>
      </c>
      <c r="G653" s="41">
        <f t="shared" ref="G653:H653" si="173">895.5+28.9</f>
        <v>924.4</v>
      </c>
      <c r="H653" s="41">
        <f t="shared" si="173"/>
        <v>924.4</v>
      </c>
    </row>
    <row r="654" spans="1:8" s="20" customFormat="1" ht="42" customHeight="1">
      <c r="A654" s="16" t="s">
        <v>123</v>
      </c>
      <c r="B654" s="16" t="s">
        <v>95</v>
      </c>
      <c r="C654" s="74" t="s">
        <v>498</v>
      </c>
      <c r="D654" s="16"/>
      <c r="E654" s="99" t="s">
        <v>499</v>
      </c>
      <c r="F654" s="41">
        <f>F655</f>
        <v>100</v>
      </c>
      <c r="G654" s="41">
        <f t="shared" ref="G654:H654" si="174">G655</f>
        <v>0</v>
      </c>
      <c r="H654" s="41">
        <f t="shared" si="174"/>
        <v>0</v>
      </c>
    </row>
    <row r="655" spans="1:8" s="20" customFormat="1" ht="77.25">
      <c r="A655" s="16" t="s">
        <v>123</v>
      </c>
      <c r="B655" s="16" t="s">
        <v>95</v>
      </c>
      <c r="C655" s="74" t="s">
        <v>498</v>
      </c>
      <c r="D655" s="16" t="s">
        <v>19</v>
      </c>
      <c r="E655" s="99" t="s">
        <v>369</v>
      </c>
      <c r="F655" s="41">
        <v>100</v>
      </c>
      <c r="G655" s="41">
        <v>0</v>
      </c>
      <c r="H655" s="41">
        <v>0</v>
      </c>
    </row>
    <row r="656" spans="1:8" s="20" customFormat="1" ht="89.25">
      <c r="A656" s="16" t="s">
        <v>123</v>
      </c>
      <c r="B656" s="16" t="s">
        <v>95</v>
      </c>
      <c r="C656" s="74">
        <v>420223235</v>
      </c>
      <c r="D656" s="30"/>
      <c r="E656" s="98" t="s">
        <v>171</v>
      </c>
      <c r="F656" s="41">
        <f>F657</f>
        <v>575.29999999999995</v>
      </c>
      <c r="G656" s="41">
        <f>G657</f>
        <v>575.29999999999995</v>
      </c>
      <c r="H656" s="41">
        <f>H657</f>
        <v>575.29999999999995</v>
      </c>
    </row>
    <row r="657" spans="1:8" s="20" customFormat="1" ht="38.25">
      <c r="A657" s="16" t="s">
        <v>123</v>
      </c>
      <c r="B657" s="16" t="s">
        <v>95</v>
      </c>
      <c r="C657" s="74">
        <v>420223235</v>
      </c>
      <c r="D657" s="82" t="s">
        <v>214</v>
      </c>
      <c r="E657" s="98" t="s">
        <v>215</v>
      </c>
      <c r="F657" s="41">
        <v>575.29999999999995</v>
      </c>
      <c r="G657" s="41">
        <v>575.29999999999995</v>
      </c>
      <c r="H657" s="41">
        <v>575.29999999999995</v>
      </c>
    </row>
    <row r="658" spans="1:8" ht="81.75" customHeight="1">
      <c r="A658" s="16" t="s">
        <v>123</v>
      </c>
      <c r="B658" s="16" t="s">
        <v>95</v>
      </c>
      <c r="C658" s="74">
        <v>420223240</v>
      </c>
      <c r="D658" s="82"/>
      <c r="E658" s="98" t="s">
        <v>207</v>
      </c>
      <c r="F658" s="41">
        <f>F659</f>
        <v>436.8</v>
      </c>
      <c r="G658" s="41">
        <f t="shared" ref="G658:H658" si="175">G659</f>
        <v>436.8</v>
      </c>
      <c r="H658" s="41">
        <f t="shared" si="175"/>
        <v>436.8</v>
      </c>
    </row>
    <row r="659" spans="1:8" ht="38.25">
      <c r="A659" s="16" t="s">
        <v>123</v>
      </c>
      <c r="B659" s="16" t="s">
        <v>95</v>
      </c>
      <c r="C659" s="74">
        <v>420223240</v>
      </c>
      <c r="D659" s="82" t="s">
        <v>214</v>
      </c>
      <c r="E659" s="98" t="s">
        <v>215</v>
      </c>
      <c r="F659" s="41">
        <v>436.8</v>
      </c>
      <c r="G659" s="41">
        <v>436.8</v>
      </c>
      <c r="H659" s="41">
        <v>436.8</v>
      </c>
    </row>
    <row r="660" spans="1:8" ht="47.25">
      <c r="A660" s="4" t="s">
        <v>9</v>
      </c>
      <c r="B660" s="5"/>
      <c r="C660" s="1"/>
      <c r="D660" s="1"/>
      <c r="E660" s="10" t="s">
        <v>652</v>
      </c>
      <c r="F660" s="96">
        <f>F661</f>
        <v>25</v>
      </c>
      <c r="G660" s="96">
        <f t="shared" ref="G660:H663" si="176">G661</f>
        <v>25</v>
      </c>
      <c r="H660" s="96">
        <f t="shared" si="176"/>
        <v>0</v>
      </c>
    </row>
    <row r="661" spans="1:8" ht="25.5">
      <c r="A661" s="47" t="s">
        <v>9</v>
      </c>
      <c r="B661" s="47" t="s">
        <v>89</v>
      </c>
      <c r="C661" s="23"/>
      <c r="D661" s="23"/>
      <c r="E661" s="48" t="s">
        <v>653</v>
      </c>
      <c r="F661" s="93">
        <f>F662</f>
        <v>25</v>
      </c>
      <c r="G661" s="93">
        <f t="shared" si="176"/>
        <v>25</v>
      </c>
      <c r="H661" s="93">
        <f t="shared" si="176"/>
        <v>0</v>
      </c>
    </row>
    <row r="662" spans="1:8" ht="38.25">
      <c r="A662" s="82" t="s">
        <v>9</v>
      </c>
      <c r="B662" s="82" t="s">
        <v>89</v>
      </c>
      <c r="C662" s="82" t="s">
        <v>25</v>
      </c>
      <c r="D662" s="82"/>
      <c r="E662" s="99" t="s">
        <v>39</v>
      </c>
      <c r="F662" s="39">
        <f>F663</f>
        <v>25</v>
      </c>
      <c r="G662" s="39">
        <f t="shared" si="176"/>
        <v>25</v>
      </c>
      <c r="H662" s="39">
        <f t="shared" si="176"/>
        <v>0</v>
      </c>
    </row>
    <row r="663" spans="1:8" ht="25.5">
      <c r="A663" s="82" t="s">
        <v>9</v>
      </c>
      <c r="B663" s="82" t="s">
        <v>89</v>
      </c>
      <c r="C663" s="1">
        <v>9940026500</v>
      </c>
      <c r="D663" s="1"/>
      <c r="E663" s="99" t="s">
        <v>654</v>
      </c>
      <c r="F663" s="39">
        <f>F664</f>
        <v>25</v>
      </c>
      <c r="G663" s="39">
        <f t="shared" si="176"/>
        <v>25</v>
      </c>
      <c r="H663" s="39">
        <f t="shared" si="176"/>
        <v>0</v>
      </c>
    </row>
    <row r="664" spans="1:8">
      <c r="A664" s="82" t="s">
        <v>9</v>
      </c>
      <c r="B664" s="82" t="s">
        <v>89</v>
      </c>
      <c r="C664" s="1">
        <v>9940026500</v>
      </c>
      <c r="D664" s="82" t="s">
        <v>655</v>
      </c>
      <c r="E664" s="1" t="s">
        <v>656</v>
      </c>
      <c r="F664" s="39">
        <f>20.8+4.2</f>
        <v>25</v>
      </c>
      <c r="G664" s="39">
        <f>20.8+4.2</f>
        <v>25</v>
      </c>
      <c r="H664"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64"/>
  <sheetViews>
    <sheetView view="pageBreakPreview" topLeftCell="B1" zoomScale="60" zoomScaleNormal="100" workbookViewId="0">
      <selection activeCell="G5" sqref="G5"/>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608</v>
      </c>
    </row>
    <row r="2" spans="1:10">
      <c r="G2" s="85" t="s">
        <v>609</v>
      </c>
    </row>
    <row r="3" spans="1:10">
      <c r="G3" s="85" t="s">
        <v>782</v>
      </c>
    </row>
    <row r="4" spans="1:10">
      <c r="G4" s="85" t="s">
        <v>691</v>
      </c>
    </row>
    <row r="5" spans="1:10">
      <c r="G5" s="85" t="s">
        <v>693</v>
      </c>
    </row>
    <row r="6" spans="1:10">
      <c r="G6" s="85" t="s">
        <v>144</v>
      </c>
    </row>
    <row r="7" spans="1:10">
      <c r="G7" s="85" t="s">
        <v>634</v>
      </c>
    </row>
    <row r="9" spans="1:10" s="111" customFormat="1">
      <c r="B9" s="197" t="s">
        <v>87</v>
      </c>
      <c r="C9" s="197"/>
      <c r="G9" s="85" t="s">
        <v>608</v>
      </c>
      <c r="H9" s="86"/>
      <c r="I9" s="86"/>
      <c r="J9" s="86"/>
    </row>
    <row r="10" spans="1:10" s="111" customFormat="1">
      <c r="B10" s="198" t="s">
        <v>137</v>
      </c>
      <c r="C10" s="198"/>
      <c r="G10" s="85" t="s">
        <v>382</v>
      </c>
      <c r="H10" s="85"/>
      <c r="I10" s="86"/>
      <c r="J10" s="86"/>
    </row>
    <row r="11" spans="1:10" s="111" customFormat="1">
      <c r="B11" s="197" t="s">
        <v>130</v>
      </c>
      <c r="C11" s="197"/>
      <c r="G11" s="85" t="s">
        <v>688</v>
      </c>
      <c r="H11" s="85"/>
      <c r="I11" s="86"/>
      <c r="J11" s="86"/>
    </row>
    <row r="12" spans="1:10">
      <c r="G12" s="85" t="s">
        <v>144</v>
      </c>
      <c r="H12" s="85"/>
      <c r="I12" s="86"/>
      <c r="J12" s="86"/>
    </row>
    <row r="13" spans="1:10">
      <c r="G13" s="85" t="s">
        <v>634</v>
      </c>
      <c r="H13" s="85"/>
      <c r="I13" s="86"/>
      <c r="J13" s="86"/>
    </row>
    <row r="14" spans="1:10">
      <c r="G14" s="85"/>
      <c r="H14" s="85"/>
      <c r="I14" s="86"/>
      <c r="J14" s="86"/>
    </row>
    <row r="15" spans="1:10">
      <c r="G15" s="7"/>
      <c r="H15" s="7"/>
    </row>
    <row r="16" spans="1:10" ht="79.5" customHeight="1">
      <c r="A16" s="176" t="s">
        <v>740</v>
      </c>
      <c r="B16" s="195"/>
      <c r="C16" s="195"/>
      <c r="D16" s="195"/>
      <c r="E16" s="195"/>
      <c r="F16" s="195"/>
      <c r="G16" s="195"/>
      <c r="H16" s="195"/>
      <c r="I16" s="196"/>
      <c r="J16" s="196"/>
    </row>
    <row r="17" spans="1:10" ht="15">
      <c r="A17" s="109"/>
      <c r="B17" s="110"/>
      <c r="C17" s="110"/>
      <c r="D17" s="110"/>
      <c r="E17" s="110"/>
      <c r="F17" s="110"/>
      <c r="G17" s="110"/>
      <c r="H17" s="110"/>
    </row>
    <row r="18" spans="1:10">
      <c r="B18" s="201" t="s">
        <v>129</v>
      </c>
      <c r="C18" s="182" t="s">
        <v>118</v>
      </c>
      <c r="D18" s="182" t="s">
        <v>119</v>
      </c>
      <c r="E18" s="182" t="s">
        <v>120</v>
      </c>
      <c r="F18" s="182" t="s">
        <v>114</v>
      </c>
      <c r="G18" s="182" t="s">
        <v>91</v>
      </c>
      <c r="H18" s="188" t="s">
        <v>28</v>
      </c>
      <c r="I18" s="175"/>
      <c r="J18" s="175"/>
    </row>
    <row r="19" spans="1:10">
      <c r="A19" s="199" t="s">
        <v>88</v>
      </c>
      <c r="B19" s="175"/>
      <c r="C19" s="183"/>
      <c r="D19" s="183"/>
      <c r="E19" s="183"/>
      <c r="F19" s="183"/>
      <c r="G19" s="183"/>
      <c r="H19" s="192" t="s">
        <v>384</v>
      </c>
      <c r="I19" s="175" t="s">
        <v>141</v>
      </c>
      <c r="J19" s="175"/>
    </row>
    <row r="20" spans="1:10">
      <c r="A20" s="200"/>
      <c r="B20" s="175"/>
      <c r="C20" s="184"/>
      <c r="D20" s="184"/>
      <c r="E20" s="184"/>
      <c r="F20" s="184"/>
      <c r="G20" s="184"/>
      <c r="H20" s="194"/>
      <c r="I20" s="1" t="s">
        <v>484</v>
      </c>
      <c r="J20" s="1" t="s">
        <v>635</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H23+H33+H40+H479+H623+H747</f>
        <v>1220412.8</v>
      </c>
      <c r="I22" s="59">
        <f>I23+I33+I40+I479+I623+I747</f>
        <v>1034647.7</v>
      </c>
      <c r="J22" s="59">
        <f>J23+J33+J40+J479+J623+J747</f>
        <v>1049590.1000000001</v>
      </c>
    </row>
    <row r="23" spans="1:10" ht="36">
      <c r="A23" s="3">
        <v>1</v>
      </c>
      <c r="B23" s="91">
        <v>936</v>
      </c>
      <c r="C23" s="13"/>
      <c r="D23" s="13"/>
      <c r="E23" s="13"/>
      <c r="F23" s="13"/>
      <c r="G23" s="14" t="s">
        <v>139</v>
      </c>
      <c r="H23" s="92">
        <f t="shared" ref="H23:J26" si="0">H24</f>
        <v>4140.6000000000004</v>
      </c>
      <c r="I23" s="92">
        <f t="shared" si="0"/>
        <v>4120.3</v>
      </c>
      <c r="J23" s="92">
        <f t="shared" si="0"/>
        <v>4120.3</v>
      </c>
    </row>
    <row r="24" spans="1:10" ht="18.75" customHeight="1">
      <c r="A24" s="3"/>
      <c r="B24" s="91"/>
      <c r="C24" s="4" t="s">
        <v>89</v>
      </c>
      <c r="D24" s="11"/>
      <c r="E24" s="11"/>
      <c r="F24" s="11"/>
      <c r="G24" s="49" t="s">
        <v>92</v>
      </c>
      <c r="H24" s="92">
        <f t="shared" si="0"/>
        <v>4140.6000000000004</v>
      </c>
      <c r="I24" s="92">
        <f t="shared" si="0"/>
        <v>4120.3</v>
      </c>
      <c r="J24" s="92">
        <f t="shared" si="0"/>
        <v>4120.3</v>
      </c>
    </row>
    <row r="25" spans="1:10" ht="64.5">
      <c r="A25" s="29"/>
      <c r="B25" s="24"/>
      <c r="C25" s="30" t="s">
        <v>89</v>
      </c>
      <c r="D25" s="30" t="s">
        <v>94</v>
      </c>
      <c r="E25" s="31"/>
      <c r="F25" s="31"/>
      <c r="G25" s="48" t="s">
        <v>128</v>
      </c>
      <c r="H25" s="43">
        <f t="shared" si="0"/>
        <v>4140.6000000000004</v>
      </c>
      <c r="I25" s="43">
        <f t="shared" si="0"/>
        <v>4120.3</v>
      </c>
      <c r="J25" s="43">
        <f t="shared" si="0"/>
        <v>4120.3</v>
      </c>
    </row>
    <row r="26" spans="1:10" ht="25.5">
      <c r="A26" s="1"/>
      <c r="B26" s="25"/>
      <c r="C26" s="16" t="s">
        <v>89</v>
      </c>
      <c r="D26" s="16" t="s">
        <v>94</v>
      </c>
      <c r="E26" s="79">
        <v>9900000000</v>
      </c>
      <c r="F26" s="21"/>
      <c r="G26" s="55" t="s">
        <v>146</v>
      </c>
      <c r="H26" s="41">
        <f t="shared" si="0"/>
        <v>4140.6000000000004</v>
      </c>
      <c r="I26" s="41">
        <f t="shared" si="0"/>
        <v>4120.3</v>
      </c>
      <c r="J26" s="41">
        <f t="shared" si="0"/>
        <v>4120.3</v>
      </c>
    </row>
    <row r="27" spans="1:10" ht="38.25">
      <c r="A27" s="1"/>
      <c r="B27" s="25"/>
      <c r="C27" s="16" t="s">
        <v>89</v>
      </c>
      <c r="D27" s="16" t="s">
        <v>94</v>
      </c>
      <c r="E27" s="79">
        <v>9990000000</v>
      </c>
      <c r="F27" s="16"/>
      <c r="G27" s="54" t="s">
        <v>29</v>
      </c>
      <c r="H27" s="41">
        <f t="shared" ref="H27" si="1">H28+H30</f>
        <v>4140.6000000000004</v>
      </c>
      <c r="I27" s="41">
        <f t="shared" ref="I27:J27" si="2">I28+I30</f>
        <v>4120.3</v>
      </c>
      <c r="J27" s="41">
        <f t="shared" si="2"/>
        <v>4120.3</v>
      </c>
    </row>
    <row r="28" spans="1:10">
      <c r="A28" s="1"/>
      <c r="B28" s="25"/>
      <c r="C28" s="16" t="s">
        <v>89</v>
      </c>
      <c r="D28" s="16" t="s">
        <v>94</v>
      </c>
      <c r="E28" s="79">
        <v>9990022400</v>
      </c>
      <c r="F28" s="16"/>
      <c r="G28" s="98" t="s">
        <v>140</v>
      </c>
      <c r="H28" s="41">
        <f t="shared" ref="H28:J28" si="3">H29</f>
        <v>1522.8</v>
      </c>
      <c r="I28" s="41">
        <f t="shared" si="3"/>
        <v>1502.5</v>
      </c>
      <c r="J28" s="41">
        <f t="shared" si="3"/>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9" t="s">
        <v>633</v>
      </c>
      <c r="H30" s="41">
        <f>SUM(H31:H32)</f>
        <v>2617.8000000000002</v>
      </c>
      <c r="I30" s="41">
        <f t="shared" ref="I30:J30" si="4">SUM(I31:I32)</f>
        <v>2617.8000000000002</v>
      </c>
      <c r="J30" s="41">
        <f t="shared" si="4"/>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214</v>
      </c>
      <c r="G32" s="98" t="s">
        <v>215</v>
      </c>
      <c r="H32" s="39">
        <v>106.1</v>
      </c>
      <c r="I32" s="39">
        <v>106.1</v>
      </c>
      <c r="J32" s="39">
        <v>106.1</v>
      </c>
    </row>
    <row r="33" spans="1:10" ht="47.25">
      <c r="A33" s="1"/>
      <c r="B33" s="91">
        <v>939</v>
      </c>
      <c r="C33" s="13"/>
      <c r="D33" s="13"/>
      <c r="E33" s="13"/>
      <c r="F33" s="13"/>
      <c r="G33" s="10" t="s">
        <v>202</v>
      </c>
      <c r="H33" s="92">
        <f t="shared" ref="H33:J33" si="5">H34</f>
        <v>1852.4</v>
      </c>
      <c r="I33" s="92">
        <f t="shared" si="5"/>
        <v>1836.1000000000001</v>
      </c>
      <c r="J33" s="92">
        <f t="shared" si="5"/>
        <v>1836.1000000000001</v>
      </c>
    </row>
    <row r="34" spans="1:10" ht="18" customHeight="1">
      <c r="A34" s="1"/>
      <c r="B34" s="91"/>
      <c r="C34" s="4" t="s">
        <v>89</v>
      </c>
      <c r="D34" s="11"/>
      <c r="E34" s="11"/>
      <c r="F34" s="11"/>
      <c r="G34" s="49" t="s">
        <v>92</v>
      </c>
      <c r="H34" s="92">
        <f t="shared" ref="H34:J34" si="6">H35</f>
        <v>1852.4</v>
      </c>
      <c r="I34" s="92">
        <f t="shared" si="6"/>
        <v>1836.1000000000001</v>
      </c>
      <c r="J34" s="92">
        <f t="shared" si="6"/>
        <v>1836.1000000000001</v>
      </c>
    </row>
    <row r="35" spans="1:10" ht="49.5" customHeight="1">
      <c r="A35" s="1"/>
      <c r="B35" s="24"/>
      <c r="C35" s="30" t="s">
        <v>89</v>
      </c>
      <c r="D35" s="30" t="s">
        <v>97</v>
      </c>
      <c r="E35" s="31"/>
      <c r="F35" s="31"/>
      <c r="G35" s="46" t="s">
        <v>126</v>
      </c>
      <c r="H35" s="93">
        <f t="shared" ref="H35:J35" si="7">H36</f>
        <v>1852.4</v>
      </c>
      <c r="I35" s="93">
        <f t="shared" si="7"/>
        <v>1836.1000000000001</v>
      </c>
      <c r="J35" s="93">
        <f t="shared" si="7"/>
        <v>1836.1000000000001</v>
      </c>
    </row>
    <row r="36" spans="1:10" ht="38.25">
      <c r="A36" s="1"/>
      <c r="B36" s="24"/>
      <c r="C36" s="16" t="s">
        <v>89</v>
      </c>
      <c r="D36" s="82" t="s">
        <v>97</v>
      </c>
      <c r="E36" s="79">
        <v>9990000000</v>
      </c>
      <c r="F36" s="16"/>
      <c r="G36" s="54" t="s">
        <v>29</v>
      </c>
      <c r="H36" s="39">
        <f t="shared" ref="H36:J36" si="8">H37</f>
        <v>1852.4</v>
      </c>
      <c r="I36" s="39">
        <f t="shared" si="8"/>
        <v>1836.1000000000001</v>
      </c>
      <c r="J36" s="39">
        <f t="shared" si="8"/>
        <v>1836.1000000000001</v>
      </c>
    </row>
    <row r="37" spans="1:10" ht="25.5">
      <c r="A37" s="1"/>
      <c r="B37" s="25"/>
      <c r="C37" s="16" t="s">
        <v>89</v>
      </c>
      <c r="D37" s="82" t="s">
        <v>97</v>
      </c>
      <c r="E37" s="79">
        <v>9990022300</v>
      </c>
      <c r="F37" s="21"/>
      <c r="G37" s="99" t="s">
        <v>202</v>
      </c>
      <c r="H37" s="41">
        <f>H38+H39</f>
        <v>1852.4</v>
      </c>
      <c r="I37" s="41">
        <f>I38+I39</f>
        <v>1836.1000000000001</v>
      </c>
      <c r="J37" s="41">
        <f>J38+J39</f>
        <v>1836.1000000000001</v>
      </c>
    </row>
    <row r="38" spans="1:10" ht="38.25">
      <c r="A38" s="1"/>
      <c r="B38" s="25"/>
      <c r="C38" s="16" t="s">
        <v>89</v>
      </c>
      <c r="D38" s="82" t="s">
        <v>97</v>
      </c>
      <c r="E38" s="79">
        <v>9990022300</v>
      </c>
      <c r="F38" s="16" t="s">
        <v>63</v>
      </c>
      <c r="G38" s="99" t="s">
        <v>79</v>
      </c>
      <c r="H38" s="39">
        <f>1668.4+164.2+16.3-109.5+109.5</f>
        <v>1848.9</v>
      </c>
      <c r="I38" s="39">
        <f>1668.4+164.2</f>
        <v>1832.6000000000001</v>
      </c>
      <c r="J38" s="39">
        <f>1668.4+164.2</f>
        <v>1832.6000000000001</v>
      </c>
    </row>
    <row r="39" spans="1:10" ht="38.25">
      <c r="A39" s="1"/>
      <c r="B39" s="25"/>
      <c r="C39" s="16" t="s">
        <v>89</v>
      </c>
      <c r="D39" s="82" t="s">
        <v>97</v>
      </c>
      <c r="E39" s="79">
        <v>9990022300</v>
      </c>
      <c r="F39" s="82" t="s">
        <v>214</v>
      </c>
      <c r="G39" s="98" t="s">
        <v>215</v>
      </c>
      <c r="H39" s="39">
        <v>3.5</v>
      </c>
      <c r="I39" s="39">
        <v>3.5</v>
      </c>
      <c r="J39" s="39">
        <v>3.5</v>
      </c>
    </row>
    <row r="40" spans="1:10" s="8" customFormat="1" ht="54">
      <c r="A40" s="3">
        <v>2</v>
      </c>
      <c r="B40" s="91">
        <v>937</v>
      </c>
      <c r="C40" s="13"/>
      <c r="D40" s="13"/>
      <c r="E40" s="13"/>
      <c r="F40" s="13"/>
      <c r="G40" s="14" t="s">
        <v>198</v>
      </c>
      <c r="H40" s="59">
        <f>H41+H95+H140+H261+H428+H461</f>
        <v>485279.90000000008</v>
      </c>
      <c r="I40" s="59">
        <f>I41+I95+I140+I261+I428+I461</f>
        <v>316112.60000000003</v>
      </c>
      <c r="J40" s="59">
        <f>J41+J95+J140+J261+J428+J461</f>
        <v>341244.4</v>
      </c>
    </row>
    <row r="41" spans="1:10" ht="15.75">
      <c r="A41" s="3"/>
      <c r="B41" s="91"/>
      <c r="C41" s="4" t="s">
        <v>89</v>
      </c>
      <c r="D41" s="11"/>
      <c r="E41" s="11"/>
      <c r="F41" s="11"/>
      <c r="G41" s="15" t="s">
        <v>92</v>
      </c>
      <c r="H41" s="92">
        <f>H42+H47+H58+H63</f>
        <v>121275.6</v>
      </c>
      <c r="I41" s="92">
        <f t="shared" ref="I41:J41" si="9">I42+I47+I58+I63</f>
        <v>100312.9</v>
      </c>
      <c r="J41" s="92">
        <f t="shared" si="9"/>
        <v>98878.299999999988</v>
      </c>
    </row>
    <row r="42" spans="1:10" ht="51.75">
      <c r="A42" s="3"/>
      <c r="B42" s="91"/>
      <c r="C42" s="30" t="s">
        <v>89</v>
      </c>
      <c r="D42" s="30" t="s">
        <v>90</v>
      </c>
      <c r="E42" s="30"/>
      <c r="F42" s="30"/>
      <c r="G42" s="46" t="s">
        <v>17</v>
      </c>
      <c r="H42" s="40">
        <f t="shared" ref="H42:J42" si="10">H43</f>
        <v>2367.1</v>
      </c>
      <c r="I42" s="40">
        <f t="shared" si="10"/>
        <v>1902</v>
      </c>
      <c r="J42" s="40">
        <f t="shared" si="10"/>
        <v>1902</v>
      </c>
    </row>
    <row r="43" spans="1:10" ht="25.5">
      <c r="A43" s="3"/>
      <c r="B43" s="91"/>
      <c r="C43" s="16" t="s">
        <v>89</v>
      </c>
      <c r="D43" s="16" t="s">
        <v>90</v>
      </c>
      <c r="E43" s="79">
        <v>9900000000</v>
      </c>
      <c r="F43" s="16"/>
      <c r="G43" s="55" t="s">
        <v>145</v>
      </c>
      <c r="H43" s="41">
        <f t="shared" ref="H43" si="11">H45</f>
        <v>2367.1</v>
      </c>
      <c r="I43" s="41">
        <f t="shared" ref="I43:J43" si="12">I45</f>
        <v>1902</v>
      </c>
      <c r="J43" s="41">
        <f t="shared" si="12"/>
        <v>1902</v>
      </c>
    </row>
    <row r="44" spans="1:10" ht="38.25">
      <c r="A44" s="3"/>
      <c r="B44" s="91"/>
      <c r="C44" s="16" t="s">
        <v>89</v>
      </c>
      <c r="D44" s="16" t="s">
        <v>90</v>
      </c>
      <c r="E44" s="79">
        <v>9980000000</v>
      </c>
      <c r="F44" s="16"/>
      <c r="G44" s="54" t="s">
        <v>30</v>
      </c>
      <c r="H44" s="41">
        <f>H45</f>
        <v>2367.1</v>
      </c>
      <c r="I44" s="41">
        <f>I45</f>
        <v>1902</v>
      </c>
      <c r="J44" s="41">
        <f>J45</f>
        <v>1902</v>
      </c>
    </row>
    <row r="45" spans="1:10" ht="15.75">
      <c r="A45" s="3"/>
      <c r="B45" s="91"/>
      <c r="C45" s="16" t="s">
        <v>89</v>
      </c>
      <c r="D45" s="16" t="s">
        <v>90</v>
      </c>
      <c r="E45" s="79">
        <v>9980022100</v>
      </c>
      <c r="F45" s="16"/>
      <c r="G45" s="99" t="s">
        <v>115</v>
      </c>
      <c r="H45" s="39">
        <f>H46</f>
        <v>2367.1</v>
      </c>
      <c r="I45" s="39">
        <f t="shared" ref="I45:J45" si="13">I46</f>
        <v>1902</v>
      </c>
      <c r="J45" s="39">
        <f t="shared" si="13"/>
        <v>1902</v>
      </c>
    </row>
    <row r="46" spans="1:10" ht="39">
      <c r="A46" s="3"/>
      <c r="B46" s="91"/>
      <c r="C46" s="16" t="s">
        <v>89</v>
      </c>
      <c r="D46" s="16" t="s">
        <v>90</v>
      </c>
      <c r="E46" s="79">
        <v>9980022100</v>
      </c>
      <c r="F46" s="16" t="s">
        <v>63</v>
      </c>
      <c r="G46" s="99" t="s">
        <v>79</v>
      </c>
      <c r="H46" s="39">
        <f>1717-118.6+439.5+171.7+157.5-439.5-171.7+171.7+439.5</f>
        <v>2367.1</v>
      </c>
      <c r="I46" s="39">
        <f>1717-118.6+303.6</f>
        <v>1902</v>
      </c>
      <c r="J46" s="39">
        <f>1717-118.6+303.6</f>
        <v>1902</v>
      </c>
    </row>
    <row r="47" spans="1:10" s="26" customFormat="1" ht="76.5">
      <c r="A47" s="23"/>
      <c r="B47" s="24"/>
      <c r="C47" s="30" t="s">
        <v>89</v>
      </c>
      <c r="D47" s="30" t="s">
        <v>95</v>
      </c>
      <c r="E47" s="30"/>
      <c r="F47" s="30"/>
      <c r="G47" s="46" t="s">
        <v>125</v>
      </c>
      <c r="H47" s="40">
        <f t="shared" ref="H47:J47" si="14">H48</f>
        <v>52539.199999999997</v>
      </c>
      <c r="I47" s="40">
        <f t="shared" si="14"/>
        <v>52850.1</v>
      </c>
      <c r="J47" s="40">
        <f t="shared" si="14"/>
        <v>52853.7</v>
      </c>
    </row>
    <row r="48" spans="1:10" ht="25.5">
      <c r="A48" s="1"/>
      <c r="B48" s="25"/>
      <c r="C48" s="16" t="s">
        <v>89</v>
      </c>
      <c r="D48" s="16" t="s">
        <v>95</v>
      </c>
      <c r="E48" s="79">
        <v>9900000000</v>
      </c>
      <c r="F48" s="16"/>
      <c r="G48" s="55" t="s">
        <v>145</v>
      </c>
      <c r="H48" s="39">
        <f>H49+H53</f>
        <v>52539.199999999997</v>
      </c>
      <c r="I48" s="39">
        <f t="shared" ref="I48:J48" si="15">I49+I53</f>
        <v>52850.1</v>
      </c>
      <c r="J48" s="39">
        <f t="shared" si="15"/>
        <v>52853.7</v>
      </c>
    </row>
    <row r="49" spans="1:10" ht="25.5">
      <c r="A49" s="1"/>
      <c r="B49" s="25"/>
      <c r="C49" s="16" t="s">
        <v>89</v>
      </c>
      <c r="D49" s="16" t="s">
        <v>95</v>
      </c>
      <c r="E49" s="79">
        <v>9930000000</v>
      </c>
      <c r="F49" s="16"/>
      <c r="G49" s="22" t="s">
        <v>41</v>
      </c>
      <c r="H49" s="39">
        <f t="shared" ref="H49:J49" si="16">H50</f>
        <v>422.6</v>
      </c>
      <c r="I49" s="39">
        <f t="shared" si="16"/>
        <v>426.1</v>
      </c>
      <c r="J49" s="39">
        <f t="shared" si="16"/>
        <v>429.7</v>
      </c>
    </row>
    <row r="50" spans="1:10" ht="63.75">
      <c r="A50" s="1"/>
      <c r="B50" s="25"/>
      <c r="C50" s="16" t="s">
        <v>89</v>
      </c>
      <c r="D50" s="16" t="s">
        <v>95</v>
      </c>
      <c r="E50" s="79">
        <v>9930010510</v>
      </c>
      <c r="F50" s="16"/>
      <c r="G50" s="22" t="s">
        <v>15</v>
      </c>
      <c r="H50" s="39">
        <f>H51+H52</f>
        <v>422.6</v>
      </c>
      <c r="I50" s="39">
        <f t="shared" ref="I50:J50" si="17">I51+I52</f>
        <v>426.1</v>
      </c>
      <c r="J50" s="39">
        <f t="shared" si="17"/>
        <v>429.7</v>
      </c>
    </row>
    <row r="51" spans="1:10" ht="38.25">
      <c r="A51" s="1"/>
      <c r="B51" s="25"/>
      <c r="C51" s="16" t="s">
        <v>89</v>
      </c>
      <c r="D51" s="16" t="s">
        <v>95</v>
      </c>
      <c r="E51" s="79">
        <v>9930010510</v>
      </c>
      <c r="F51" s="16" t="s">
        <v>63</v>
      </c>
      <c r="G51" s="102" t="s">
        <v>64</v>
      </c>
      <c r="H51" s="39">
        <v>397.3</v>
      </c>
      <c r="I51" s="39">
        <v>397.3</v>
      </c>
      <c r="J51" s="39">
        <v>397.3</v>
      </c>
    </row>
    <row r="52" spans="1:10" ht="38.25">
      <c r="A52" s="1"/>
      <c r="B52" s="25"/>
      <c r="C52" s="16" t="s">
        <v>89</v>
      </c>
      <c r="D52" s="16" t="s">
        <v>95</v>
      </c>
      <c r="E52" s="79">
        <v>9930010510</v>
      </c>
      <c r="F52" s="82" t="s">
        <v>214</v>
      </c>
      <c r="G52" s="98" t="s">
        <v>215</v>
      </c>
      <c r="H52" s="39">
        <v>25.3</v>
      </c>
      <c r="I52" s="39">
        <v>28.8</v>
      </c>
      <c r="J52" s="39">
        <v>32.4</v>
      </c>
    </row>
    <row r="53" spans="1:10" ht="38.25">
      <c r="A53" s="1"/>
      <c r="B53" s="25"/>
      <c r="C53" s="16" t="s">
        <v>89</v>
      </c>
      <c r="D53" s="16" t="s">
        <v>95</v>
      </c>
      <c r="E53" s="79">
        <v>9980000000</v>
      </c>
      <c r="F53" s="16"/>
      <c r="G53" s="54" t="s">
        <v>30</v>
      </c>
      <c r="H53" s="39">
        <f t="shared" ref="H53:J53" si="18">H54</f>
        <v>52116.6</v>
      </c>
      <c r="I53" s="39">
        <f t="shared" si="18"/>
        <v>52424</v>
      </c>
      <c r="J53" s="39">
        <f t="shared" si="18"/>
        <v>52424</v>
      </c>
    </row>
    <row r="54" spans="1:10">
      <c r="A54" s="1"/>
      <c r="B54" s="25"/>
      <c r="C54" s="16" t="s">
        <v>89</v>
      </c>
      <c r="D54" s="16" t="s">
        <v>95</v>
      </c>
      <c r="E54" s="139">
        <v>9980022200</v>
      </c>
      <c r="F54" s="21"/>
      <c r="G54" s="22" t="s">
        <v>116</v>
      </c>
      <c r="H54" s="39">
        <f>SUM(H55:H57)</f>
        <v>52116.6</v>
      </c>
      <c r="I54" s="39">
        <f>SUM(I55:I57)</f>
        <v>52424</v>
      </c>
      <c r="J54" s="39">
        <f>SUM(J55:J57)</f>
        <v>52424</v>
      </c>
    </row>
    <row r="55" spans="1:10" ht="38.25">
      <c r="A55" s="1"/>
      <c r="B55" s="25"/>
      <c r="C55" s="16" t="s">
        <v>89</v>
      </c>
      <c r="D55" s="16" t="s">
        <v>95</v>
      </c>
      <c r="E55" s="139">
        <v>9980022200</v>
      </c>
      <c r="F55" s="16" t="s">
        <v>63</v>
      </c>
      <c r="G55" s="55" t="s">
        <v>64</v>
      </c>
      <c r="H55" s="39">
        <f>44902+375.4+4548.2-375.4+383-100-350</f>
        <v>49383.199999999997</v>
      </c>
      <c r="I55" s="39">
        <f>44902+4548.2</f>
        <v>49450.2</v>
      </c>
      <c r="J55" s="39">
        <f>44902+4548.2</f>
        <v>49450.2</v>
      </c>
    </row>
    <row r="56" spans="1:10" ht="38.25">
      <c r="A56" s="1"/>
      <c r="B56" s="25"/>
      <c r="C56" s="16" t="s">
        <v>89</v>
      </c>
      <c r="D56" s="16" t="s">
        <v>95</v>
      </c>
      <c r="E56" s="139">
        <v>9980022200</v>
      </c>
      <c r="F56" s="82" t="s">
        <v>214</v>
      </c>
      <c r="G56" s="98" t="s">
        <v>215</v>
      </c>
      <c r="H56" s="39">
        <f>2929.4-90-80.4-70</f>
        <v>2689</v>
      </c>
      <c r="I56" s="39">
        <v>2929.4</v>
      </c>
      <c r="J56" s="39">
        <v>2929.4</v>
      </c>
    </row>
    <row r="57" spans="1:10" ht="25.5">
      <c r="A57" s="1"/>
      <c r="B57" s="25"/>
      <c r="C57" s="16" t="s">
        <v>89</v>
      </c>
      <c r="D57" s="16" t="s">
        <v>95</v>
      </c>
      <c r="E57" s="139">
        <v>9980022200</v>
      </c>
      <c r="F57" s="82" t="s">
        <v>132</v>
      </c>
      <c r="G57" s="98" t="s">
        <v>133</v>
      </c>
      <c r="H57" s="41">
        <v>44.4</v>
      </c>
      <c r="I57" s="41">
        <v>44.4</v>
      </c>
      <c r="J57" s="41">
        <v>44.4</v>
      </c>
    </row>
    <row r="58" spans="1:10" ht="14.25">
      <c r="A58" s="1"/>
      <c r="B58" s="25"/>
      <c r="C58" s="35" t="s">
        <v>89</v>
      </c>
      <c r="D58" s="35" t="s">
        <v>96</v>
      </c>
      <c r="E58" s="35"/>
      <c r="F58" s="35"/>
      <c r="G58" s="46" t="s">
        <v>293</v>
      </c>
      <c r="H58" s="42">
        <f t="shared" ref="H58:J58" si="19">SUM(H59)</f>
        <v>2.1</v>
      </c>
      <c r="I58" s="42">
        <f t="shared" si="19"/>
        <v>2.2999999999999998</v>
      </c>
      <c r="J58" s="42">
        <f t="shared" si="19"/>
        <v>2</v>
      </c>
    </row>
    <row r="59" spans="1:10" ht="25.5">
      <c r="A59" s="1"/>
      <c r="B59" s="25"/>
      <c r="C59" s="16" t="s">
        <v>89</v>
      </c>
      <c r="D59" s="82" t="s">
        <v>96</v>
      </c>
      <c r="E59" s="79">
        <v>9900000000</v>
      </c>
      <c r="F59" s="16"/>
      <c r="G59" s="55" t="s">
        <v>146</v>
      </c>
      <c r="H59" s="39">
        <f t="shared" ref="H59:J61" si="20">H60</f>
        <v>2.1</v>
      </c>
      <c r="I59" s="39">
        <f t="shared" si="20"/>
        <v>2.2999999999999998</v>
      </c>
      <c r="J59" s="39">
        <f t="shared" si="20"/>
        <v>2</v>
      </c>
    </row>
    <row r="60" spans="1:10" ht="25.5">
      <c r="A60" s="1"/>
      <c r="B60" s="25"/>
      <c r="C60" s="16" t="s">
        <v>89</v>
      </c>
      <c r="D60" s="82" t="s">
        <v>96</v>
      </c>
      <c r="E60" s="79">
        <v>9930000000</v>
      </c>
      <c r="F60" s="16"/>
      <c r="G60" s="22" t="s">
        <v>41</v>
      </c>
      <c r="H60" s="39">
        <f t="shared" si="20"/>
        <v>2.1</v>
      </c>
      <c r="I60" s="39">
        <f t="shared" si="20"/>
        <v>2.2999999999999998</v>
      </c>
      <c r="J60" s="39">
        <f t="shared" si="20"/>
        <v>2</v>
      </c>
    </row>
    <row r="61" spans="1:10" ht="63.75">
      <c r="A61" s="1"/>
      <c r="B61" s="25"/>
      <c r="C61" s="16" t="s">
        <v>89</v>
      </c>
      <c r="D61" s="82" t="s">
        <v>96</v>
      </c>
      <c r="E61" s="79">
        <v>9930051200</v>
      </c>
      <c r="F61" s="16"/>
      <c r="G61" s="54" t="s">
        <v>286</v>
      </c>
      <c r="H61" s="107">
        <f t="shared" si="20"/>
        <v>2.1</v>
      </c>
      <c r="I61" s="39">
        <f t="shared" si="20"/>
        <v>2.2999999999999998</v>
      </c>
      <c r="J61" s="39">
        <f t="shared" si="20"/>
        <v>2</v>
      </c>
    </row>
    <row r="62" spans="1:10" ht="38.25">
      <c r="A62" s="1"/>
      <c r="B62" s="25"/>
      <c r="C62" s="16" t="s">
        <v>89</v>
      </c>
      <c r="D62" s="82" t="s">
        <v>96</v>
      </c>
      <c r="E62" s="79">
        <v>9930051200</v>
      </c>
      <c r="F62" s="82" t="s">
        <v>214</v>
      </c>
      <c r="G62" s="98" t="s">
        <v>215</v>
      </c>
      <c r="H62" s="107">
        <v>2.1</v>
      </c>
      <c r="I62" s="107">
        <v>2.2999999999999998</v>
      </c>
      <c r="J62" s="107">
        <v>2</v>
      </c>
    </row>
    <row r="63" spans="1:10" s="26" customFormat="1" ht="17.25" customHeight="1">
      <c r="A63" s="23"/>
      <c r="B63" s="24"/>
      <c r="C63" s="30" t="s">
        <v>89</v>
      </c>
      <c r="D63" s="30" t="s">
        <v>9</v>
      </c>
      <c r="E63" s="33"/>
      <c r="F63" s="33"/>
      <c r="G63" s="46" t="s">
        <v>98</v>
      </c>
      <c r="H63" s="40">
        <f>H64+H77</f>
        <v>66367.200000000012</v>
      </c>
      <c r="I63" s="40">
        <f t="shared" ref="I63:J63" si="21">I64+I77</f>
        <v>45558.5</v>
      </c>
      <c r="J63" s="40">
        <f t="shared" si="21"/>
        <v>44120.6</v>
      </c>
    </row>
    <row r="64" spans="1:10" ht="89.25">
      <c r="A64" s="1"/>
      <c r="B64" s="25"/>
      <c r="C64" s="16" t="s">
        <v>89</v>
      </c>
      <c r="D64" s="16" t="s">
        <v>9</v>
      </c>
      <c r="E64" s="73" t="s">
        <v>70</v>
      </c>
      <c r="F64" s="16"/>
      <c r="G64" s="143" t="s">
        <v>620</v>
      </c>
      <c r="H64" s="96">
        <f t="shared" ref="H64:J64" si="22">H65</f>
        <v>27433.9</v>
      </c>
      <c r="I64" s="96">
        <f t="shared" si="22"/>
        <v>7940</v>
      </c>
      <c r="J64" s="96">
        <f t="shared" si="22"/>
        <v>7940</v>
      </c>
    </row>
    <row r="65" spans="1:10" ht="38.25">
      <c r="A65" s="1"/>
      <c r="B65" s="25"/>
      <c r="C65" s="16" t="s">
        <v>89</v>
      </c>
      <c r="D65" s="16" t="s">
        <v>9</v>
      </c>
      <c r="E65" s="52" t="s">
        <v>71</v>
      </c>
      <c r="F65" s="16"/>
      <c r="G65" s="48" t="s">
        <v>158</v>
      </c>
      <c r="H65" s="93">
        <f>H66+H69</f>
        <v>27433.9</v>
      </c>
      <c r="I65" s="93">
        <f t="shared" ref="I65:J65" si="23">I66+I69</f>
        <v>7940</v>
      </c>
      <c r="J65" s="93">
        <f t="shared" si="23"/>
        <v>7940</v>
      </c>
    </row>
    <row r="66" spans="1:10" ht="38.25">
      <c r="A66" s="1"/>
      <c r="B66" s="25"/>
      <c r="C66" s="16" t="s">
        <v>89</v>
      </c>
      <c r="D66" s="16" t="s">
        <v>9</v>
      </c>
      <c r="E66" s="21" t="s">
        <v>247</v>
      </c>
      <c r="F66" s="16"/>
      <c r="G66" s="99" t="s">
        <v>248</v>
      </c>
      <c r="H66" s="39">
        <f t="shared" ref="H66:J67" si="24">H67</f>
        <v>261</v>
      </c>
      <c r="I66" s="39">
        <f t="shared" si="24"/>
        <v>250</v>
      </c>
      <c r="J66" s="39">
        <f t="shared" si="24"/>
        <v>250</v>
      </c>
    </row>
    <row r="67" spans="1:10" ht="38.25">
      <c r="A67" s="1"/>
      <c r="B67" s="25"/>
      <c r="C67" s="16" t="s">
        <v>89</v>
      </c>
      <c r="D67" s="16" t="s">
        <v>9</v>
      </c>
      <c r="E67" s="82" t="s">
        <v>477</v>
      </c>
      <c r="F67" s="16"/>
      <c r="G67" s="97" t="s">
        <v>159</v>
      </c>
      <c r="H67" s="41">
        <f t="shared" si="24"/>
        <v>261</v>
      </c>
      <c r="I67" s="41">
        <f t="shared" si="24"/>
        <v>250</v>
      </c>
      <c r="J67" s="41">
        <f t="shared" si="24"/>
        <v>250</v>
      </c>
    </row>
    <row r="68" spans="1:10" ht="38.25">
      <c r="A68" s="1"/>
      <c r="B68" s="25"/>
      <c r="C68" s="16" t="s">
        <v>89</v>
      </c>
      <c r="D68" s="16" t="s">
        <v>9</v>
      </c>
      <c r="E68" s="82" t="s">
        <v>477</v>
      </c>
      <c r="F68" s="82" t="s">
        <v>214</v>
      </c>
      <c r="G68" s="98" t="s">
        <v>215</v>
      </c>
      <c r="H68" s="41">
        <f>250+40-29</f>
        <v>261</v>
      </c>
      <c r="I68" s="41">
        <v>250</v>
      </c>
      <c r="J68" s="41">
        <v>250</v>
      </c>
    </row>
    <row r="69" spans="1:10" ht="63.75">
      <c r="A69" s="1"/>
      <c r="B69" s="25"/>
      <c r="C69" s="16" t="s">
        <v>89</v>
      </c>
      <c r="D69" s="16" t="s">
        <v>9</v>
      </c>
      <c r="E69" s="21" t="s">
        <v>249</v>
      </c>
      <c r="F69" s="82"/>
      <c r="G69" s="99" t="s">
        <v>250</v>
      </c>
      <c r="H69" s="41">
        <f>H70+H72+H74</f>
        <v>27172.9</v>
      </c>
      <c r="I69" s="41">
        <f>I70+I72+I74</f>
        <v>7690</v>
      </c>
      <c r="J69" s="41">
        <f>J70+J72+J74</f>
        <v>7690</v>
      </c>
    </row>
    <row r="70" spans="1:10" ht="51">
      <c r="A70" s="1"/>
      <c r="B70" s="25"/>
      <c r="C70" s="16" t="s">
        <v>89</v>
      </c>
      <c r="D70" s="16" t="s">
        <v>9</v>
      </c>
      <c r="E70" s="136" t="s">
        <v>478</v>
      </c>
      <c r="F70" s="16"/>
      <c r="G70" s="97" t="s">
        <v>160</v>
      </c>
      <c r="H70" s="41">
        <f>H71</f>
        <v>171</v>
      </c>
      <c r="I70" s="41">
        <f>I71</f>
        <v>100</v>
      </c>
      <c r="J70" s="41">
        <f>J71</f>
        <v>100</v>
      </c>
    </row>
    <row r="71" spans="1:10" ht="38.25">
      <c r="A71" s="1"/>
      <c r="B71" s="25"/>
      <c r="C71" s="16" t="s">
        <v>89</v>
      </c>
      <c r="D71" s="16" t="s">
        <v>9</v>
      </c>
      <c r="E71" s="136" t="s">
        <v>478</v>
      </c>
      <c r="F71" s="82" t="s">
        <v>214</v>
      </c>
      <c r="G71" s="98" t="s">
        <v>215</v>
      </c>
      <c r="H71" s="41">
        <f>100+29+42</f>
        <v>171</v>
      </c>
      <c r="I71" s="41">
        <v>100</v>
      </c>
      <c r="J71" s="41">
        <v>100</v>
      </c>
    </row>
    <row r="72" spans="1:10" ht="76.5">
      <c r="A72" s="1"/>
      <c r="B72" s="25"/>
      <c r="C72" s="16" t="s">
        <v>89</v>
      </c>
      <c r="D72" s="16" t="s">
        <v>9</v>
      </c>
      <c r="E72" s="136" t="s">
        <v>479</v>
      </c>
      <c r="F72" s="16"/>
      <c r="G72" s="97" t="s">
        <v>161</v>
      </c>
      <c r="H72" s="41">
        <f>H73</f>
        <v>324.8</v>
      </c>
      <c r="I72" s="41">
        <f>I73</f>
        <v>100</v>
      </c>
      <c r="J72" s="41">
        <f>J73</f>
        <v>100</v>
      </c>
    </row>
    <row r="73" spans="1:10" ht="38.25">
      <c r="A73" s="1"/>
      <c r="B73" s="25"/>
      <c r="C73" s="16" t="s">
        <v>89</v>
      </c>
      <c r="D73" s="16" t="s">
        <v>9</v>
      </c>
      <c r="E73" s="136" t="s">
        <v>479</v>
      </c>
      <c r="F73" s="82" t="s">
        <v>214</v>
      </c>
      <c r="G73" s="98" t="s">
        <v>215</v>
      </c>
      <c r="H73" s="41">
        <f>330-5.2</f>
        <v>324.8</v>
      </c>
      <c r="I73" s="41">
        <v>100</v>
      </c>
      <c r="J73" s="41">
        <v>100</v>
      </c>
    </row>
    <row r="74" spans="1:10" ht="38.25">
      <c r="A74" s="1"/>
      <c r="B74" s="25"/>
      <c r="C74" s="16" t="s">
        <v>89</v>
      </c>
      <c r="D74" s="16" t="s">
        <v>9</v>
      </c>
      <c r="E74" s="74">
        <v>310223174</v>
      </c>
      <c r="F74" s="16"/>
      <c r="G74" s="97" t="s">
        <v>162</v>
      </c>
      <c r="H74" s="41">
        <f>SUM(H75:H76)</f>
        <v>26677.100000000002</v>
      </c>
      <c r="I74" s="41">
        <f t="shared" ref="I74:J74" si="25">SUM(I75:I76)</f>
        <v>7490</v>
      </c>
      <c r="J74" s="41">
        <f t="shared" si="25"/>
        <v>7490</v>
      </c>
    </row>
    <row r="75" spans="1:10" ht="38.25">
      <c r="A75" s="1"/>
      <c r="B75" s="25"/>
      <c r="C75" s="16" t="s">
        <v>89</v>
      </c>
      <c r="D75" s="16" t="s">
        <v>9</v>
      </c>
      <c r="E75" s="74">
        <v>310223174</v>
      </c>
      <c r="F75" s="82" t="s">
        <v>214</v>
      </c>
      <c r="G75" s="98" t="s">
        <v>215</v>
      </c>
      <c r="H75" s="41">
        <f>9373.3+1497.8+15466.2+97.4+222.5-36.8</f>
        <v>26620.400000000001</v>
      </c>
      <c r="I75" s="41">
        <v>7490</v>
      </c>
      <c r="J75" s="41">
        <v>7490</v>
      </c>
    </row>
    <row r="76" spans="1:10" ht="25.5">
      <c r="A76" s="1"/>
      <c r="B76" s="25"/>
      <c r="C76" s="16" t="s">
        <v>89</v>
      </c>
      <c r="D76" s="16" t="s">
        <v>9</v>
      </c>
      <c r="E76" s="74">
        <v>310223174</v>
      </c>
      <c r="F76" s="82" t="s">
        <v>132</v>
      </c>
      <c r="G76" s="98" t="s">
        <v>133</v>
      </c>
      <c r="H76" s="41">
        <f>16.3+40.4</f>
        <v>56.7</v>
      </c>
      <c r="I76" s="41">
        <v>0</v>
      </c>
      <c r="J76" s="41">
        <v>0</v>
      </c>
    </row>
    <row r="77" spans="1:10" ht="25.5">
      <c r="A77" s="1"/>
      <c r="B77" s="25"/>
      <c r="C77" s="5" t="s">
        <v>89</v>
      </c>
      <c r="D77" s="5" t="s">
        <v>9</v>
      </c>
      <c r="E77" s="83">
        <v>9900000000</v>
      </c>
      <c r="F77" s="5"/>
      <c r="G77" s="84" t="s">
        <v>145</v>
      </c>
      <c r="H77" s="96">
        <f>H78+H82+H87</f>
        <v>38933.300000000003</v>
      </c>
      <c r="I77" s="96">
        <f t="shared" ref="I77:J77" si="26">I78+I82+I87</f>
        <v>37618.5</v>
      </c>
      <c r="J77" s="96">
        <f t="shared" si="26"/>
        <v>36180.6</v>
      </c>
    </row>
    <row r="78" spans="1:10" ht="25.5">
      <c r="A78" s="1"/>
      <c r="B78" s="25"/>
      <c r="C78" s="16" t="s">
        <v>89</v>
      </c>
      <c r="D78" s="16" t="s">
        <v>9</v>
      </c>
      <c r="E78" s="79">
        <v>9930000000</v>
      </c>
      <c r="F78" s="16"/>
      <c r="G78" s="22" t="s">
        <v>41</v>
      </c>
      <c r="H78" s="39">
        <f>H79</f>
        <v>239.6</v>
      </c>
      <c r="I78" s="39">
        <f>I79</f>
        <v>241.6</v>
      </c>
      <c r="J78" s="39">
        <f t="shared" ref="J78" si="27">J79</f>
        <v>243.7</v>
      </c>
    </row>
    <row r="79" spans="1:10" ht="38.25">
      <c r="A79" s="1"/>
      <c r="B79" s="25"/>
      <c r="C79" s="16" t="s">
        <v>89</v>
      </c>
      <c r="D79" s="16" t="s">
        <v>9</v>
      </c>
      <c r="E79" s="79">
        <v>9930010540</v>
      </c>
      <c r="F79" s="16"/>
      <c r="G79" s="22" t="s">
        <v>16</v>
      </c>
      <c r="H79" s="39">
        <f>H80+H81</f>
        <v>239.6</v>
      </c>
      <c r="I79" s="39">
        <f>I80+I81</f>
        <v>241.6</v>
      </c>
      <c r="J79" s="39">
        <f t="shared" ref="J79" si="28">J80+J81</f>
        <v>243.7</v>
      </c>
    </row>
    <row r="80" spans="1:10" ht="38.25">
      <c r="A80" s="1"/>
      <c r="B80" s="25"/>
      <c r="C80" s="16" t="s">
        <v>89</v>
      </c>
      <c r="D80" s="16" t="s">
        <v>9</v>
      </c>
      <c r="E80" s="79">
        <v>9930010540</v>
      </c>
      <c r="F80" s="16" t="s">
        <v>63</v>
      </c>
      <c r="G80" s="102" t="s">
        <v>64</v>
      </c>
      <c r="H80" s="39">
        <v>217.7</v>
      </c>
      <c r="I80" s="39">
        <v>217.7</v>
      </c>
      <c r="J80" s="39">
        <v>217.7</v>
      </c>
    </row>
    <row r="81" spans="1:10" ht="38.25">
      <c r="A81" s="1"/>
      <c r="B81" s="25"/>
      <c r="C81" s="16" t="s">
        <v>89</v>
      </c>
      <c r="D81" s="16" t="s">
        <v>9</v>
      </c>
      <c r="E81" s="79">
        <v>9930010540</v>
      </c>
      <c r="F81" s="82" t="s">
        <v>214</v>
      </c>
      <c r="G81" s="98" t="s">
        <v>215</v>
      </c>
      <c r="H81" s="39">
        <v>21.9</v>
      </c>
      <c r="I81" s="39">
        <v>23.9</v>
      </c>
      <c r="J81" s="39">
        <v>26</v>
      </c>
    </row>
    <row r="82" spans="1:10" ht="38.25">
      <c r="A82" s="1"/>
      <c r="B82" s="25"/>
      <c r="C82" s="16" t="s">
        <v>89</v>
      </c>
      <c r="D82" s="16" t="s">
        <v>9</v>
      </c>
      <c r="E82" s="16" t="s">
        <v>25</v>
      </c>
      <c r="F82" s="16"/>
      <c r="G82" s="99" t="s">
        <v>39</v>
      </c>
      <c r="H82" s="39">
        <f>H83</f>
        <v>2983.7</v>
      </c>
      <c r="I82" s="39">
        <f t="shared" ref="I82:J82" si="29">I83</f>
        <v>1270</v>
      </c>
      <c r="J82" s="39">
        <f t="shared" si="29"/>
        <v>1270</v>
      </c>
    </row>
    <row r="83" spans="1:10" ht="25.5">
      <c r="A83" s="1"/>
      <c r="B83" s="25"/>
      <c r="C83" s="16" t="s">
        <v>89</v>
      </c>
      <c r="D83" s="16" t="s">
        <v>9</v>
      </c>
      <c r="E83" s="82" t="s">
        <v>574</v>
      </c>
      <c r="F83" s="16"/>
      <c r="G83" s="99" t="s">
        <v>40</v>
      </c>
      <c r="H83" s="39">
        <f>SUM(H84:H86)</f>
        <v>2983.7</v>
      </c>
      <c r="I83" s="39">
        <f>SUM(I84:I86)</f>
        <v>1270</v>
      </c>
      <c r="J83" s="39">
        <f>SUM(J84:J86)</f>
        <v>1270</v>
      </c>
    </row>
    <row r="84" spans="1:10" ht="38.25">
      <c r="A84" s="1"/>
      <c r="B84" s="25"/>
      <c r="C84" s="16" t="s">
        <v>89</v>
      </c>
      <c r="D84" s="16" t="s">
        <v>9</v>
      </c>
      <c r="E84" s="82" t="s">
        <v>574</v>
      </c>
      <c r="F84" s="82" t="s">
        <v>214</v>
      </c>
      <c r="G84" s="98" t="s">
        <v>215</v>
      </c>
      <c r="H84" s="39">
        <f>242+70</f>
        <v>312</v>
      </c>
      <c r="I84" s="39">
        <v>242</v>
      </c>
      <c r="J84" s="39">
        <v>242</v>
      </c>
    </row>
    <row r="85" spans="1:10">
      <c r="A85" s="1"/>
      <c r="B85" s="25"/>
      <c r="C85" s="16" t="s">
        <v>89</v>
      </c>
      <c r="D85" s="16" t="s">
        <v>9</v>
      </c>
      <c r="E85" s="82" t="s">
        <v>574</v>
      </c>
      <c r="F85" s="16" t="s">
        <v>82</v>
      </c>
      <c r="G85" s="98" t="s">
        <v>83</v>
      </c>
      <c r="H85" s="39">
        <v>426</v>
      </c>
      <c r="I85" s="39">
        <v>426</v>
      </c>
      <c r="J85" s="39">
        <v>426</v>
      </c>
    </row>
    <row r="86" spans="1:10" ht="25.5">
      <c r="A86" s="1"/>
      <c r="B86" s="25"/>
      <c r="C86" s="16" t="s">
        <v>89</v>
      </c>
      <c r="D86" s="16" t="s">
        <v>9</v>
      </c>
      <c r="E86" s="82" t="s">
        <v>574</v>
      </c>
      <c r="F86" s="82" t="s">
        <v>132</v>
      </c>
      <c r="G86" s="98" t="s">
        <v>133</v>
      </c>
      <c r="H86" s="39">
        <f>602+893.7+210+90+100+350</f>
        <v>2245.6999999999998</v>
      </c>
      <c r="I86" s="39">
        <v>602</v>
      </c>
      <c r="J86" s="39">
        <v>602</v>
      </c>
    </row>
    <row r="87" spans="1:10" ht="25.5">
      <c r="A87" s="1"/>
      <c r="B87" s="25"/>
      <c r="C87" s="16" t="s">
        <v>89</v>
      </c>
      <c r="D87" s="16" t="s">
        <v>9</v>
      </c>
      <c r="E87" s="82" t="s">
        <v>196</v>
      </c>
      <c r="F87" s="16"/>
      <c r="G87" s="99" t="s">
        <v>197</v>
      </c>
      <c r="H87" s="39">
        <f>H88+H91</f>
        <v>35710</v>
      </c>
      <c r="I87" s="39">
        <f>I88+I91</f>
        <v>36106.9</v>
      </c>
      <c r="J87" s="39">
        <f>J88+J91</f>
        <v>34666.9</v>
      </c>
    </row>
    <row r="88" spans="1:10" ht="38.25">
      <c r="A88" s="1"/>
      <c r="B88" s="25"/>
      <c r="C88" s="16" t="s">
        <v>89</v>
      </c>
      <c r="D88" s="16" t="s">
        <v>9</v>
      </c>
      <c r="E88" s="21" t="s">
        <v>576</v>
      </c>
      <c r="F88" s="47"/>
      <c r="G88" s="54" t="s">
        <v>289</v>
      </c>
      <c r="H88" s="41">
        <f>SUM(H89:H90)</f>
        <v>9871</v>
      </c>
      <c r="I88" s="41">
        <f>SUM(I89:I90)</f>
        <v>9871.1</v>
      </c>
      <c r="J88" s="41">
        <f>SUM(J89:J90)</f>
        <v>9871.1</v>
      </c>
    </row>
    <row r="89" spans="1:10" ht="25.5">
      <c r="A89" s="1"/>
      <c r="B89" s="25"/>
      <c r="C89" s="16" t="s">
        <v>89</v>
      </c>
      <c r="D89" s="16" t="s">
        <v>9</v>
      </c>
      <c r="E89" s="21" t="s">
        <v>576</v>
      </c>
      <c r="F89" s="16" t="s">
        <v>65</v>
      </c>
      <c r="G89" s="102" t="s">
        <v>131</v>
      </c>
      <c r="H89" s="41">
        <f>8277.8+830.1</f>
        <v>9107.9</v>
      </c>
      <c r="I89" s="41">
        <f>8277.8+830.2</f>
        <v>9108</v>
      </c>
      <c r="J89" s="41">
        <f>8277.8+830.2</f>
        <v>9108</v>
      </c>
    </row>
    <row r="90" spans="1:10" ht="38.25">
      <c r="A90" s="1"/>
      <c r="B90" s="25"/>
      <c r="C90" s="16" t="s">
        <v>89</v>
      </c>
      <c r="D90" s="16" t="s">
        <v>9</v>
      </c>
      <c r="E90" s="21" t="s">
        <v>576</v>
      </c>
      <c r="F90" s="82" t="s">
        <v>214</v>
      </c>
      <c r="G90" s="98" t="s">
        <v>215</v>
      </c>
      <c r="H90" s="41">
        <v>763.1</v>
      </c>
      <c r="I90" s="41">
        <v>763.1</v>
      </c>
      <c r="J90" s="41">
        <v>763.1</v>
      </c>
    </row>
    <row r="91" spans="1:10" ht="55.5" customHeight="1">
      <c r="A91" s="1"/>
      <c r="B91" s="25"/>
      <c r="C91" s="16" t="s">
        <v>89</v>
      </c>
      <c r="D91" s="16" t="s">
        <v>9</v>
      </c>
      <c r="E91" s="21" t="s">
        <v>578</v>
      </c>
      <c r="F91" s="47"/>
      <c r="G91" s="54" t="s">
        <v>577</v>
      </c>
      <c r="H91" s="41">
        <f>SUM(H92:H94)</f>
        <v>25838.999999999996</v>
      </c>
      <c r="I91" s="41">
        <f>SUM(I92:I94)</f>
        <v>26235.8</v>
      </c>
      <c r="J91" s="41">
        <f>SUM(J92:J94)</f>
        <v>24795.8</v>
      </c>
    </row>
    <row r="92" spans="1:10" ht="25.5">
      <c r="A92" s="1"/>
      <c r="B92" s="25"/>
      <c r="C92" s="16" t="s">
        <v>89</v>
      </c>
      <c r="D92" s="16" t="s">
        <v>9</v>
      </c>
      <c r="E92" s="21" t="s">
        <v>578</v>
      </c>
      <c r="F92" s="16" t="s">
        <v>65</v>
      </c>
      <c r="G92" s="102" t="s">
        <v>131</v>
      </c>
      <c r="H92" s="41">
        <f>9754.4+975.4-235</f>
        <v>10494.8</v>
      </c>
      <c r="I92" s="41">
        <f>9754.4+975.4</f>
        <v>10729.8</v>
      </c>
      <c r="J92" s="41">
        <f>9754.4+975.4</f>
        <v>10729.8</v>
      </c>
    </row>
    <row r="93" spans="1:10" ht="38.25">
      <c r="A93" s="1"/>
      <c r="B93" s="25"/>
      <c r="C93" s="16" t="s">
        <v>89</v>
      </c>
      <c r="D93" s="16" t="s">
        <v>9</v>
      </c>
      <c r="E93" s="21" t="s">
        <v>578</v>
      </c>
      <c r="F93" s="82" t="s">
        <v>214</v>
      </c>
      <c r="G93" s="98" t="s">
        <v>215</v>
      </c>
      <c r="H93" s="41">
        <v>15223.4</v>
      </c>
      <c r="I93" s="41">
        <v>15385.2</v>
      </c>
      <c r="J93" s="41">
        <v>13945.2</v>
      </c>
    </row>
    <row r="94" spans="1:10" ht="25.5">
      <c r="A94" s="1"/>
      <c r="B94" s="25"/>
      <c r="C94" s="16" t="s">
        <v>89</v>
      </c>
      <c r="D94" s="16" t="s">
        <v>9</v>
      </c>
      <c r="E94" s="21" t="s">
        <v>578</v>
      </c>
      <c r="F94" s="82" t="s">
        <v>132</v>
      </c>
      <c r="G94" s="98" t="s">
        <v>133</v>
      </c>
      <c r="H94" s="107">
        <v>120.8</v>
      </c>
      <c r="I94" s="107">
        <v>120.8</v>
      </c>
      <c r="J94" s="107">
        <v>120.8</v>
      </c>
    </row>
    <row r="95" spans="1:10" ht="45">
      <c r="A95" s="3"/>
      <c r="B95" s="91"/>
      <c r="C95" s="4" t="s">
        <v>94</v>
      </c>
      <c r="D95" s="3"/>
      <c r="E95" s="3"/>
      <c r="F95" s="3"/>
      <c r="G95" s="49" t="s">
        <v>99</v>
      </c>
      <c r="H95" s="92">
        <f>H96+H102+H132</f>
        <v>9548.2999999999993</v>
      </c>
      <c r="I95" s="92">
        <f t="shared" ref="I95:J95" si="30">I96+I102+I132</f>
        <v>8779.6</v>
      </c>
      <c r="J95" s="92">
        <f t="shared" si="30"/>
        <v>8809</v>
      </c>
    </row>
    <row r="96" spans="1:10" ht="15.75">
      <c r="A96" s="3"/>
      <c r="B96" s="91"/>
      <c r="C96" s="28" t="s">
        <v>94</v>
      </c>
      <c r="D96" s="28" t="s">
        <v>95</v>
      </c>
      <c r="E96" s="28"/>
      <c r="F96" s="34"/>
      <c r="G96" s="46" t="s">
        <v>18</v>
      </c>
      <c r="H96" s="40">
        <f t="shared" ref="H96" si="31">H99</f>
        <v>1202</v>
      </c>
      <c r="I96" s="40">
        <f t="shared" ref="I96" si="32">I99</f>
        <v>1268.1000000000001</v>
      </c>
      <c r="J96" s="40">
        <f t="shared" ref="J96" si="33">J99</f>
        <v>1268.1000000000001</v>
      </c>
    </row>
    <row r="97" spans="1:10" ht="25.5">
      <c r="A97" s="3"/>
      <c r="B97" s="91"/>
      <c r="C97" s="16" t="s">
        <v>94</v>
      </c>
      <c r="D97" s="16" t="s">
        <v>95</v>
      </c>
      <c r="E97" s="79">
        <v>9900000000</v>
      </c>
      <c r="F97" s="34"/>
      <c r="G97" s="55" t="s">
        <v>145</v>
      </c>
      <c r="H97" s="41">
        <f t="shared" ref="H97:J98" si="34">H98</f>
        <v>1202</v>
      </c>
      <c r="I97" s="41">
        <f t="shared" si="34"/>
        <v>1268.1000000000001</v>
      </c>
      <c r="J97" s="41">
        <f t="shared" si="34"/>
        <v>1268.1000000000001</v>
      </c>
    </row>
    <row r="98" spans="1:10" ht="26.25">
      <c r="A98" s="3"/>
      <c r="B98" s="91"/>
      <c r="C98" s="16" t="s">
        <v>94</v>
      </c>
      <c r="D98" s="16" t="s">
        <v>95</v>
      </c>
      <c r="E98" s="79">
        <v>9930000000</v>
      </c>
      <c r="F98" s="16"/>
      <c r="G98" s="22" t="s">
        <v>41</v>
      </c>
      <c r="H98" s="41">
        <f t="shared" si="34"/>
        <v>1202</v>
      </c>
      <c r="I98" s="41">
        <f t="shared" si="34"/>
        <v>1268.1000000000001</v>
      </c>
      <c r="J98" s="41">
        <f t="shared" si="34"/>
        <v>1268.1000000000001</v>
      </c>
    </row>
    <row r="99" spans="1:10" ht="51.75">
      <c r="A99" s="3"/>
      <c r="B99" s="91"/>
      <c r="C99" s="16" t="s">
        <v>94</v>
      </c>
      <c r="D99" s="16" t="s">
        <v>95</v>
      </c>
      <c r="E99" s="79">
        <v>9930059302</v>
      </c>
      <c r="F99" s="16"/>
      <c r="G99" s="99" t="s">
        <v>373</v>
      </c>
      <c r="H99" s="39">
        <f t="shared" ref="H99" si="35">SUM(H100:H101)</f>
        <v>1202</v>
      </c>
      <c r="I99" s="39">
        <f t="shared" ref="I99" si="36">SUM(I100:I101)</f>
        <v>1268.1000000000001</v>
      </c>
      <c r="J99" s="39">
        <f t="shared" ref="J99" si="37">SUM(J100:J101)</f>
        <v>1268.1000000000001</v>
      </c>
    </row>
    <row r="100" spans="1:10" ht="38.25">
      <c r="A100" s="3"/>
      <c r="B100" s="91"/>
      <c r="C100" s="16" t="s">
        <v>94</v>
      </c>
      <c r="D100" s="16" t="s">
        <v>95</v>
      </c>
      <c r="E100" s="79">
        <v>9930059302</v>
      </c>
      <c r="F100" s="16" t="s">
        <v>63</v>
      </c>
      <c r="G100" s="55" t="s">
        <v>64</v>
      </c>
      <c r="H100" s="39">
        <v>1136.9000000000001</v>
      </c>
      <c r="I100" s="39">
        <v>1136.9000000000001</v>
      </c>
      <c r="J100" s="39">
        <v>1136.9000000000001</v>
      </c>
    </row>
    <row r="101" spans="1:10" ht="38.25">
      <c r="A101" s="3"/>
      <c r="B101" s="91"/>
      <c r="C101" s="16" t="s">
        <v>94</v>
      </c>
      <c r="D101" s="16" t="s">
        <v>95</v>
      </c>
      <c r="E101" s="79">
        <v>9930059302</v>
      </c>
      <c r="F101" s="82" t="s">
        <v>214</v>
      </c>
      <c r="G101" s="98" t="s">
        <v>215</v>
      </c>
      <c r="H101" s="39">
        <v>65.099999999999994</v>
      </c>
      <c r="I101" s="39">
        <v>131.19999999999999</v>
      </c>
      <c r="J101" s="39">
        <v>131.19999999999999</v>
      </c>
    </row>
    <row r="102" spans="1:10" ht="51.75">
      <c r="A102" s="3"/>
      <c r="B102" s="91"/>
      <c r="C102" s="28" t="s">
        <v>94</v>
      </c>
      <c r="D102" s="28" t="s">
        <v>111</v>
      </c>
      <c r="E102" s="28"/>
      <c r="F102" s="34"/>
      <c r="G102" s="46" t="s">
        <v>127</v>
      </c>
      <c r="H102" s="40">
        <f>H103+H127</f>
        <v>8346.2999999999993</v>
      </c>
      <c r="I102" s="40">
        <f>I103+I127</f>
        <v>7511.5</v>
      </c>
      <c r="J102" s="40">
        <f>J103+J127</f>
        <v>7511.5</v>
      </c>
    </row>
    <row r="103" spans="1:10" ht="90">
      <c r="A103" s="3"/>
      <c r="B103" s="91"/>
      <c r="C103" s="21" t="s">
        <v>94</v>
      </c>
      <c r="D103" s="21" t="s">
        <v>111</v>
      </c>
      <c r="E103" s="73" t="s">
        <v>51</v>
      </c>
      <c r="F103" s="16"/>
      <c r="G103" s="64" t="s">
        <v>627</v>
      </c>
      <c r="H103" s="59">
        <f>H104+H110+H115+H121</f>
        <v>2334.7999999999997</v>
      </c>
      <c r="I103" s="59">
        <f t="shared" ref="I103:J103" si="38">I104+I110+I115+I121</f>
        <v>1500</v>
      </c>
      <c r="J103" s="59">
        <f t="shared" si="38"/>
        <v>1500</v>
      </c>
    </row>
    <row r="104" spans="1:10" ht="54.75" customHeight="1">
      <c r="A104" s="3"/>
      <c r="B104" s="91"/>
      <c r="C104" s="21" t="s">
        <v>94</v>
      </c>
      <c r="D104" s="21" t="s">
        <v>111</v>
      </c>
      <c r="E104" s="52" t="s">
        <v>52</v>
      </c>
      <c r="F104" s="16"/>
      <c r="G104" s="48" t="s">
        <v>205</v>
      </c>
      <c r="H104" s="93">
        <f>H106+H108</f>
        <v>337.4</v>
      </c>
      <c r="I104" s="93">
        <f t="shared" ref="I104:J104" si="39">I106+I108</f>
        <v>80</v>
      </c>
      <c r="J104" s="93">
        <f t="shared" si="39"/>
        <v>80</v>
      </c>
    </row>
    <row r="105" spans="1:10" ht="64.5">
      <c r="A105" s="3"/>
      <c r="B105" s="91"/>
      <c r="C105" s="21" t="s">
        <v>94</v>
      </c>
      <c r="D105" s="21" t="s">
        <v>111</v>
      </c>
      <c r="E105" s="21" t="s">
        <v>221</v>
      </c>
      <c r="F105" s="16"/>
      <c r="G105" s="99" t="s">
        <v>297</v>
      </c>
      <c r="H105" s="39">
        <f>H106+H108</f>
        <v>337.4</v>
      </c>
      <c r="I105" s="39">
        <f t="shared" ref="I105:J105" si="40">I106+I108</f>
        <v>80</v>
      </c>
      <c r="J105" s="39">
        <f t="shared" si="40"/>
        <v>80</v>
      </c>
    </row>
    <row r="106" spans="1:10" ht="39">
      <c r="A106" s="3"/>
      <c r="B106" s="91"/>
      <c r="C106" s="21" t="s">
        <v>94</v>
      </c>
      <c r="D106" s="21" t="s">
        <v>111</v>
      </c>
      <c r="E106" s="74">
        <v>1110123305</v>
      </c>
      <c r="F106" s="16"/>
      <c r="G106" s="99" t="s">
        <v>220</v>
      </c>
      <c r="H106" s="39">
        <f>H107</f>
        <v>297.39999999999998</v>
      </c>
      <c r="I106" s="39">
        <f>I107</f>
        <v>40</v>
      </c>
      <c r="J106" s="39">
        <f>J107</f>
        <v>40</v>
      </c>
    </row>
    <row r="107" spans="1:10" ht="38.25">
      <c r="A107" s="3"/>
      <c r="B107" s="91"/>
      <c r="C107" s="21" t="s">
        <v>94</v>
      </c>
      <c r="D107" s="21" t="s">
        <v>111</v>
      </c>
      <c r="E107" s="74">
        <v>1110123305</v>
      </c>
      <c r="F107" s="82" t="s">
        <v>214</v>
      </c>
      <c r="G107" s="98" t="s">
        <v>215</v>
      </c>
      <c r="H107" s="39">
        <v>297.39999999999998</v>
      </c>
      <c r="I107" s="39">
        <v>40</v>
      </c>
      <c r="J107" s="39">
        <v>40</v>
      </c>
    </row>
    <row r="108" spans="1:10" ht="51.75">
      <c r="A108" s="3"/>
      <c r="B108" s="91"/>
      <c r="C108" s="21" t="s">
        <v>94</v>
      </c>
      <c r="D108" s="21" t="s">
        <v>111</v>
      </c>
      <c r="E108" s="74">
        <v>1110123310</v>
      </c>
      <c r="F108" s="16"/>
      <c r="G108" s="99" t="s">
        <v>208</v>
      </c>
      <c r="H108" s="41">
        <f>H109</f>
        <v>40</v>
      </c>
      <c r="I108" s="41">
        <f>I109</f>
        <v>40</v>
      </c>
      <c r="J108" s="41">
        <f>J109</f>
        <v>40</v>
      </c>
    </row>
    <row r="109" spans="1:10" ht="38.25">
      <c r="A109" s="3"/>
      <c r="B109" s="91"/>
      <c r="C109" s="21" t="s">
        <v>94</v>
      </c>
      <c r="D109" s="21" t="s">
        <v>111</v>
      </c>
      <c r="E109" s="74">
        <v>1110123310</v>
      </c>
      <c r="F109" s="82" t="s">
        <v>214</v>
      </c>
      <c r="G109" s="98" t="s">
        <v>215</v>
      </c>
      <c r="H109" s="41">
        <v>40</v>
      </c>
      <c r="I109" s="41">
        <v>40</v>
      </c>
      <c r="J109" s="41">
        <v>40</v>
      </c>
    </row>
    <row r="110" spans="1:10" ht="39">
      <c r="A110" s="3"/>
      <c r="B110" s="91"/>
      <c r="C110" s="21" t="s">
        <v>94</v>
      </c>
      <c r="D110" s="21" t="s">
        <v>111</v>
      </c>
      <c r="E110" s="52" t="s">
        <v>53</v>
      </c>
      <c r="F110" s="82"/>
      <c r="G110" s="48" t="s">
        <v>201</v>
      </c>
      <c r="H110" s="41">
        <f t="shared" ref="H110:J111" si="41">H111</f>
        <v>1972.3999999999999</v>
      </c>
      <c r="I110" s="41">
        <f t="shared" si="41"/>
        <v>1400</v>
      </c>
      <c r="J110" s="41">
        <f t="shared" si="41"/>
        <v>1400</v>
      </c>
    </row>
    <row r="111" spans="1:10" ht="51.75">
      <c r="A111" s="3"/>
      <c r="B111" s="91"/>
      <c r="C111" s="21" t="s">
        <v>94</v>
      </c>
      <c r="D111" s="21" t="s">
        <v>111</v>
      </c>
      <c r="E111" s="21" t="s">
        <v>222</v>
      </c>
      <c r="F111" s="82"/>
      <c r="G111" s="99" t="s">
        <v>308</v>
      </c>
      <c r="H111" s="41">
        <f t="shared" si="41"/>
        <v>1972.3999999999999</v>
      </c>
      <c r="I111" s="41">
        <f t="shared" si="41"/>
        <v>1400</v>
      </c>
      <c r="J111" s="41">
        <f t="shared" si="41"/>
        <v>1400</v>
      </c>
    </row>
    <row r="112" spans="1:10" ht="38.25">
      <c r="A112" s="3"/>
      <c r="B112" s="91"/>
      <c r="C112" s="21" t="s">
        <v>94</v>
      </c>
      <c r="D112" s="21" t="s">
        <v>111</v>
      </c>
      <c r="E112" s="74">
        <v>1120123315</v>
      </c>
      <c r="F112" s="16"/>
      <c r="G112" s="98" t="s">
        <v>542</v>
      </c>
      <c r="H112" s="41">
        <f>SUM(H113:H114)</f>
        <v>1972.3999999999999</v>
      </c>
      <c r="I112" s="41">
        <f>SUM(I113:I114)</f>
        <v>1400</v>
      </c>
      <c r="J112" s="41">
        <f>SUM(J113:J114)</f>
        <v>1400</v>
      </c>
    </row>
    <row r="113" spans="1:10" ht="25.5">
      <c r="A113" s="3"/>
      <c r="B113" s="91"/>
      <c r="C113" s="21" t="s">
        <v>94</v>
      </c>
      <c r="D113" s="21" t="s">
        <v>111</v>
      </c>
      <c r="E113" s="74">
        <v>1120123315</v>
      </c>
      <c r="F113" s="82" t="s">
        <v>65</v>
      </c>
      <c r="G113" s="55" t="s">
        <v>131</v>
      </c>
      <c r="H113" s="41">
        <v>118.1</v>
      </c>
      <c r="I113" s="41">
        <v>51.2</v>
      </c>
      <c r="J113" s="41">
        <v>51.2</v>
      </c>
    </row>
    <row r="114" spans="1:10" ht="38.25">
      <c r="A114" s="3"/>
      <c r="B114" s="91"/>
      <c r="C114" s="21" t="s">
        <v>94</v>
      </c>
      <c r="D114" s="21" t="s">
        <v>111</v>
      </c>
      <c r="E114" s="74">
        <v>1120123315</v>
      </c>
      <c r="F114" s="82" t="s">
        <v>214</v>
      </c>
      <c r="G114" s="98" t="s">
        <v>215</v>
      </c>
      <c r="H114" s="41">
        <v>1854.3</v>
      </c>
      <c r="I114" s="41">
        <v>1348.8</v>
      </c>
      <c r="J114" s="41">
        <v>1348.8</v>
      </c>
    </row>
    <row r="115" spans="1:10" ht="51.75">
      <c r="A115" s="3"/>
      <c r="B115" s="91"/>
      <c r="C115" s="21" t="s">
        <v>94</v>
      </c>
      <c r="D115" s="21" t="s">
        <v>111</v>
      </c>
      <c r="E115" s="52" t="s">
        <v>54</v>
      </c>
      <c r="F115" s="16"/>
      <c r="G115" s="48" t="s">
        <v>255</v>
      </c>
      <c r="H115" s="93">
        <f>H116</f>
        <v>10</v>
      </c>
      <c r="I115" s="93">
        <f>I116</f>
        <v>5</v>
      </c>
      <c r="J115" s="93">
        <f>J116</f>
        <v>5</v>
      </c>
    </row>
    <row r="116" spans="1:10" ht="67.5" customHeight="1">
      <c r="A116" s="3"/>
      <c r="B116" s="91"/>
      <c r="C116" s="21" t="s">
        <v>94</v>
      </c>
      <c r="D116" s="21" t="s">
        <v>111</v>
      </c>
      <c r="E116" s="21" t="s">
        <v>223</v>
      </c>
      <c r="F116" s="16"/>
      <c r="G116" s="99" t="s">
        <v>317</v>
      </c>
      <c r="H116" s="39">
        <f>H117+H119</f>
        <v>10</v>
      </c>
      <c r="I116" s="39">
        <f>I117+I119</f>
        <v>5</v>
      </c>
      <c r="J116" s="39">
        <f>J117+J119</f>
        <v>5</v>
      </c>
    </row>
    <row r="117" spans="1:10" ht="25.5">
      <c r="A117" s="3"/>
      <c r="B117" s="91"/>
      <c r="C117" s="21" t="s">
        <v>94</v>
      </c>
      <c r="D117" s="21" t="s">
        <v>111</v>
      </c>
      <c r="E117" s="74">
        <v>1130123320</v>
      </c>
      <c r="F117" s="16"/>
      <c r="G117" s="98" t="s">
        <v>256</v>
      </c>
      <c r="H117" s="41">
        <f>H118</f>
        <v>6.8</v>
      </c>
      <c r="I117" s="41">
        <f>I118</f>
        <v>4</v>
      </c>
      <c r="J117" s="41">
        <f>J118</f>
        <v>4</v>
      </c>
    </row>
    <row r="118" spans="1:10" ht="38.25">
      <c r="A118" s="3"/>
      <c r="B118" s="91"/>
      <c r="C118" s="21" t="s">
        <v>94</v>
      </c>
      <c r="D118" s="21" t="s">
        <v>111</v>
      </c>
      <c r="E118" s="74">
        <v>1130123320</v>
      </c>
      <c r="F118" s="82" t="s">
        <v>214</v>
      </c>
      <c r="G118" s="98" t="s">
        <v>215</v>
      </c>
      <c r="H118" s="41">
        <f>8-1.2</f>
        <v>6.8</v>
      </c>
      <c r="I118" s="41">
        <v>4</v>
      </c>
      <c r="J118" s="41">
        <v>4</v>
      </c>
    </row>
    <row r="119" spans="1:10" ht="38.25">
      <c r="A119" s="3"/>
      <c r="B119" s="91"/>
      <c r="C119" s="21" t="s">
        <v>94</v>
      </c>
      <c r="D119" s="21" t="s">
        <v>111</v>
      </c>
      <c r="E119" s="74">
        <v>1130123325</v>
      </c>
      <c r="F119" s="16"/>
      <c r="G119" s="98" t="s">
        <v>224</v>
      </c>
      <c r="H119" s="41">
        <f>H120</f>
        <v>3.2</v>
      </c>
      <c r="I119" s="41">
        <f>I120</f>
        <v>1</v>
      </c>
      <c r="J119" s="41">
        <f>J120</f>
        <v>1</v>
      </c>
    </row>
    <row r="120" spans="1:10" ht="38.25">
      <c r="A120" s="3"/>
      <c r="B120" s="91"/>
      <c r="C120" s="21" t="s">
        <v>94</v>
      </c>
      <c r="D120" s="21" t="s">
        <v>111</v>
      </c>
      <c r="E120" s="74">
        <v>1130123325</v>
      </c>
      <c r="F120" s="82" t="s">
        <v>214</v>
      </c>
      <c r="G120" s="98" t="s">
        <v>215</v>
      </c>
      <c r="H120" s="41">
        <f>2+1.2</f>
        <v>3.2</v>
      </c>
      <c r="I120" s="41">
        <v>1</v>
      </c>
      <c r="J120" s="41">
        <v>1</v>
      </c>
    </row>
    <row r="121" spans="1:10" ht="64.5">
      <c r="A121" s="3"/>
      <c r="B121" s="91"/>
      <c r="C121" s="21" t="s">
        <v>94</v>
      </c>
      <c r="D121" s="21" t="s">
        <v>111</v>
      </c>
      <c r="E121" s="52" t="s">
        <v>55</v>
      </c>
      <c r="F121" s="16"/>
      <c r="G121" s="48" t="s">
        <v>206</v>
      </c>
      <c r="H121" s="93">
        <f>H122</f>
        <v>15</v>
      </c>
      <c r="I121" s="93">
        <f t="shared" ref="I121:J121" si="42">I122</f>
        <v>15</v>
      </c>
      <c r="J121" s="93">
        <f t="shared" si="42"/>
        <v>15</v>
      </c>
    </row>
    <row r="122" spans="1:10" ht="51" customHeight="1">
      <c r="A122" s="3"/>
      <c r="B122" s="91"/>
      <c r="C122" s="21" t="s">
        <v>94</v>
      </c>
      <c r="D122" s="21" t="s">
        <v>111</v>
      </c>
      <c r="E122" s="21" t="s">
        <v>296</v>
      </c>
      <c r="F122" s="82"/>
      <c r="G122" s="98" t="s">
        <v>225</v>
      </c>
      <c r="H122" s="41">
        <f>H123+H125</f>
        <v>15</v>
      </c>
      <c r="I122" s="41">
        <f t="shared" ref="I122:J122" si="43">I123+I125</f>
        <v>15</v>
      </c>
      <c r="J122" s="41">
        <f t="shared" si="43"/>
        <v>15</v>
      </c>
    </row>
    <row r="123" spans="1:10" ht="25.5">
      <c r="A123" s="3"/>
      <c r="B123" s="91"/>
      <c r="C123" s="21" t="s">
        <v>94</v>
      </c>
      <c r="D123" s="21" t="s">
        <v>111</v>
      </c>
      <c r="E123" s="74">
        <v>1140123330</v>
      </c>
      <c r="F123" s="16"/>
      <c r="G123" s="98" t="s">
        <v>195</v>
      </c>
      <c r="H123" s="41">
        <f>H124</f>
        <v>12</v>
      </c>
      <c r="I123" s="41">
        <f>I124</f>
        <v>12</v>
      </c>
      <c r="J123" s="41">
        <f>J124</f>
        <v>12</v>
      </c>
    </row>
    <row r="124" spans="1:10" ht="38.25">
      <c r="A124" s="3"/>
      <c r="B124" s="91"/>
      <c r="C124" s="21" t="s">
        <v>94</v>
      </c>
      <c r="D124" s="21" t="s">
        <v>111</v>
      </c>
      <c r="E124" s="74">
        <v>1140123330</v>
      </c>
      <c r="F124" s="82" t="s">
        <v>214</v>
      </c>
      <c r="G124" s="98" t="s">
        <v>215</v>
      </c>
      <c r="H124" s="41">
        <v>12</v>
      </c>
      <c r="I124" s="41">
        <v>12</v>
      </c>
      <c r="J124" s="41">
        <v>12</v>
      </c>
    </row>
    <row r="125" spans="1:10" ht="38.25">
      <c r="A125" s="3"/>
      <c r="B125" s="91"/>
      <c r="C125" s="21" t="s">
        <v>94</v>
      </c>
      <c r="D125" s="21" t="s">
        <v>111</v>
      </c>
      <c r="E125" s="74">
        <v>1140123335</v>
      </c>
      <c r="F125" s="16"/>
      <c r="G125" s="98" t="s">
        <v>226</v>
      </c>
      <c r="H125" s="41">
        <f>H126</f>
        <v>3</v>
      </c>
      <c r="I125" s="41">
        <f>I126</f>
        <v>3</v>
      </c>
      <c r="J125" s="41">
        <f>J126</f>
        <v>3</v>
      </c>
    </row>
    <row r="126" spans="1:10" ht="38.25">
      <c r="A126" s="3"/>
      <c r="B126" s="91"/>
      <c r="C126" s="21" t="s">
        <v>94</v>
      </c>
      <c r="D126" s="21" t="s">
        <v>111</v>
      </c>
      <c r="E126" s="74">
        <v>1140123335</v>
      </c>
      <c r="F126" s="82" t="s">
        <v>214</v>
      </c>
      <c r="G126" s="98" t="s">
        <v>215</v>
      </c>
      <c r="H126" s="41">
        <v>3</v>
      </c>
      <c r="I126" s="41">
        <v>3</v>
      </c>
      <c r="J126" s="41">
        <v>3</v>
      </c>
    </row>
    <row r="127" spans="1:10" ht="25.5">
      <c r="A127" s="3"/>
      <c r="B127" s="91"/>
      <c r="C127" s="81" t="s">
        <v>94</v>
      </c>
      <c r="D127" s="81" t="s">
        <v>111</v>
      </c>
      <c r="E127" s="73" t="s">
        <v>196</v>
      </c>
      <c r="F127" s="33"/>
      <c r="G127" s="84" t="s">
        <v>145</v>
      </c>
      <c r="H127" s="61">
        <f t="shared" ref="H127:J127" si="44">H128</f>
        <v>6011.5</v>
      </c>
      <c r="I127" s="61">
        <f t="shared" si="44"/>
        <v>6011.5</v>
      </c>
      <c r="J127" s="61">
        <f t="shared" si="44"/>
        <v>6011.5</v>
      </c>
    </row>
    <row r="128" spans="1:10" ht="63.75">
      <c r="A128" s="3"/>
      <c r="B128" s="91"/>
      <c r="C128" s="21" t="s">
        <v>94</v>
      </c>
      <c r="D128" s="21" t="s">
        <v>111</v>
      </c>
      <c r="E128" s="21" t="s">
        <v>575</v>
      </c>
      <c r="F128" s="47"/>
      <c r="G128" s="54" t="s">
        <v>579</v>
      </c>
      <c r="H128" s="41">
        <f>SUM(H129:H131)</f>
        <v>6011.5</v>
      </c>
      <c r="I128" s="41">
        <f>SUM(I129:I131)</f>
        <v>6011.5</v>
      </c>
      <c r="J128" s="41">
        <f t="shared" ref="J128" si="45">SUM(J129:J131)</f>
        <v>6011.5</v>
      </c>
    </row>
    <row r="129" spans="1:10" ht="25.5">
      <c r="A129" s="3"/>
      <c r="B129" s="91"/>
      <c r="C129" s="21" t="s">
        <v>94</v>
      </c>
      <c r="D129" s="21" t="s">
        <v>111</v>
      </c>
      <c r="E129" s="21" t="s">
        <v>575</v>
      </c>
      <c r="F129" s="16" t="s">
        <v>65</v>
      </c>
      <c r="G129" s="102" t="s">
        <v>131</v>
      </c>
      <c r="H129" s="41">
        <f>4638.4+525</f>
        <v>5163.3999999999996</v>
      </c>
      <c r="I129" s="41">
        <f>4638.4+525</f>
        <v>5163.3999999999996</v>
      </c>
      <c r="J129" s="41">
        <f>4638.4+525</f>
        <v>5163.3999999999996</v>
      </c>
    </row>
    <row r="130" spans="1:10" ht="38.25">
      <c r="A130" s="3"/>
      <c r="B130" s="91"/>
      <c r="C130" s="21" t="s">
        <v>94</v>
      </c>
      <c r="D130" s="21" t="s">
        <v>111</v>
      </c>
      <c r="E130" s="21" t="s">
        <v>575</v>
      </c>
      <c r="F130" s="82" t="s">
        <v>214</v>
      </c>
      <c r="G130" s="98" t="s">
        <v>215</v>
      </c>
      <c r="H130" s="41">
        <v>843.1</v>
      </c>
      <c r="I130" s="41">
        <v>843.1</v>
      </c>
      <c r="J130" s="41">
        <v>843.1</v>
      </c>
    </row>
    <row r="131" spans="1:10" ht="25.5">
      <c r="A131" s="3"/>
      <c r="B131" s="91"/>
      <c r="C131" s="21" t="s">
        <v>94</v>
      </c>
      <c r="D131" s="21" t="s">
        <v>111</v>
      </c>
      <c r="E131" s="21" t="s">
        <v>575</v>
      </c>
      <c r="F131" s="82" t="s">
        <v>132</v>
      </c>
      <c r="G131" s="98" t="s">
        <v>133</v>
      </c>
      <c r="H131" s="41">
        <v>5</v>
      </c>
      <c r="I131" s="41">
        <v>5</v>
      </c>
      <c r="J131" s="41">
        <v>5</v>
      </c>
    </row>
    <row r="132" spans="1:10" ht="39">
      <c r="A132" s="3"/>
      <c r="B132" s="91"/>
      <c r="C132" s="28" t="s">
        <v>94</v>
      </c>
      <c r="D132" s="28" t="s">
        <v>122</v>
      </c>
      <c r="E132" s="28"/>
      <c r="F132" s="34"/>
      <c r="G132" s="46" t="s">
        <v>22</v>
      </c>
      <c r="H132" s="40">
        <f>H133</f>
        <v>0</v>
      </c>
      <c r="I132" s="40">
        <f t="shared" ref="I132:J132" si="46">I133</f>
        <v>0</v>
      </c>
      <c r="J132" s="40">
        <f t="shared" si="46"/>
        <v>29.4</v>
      </c>
    </row>
    <row r="133" spans="1:10" ht="90.75" customHeight="1">
      <c r="A133" s="3"/>
      <c r="B133" s="91"/>
      <c r="C133" s="73" t="s">
        <v>94</v>
      </c>
      <c r="D133" s="73" t="s">
        <v>122</v>
      </c>
      <c r="E133" s="73" t="s">
        <v>230</v>
      </c>
      <c r="F133" s="16"/>
      <c r="G133" s="64" t="s">
        <v>632</v>
      </c>
      <c r="H133" s="96">
        <f t="shared" ref="H133:J134" si="47">H134</f>
        <v>0</v>
      </c>
      <c r="I133" s="96">
        <f t="shared" si="47"/>
        <v>0</v>
      </c>
      <c r="J133" s="96">
        <f t="shared" si="47"/>
        <v>29.4</v>
      </c>
    </row>
    <row r="134" spans="1:10" ht="51.75">
      <c r="A134" s="3"/>
      <c r="B134" s="91"/>
      <c r="C134" s="21" t="s">
        <v>94</v>
      </c>
      <c r="D134" s="21" t="s">
        <v>122</v>
      </c>
      <c r="E134" s="52" t="s">
        <v>231</v>
      </c>
      <c r="F134" s="16"/>
      <c r="G134" s="48" t="s">
        <v>232</v>
      </c>
      <c r="H134" s="58">
        <f>H135</f>
        <v>0</v>
      </c>
      <c r="I134" s="58">
        <f t="shared" si="47"/>
        <v>0</v>
      </c>
      <c r="J134" s="58">
        <f t="shared" si="47"/>
        <v>29.4</v>
      </c>
    </row>
    <row r="135" spans="1:10" ht="51.75">
      <c r="A135" s="3"/>
      <c r="B135" s="91"/>
      <c r="C135" s="21" t="s">
        <v>94</v>
      </c>
      <c r="D135" s="21" t="s">
        <v>122</v>
      </c>
      <c r="E135" s="21" t="s">
        <v>233</v>
      </c>
      <c r="F135" s="16"/>
      <c r="G135" s="99" t="s">
        <v>234</v>
      </c>
      <c r="H135" s="94">
        <f>H136+H138</f>
        <v>0</v>
      </c>
      <c r="I135" s="94">
        <f t="shared" ref="I135:J135" si="48">I136+I138</f>
        <v>0</v>
      </c>
      <c r="J135" s="94">
        <f t="shared" si="48"/>
        <v>29.4</v>
      </c>
    </row>
    <row r="136" spans="1:10" ht="38.25">
      <c r="A136" s="3"/>
      <c r="B136" s="91"/>
      <c r="C136" s="21" t="s">
        <v>94</v>
      </c>
      <c r="D136" s="21" t="s">
        <v>122</v>
      </c>
      <c r="E136" s="21" t="s">
        <v>572</v>
      </c>
      <c r="F136" s="16"/>
      <c r="G136" s="98" t="s">
        <v>366</v>
      </c>
      <c r="H136" s="94">
        <f t="shared" ref="H136:J138" si="49">H137</f>
        <v>0</v>
      </c>
      <c r="I136" s="94">
        <f t="shared" si="49"/>
        <v>0</v>
      </c>
      <c r="J136" s="94">
        <f t="shared" si="49"/>
        <v>23.4</v>
      </c>
    </row>
    <row r="137" spans="1:10" ht="38.25">
      <c r="A137" s="3"/>
      <c r="B137" s="91"/>
      <c r="C137" s="21" t="s">
        <v>94</v>
      </c>
      <c r="D137" s="21" t="s">
        <v>122</v>
      </c>
      <c r="E137" s="21" t="s">
        <v>572</v>
      </c>
      <c r="F137" s="82" t="s">
        <v>214</v>
      </c>
      <c r="G137" s="98" t="s">
        <v>215</v>
      </c>
      <c r="H137" s="41">
        <v>0</v>
      </c>
      <c r="I137" s="41">
        <v>0</v>
      </c>
      <c r="J137" s="41">
        <v>23.4</v>
      </c>
    </row>
    <row r="138" spans="1:10" ht="25.5">
      <c r="A138" s="3"/>
      <c r="B138" s="91"/>
      <c r="C138" s="21" t="s">
        <v>94</v>
      </c>
      <c r="D138" s="21" t="s">
        <v>122</v>
      </c>
      <c r="E138" s="21" t="s">
        <v>573</v>
      </c>
      <c r="F138" s="16"/>
      <c r="G138" s="98" t="s">
        <v>367</v>
      </c>
      <c r="H138" s="94">
        <f t="shared" si="49"/>
        <v>0</v>
      </c>
      <c r="I138" s="94">
        <f t="shared" si="49"/>
        <v>0</v>
      </c>
      <c r="J138" s="94">
        <f t="shared" si="49"/>
        <v>6</v>
      </c>
    </row>
    <row r="139" spans="1:10" ht="38.25">
      <c r="A139" s="3"/>
      <c r="B139" s="91"/>
      <c r="C139" s="21" t="s">
        <v>94</v>
      </c>
      <c r="D139" s="21" t="s">
        <v>122</v>
      </c>
      <c r="E139" s="21" t="s">
        <v>573</v>
      </c>
      <c r="F139" s="82" t="s">
        <v>214</v>
      </c>
      <c r="G139" s="98" t="s">
        <v>215</v>
      </c>
      <c r="H139" s="41">
        <v>0</v>
      </c>
      <c r="I139" s="41">
        <v>0</v>
      </c>
      <c r="J139" s="41">
        <v>6</v>
      </c>
    </row>
    <row r="140" spans="1:10" ht="15.75">
      <c r="A140" s="3"/>
      <c r="B140" s="91"/>
      <c r="C140" s="4" t="s">
        <v>95</v>
      </c>
      <c r="D140" s="3"/>
      <c r="E140" s="3"/>
      <c r="F140" s="3"/>
      <c r="G140" s="49" t="s">
        <v>101</v>
      </c>
      <c r="H140" s="59">
        <f>H141+H152+H164+H217</f>
        <v>213802.80000000005</v>
      </c>
      <c r="I140" s="59">
        <f>I141+I152+I164+I217</f>
        <v>157267.80000000002</v>
      </c>
      <c r="J140" s="59">
        <f>J141+J152+J164+J217</f>
        <v>180002.90000000002</v>
      </c>
    </row>
    <row r="141" spans="1:10" s="32" customFormat="1" ht="14.25">
      <c r="A141" s="29"/>
      <c r="B141" s="24"/>
      <c r="C141" s="30" t="s">
        <v>95</v>
      </c>
      <c r="D141" s="30" t="s">
        <v>96</v>
      </c>
      <c r="E141" s="30"/>
      <c r="F141" s="30"/>
      <c r="G141" s="45" t="s">
        <v>104</v>
      </c>
      <c r="H141" s="40">
        <f>H142+H147</f>
        <v>5021.8</v>
      </c>
      <c r="I141" s="40">
        <f t="shared" ref="I141:J141" si="50">I142+I147</f>
        <v>1563</v>
      </c>
      <c r="J141" s="40">
        <f t="shared" si="50"/>
        <v>2222.9</v>
      </c>
    </row>
    <row r="142" spans="1:10" s="32" customFormat="1" ht="89.25">
      <c r="A142" s="29"/>
      <c r="B142" s="24"/>
      <c r="C142" s="82" t="s">
        <v>95</v>
      </c>
      <c r="D142" s="82" t="s">
        <v>96</v>
      </c>
      <c r="E142" s="73" t="s">
        <v>70</v>
      </c>
      <c r="F142" s="16"/>
      <c r="G142" s="143" t="s">
        <v>620</v>
      </c>
      <c r="H142" s="96">
        <f>H143</f>
        <v>3973</v>
      </c>
      <c r="I142" s="96">
        <f>I143</f>
        <v>1500</v>
      </c>
      <c r="J142" s="96">
        <f>J143</f>
        <v>2159.9</v>
      </c>
    </row>
    <row r="143" spans="1:10" s="32" customFormat="1" ht="38.25">
      <c r="A143" s="29"/>
      <c r="B143" s="24"/>
      <c r="C143" s="82" t="s">
        <v>95</v>
      </c>
      <c r="D143" s="82" t="s">
        <v>96</v>
      </c>
      <c r="E143" s="52" t="s">
        <v>164</v>
      </c>
      <c r="F143" s="16"/>
      <c r="G143" s="99" t="s">
        <v>163</v>
      </c>
      <c r="H143" s="39">
        <f>H144</f>
        <v>3973</v>
      </c>
      <c r="I143" s="39">
        <f t="shared" ref="I143:J143" si="51">I144</f>
        <v>1500</v>
      </c>
      <c r="J143" s="39">
        <f t="shared" si="51"/>
        <v>2159.9</v>
      </c>
    </row>
    <row r="144" spans="1:10" s="32" customFormat="1" ht="25.5">
      <c r="A144" s="29"/>
      <c r="B144" s="24"/>
      <c r="C144" s="16" t="s">
        <v>95</v>
      </c>
      <c r="D144" s="16" t="s">
        <v>123</v>
      </c>
      <c r="E144" s="21" t="s">
        <v>349</v>
      </c>
      <c r="F144" s="82"/>
      <c r="G144" s="99" t="s">
        <v>345</v>
      </c>
      <c r="H144" s="41">
        <f>H145</f>
        <v>3973</v>
      </c>
      <c r="I144" s="41">
        <f t="shared" ref="I144:J144" si="52">I145</f>
        <v>1500</v>
      </c>
      <c r="J144" s="41">
        <f t="shared" si="52"/>
        <v>2159.9</v>
      </c>
    </row>
    <row r="145" spans="1:10" s="32" customFormat="1" ht="38.25">
      <c r="A145" s="29"/>
      <c r="B145" s="24"/>
      <c r="C145" s="82" t="s">
        <v>95</v>
      </c>
      <c r="D145" s="82" t="s">
        <v>96</v>
      </c>
      <c r="E145" s="21" t="s">
        <v>683</v>
      </c>
      <c r="F145" s="16"/>
      <c r="G145" s="99" t="s">
        <v>752</v>
      </c>
      <c r="H145" s="39">
        <f>H146</f>
        <v>3973</v>
      </c>
      <c r="I145" s="39">
        <f t="shared" ref="I145:J145" si="53">I146</f>
        <v>1500</v>
      </c>
      <c r="J145" s="39">
        <f t="shared" si="53"/>
        <v>2159.9</v>
      </c>
    </row>
    <row r="146" spans="1:10" s="32" customFormat="1" ht="38.25">
      <c r="A146" s="29"/>
      <c r="B146" s="24"/>
      <c r="C146" s="82" t="s">
        <v>95</v>
      </c>
      <c r="D146" s="82" t="s">
        <v>96</v>
      </c>
      <c r="E146" s="21" t="s">
        <v>683</v>
      </c>
      <c r="F146" s="82" t="s">
        <v>214</v>
      </c>
      <c r="G146" s="98" t="s">
        <v>215</v>
      </c>
      <c r="H146" s="39">
        <f>43.7+3929.3</f>
        <v>3973</v>
      </c>
      <c r="I146" s="39">
        <f>16.5+1483.5</f>
        <v>1500</v>
      </c>
      <c r="J146" s="39">
        <f>23.8+2136.1</f>
        <v>2159.9</v>
      </c>
    </row>
    <row r="147" spans="1:10" s="32" customFormat="1" ht="89.25">
      <c r="A147" s="29"/>
      <c r="B147" s="24"/>
      <c r="C147" s="17" t="s">
        <v>95</v>
      </c>
      <c r="D147" s="17" t="s">
        <v>96</v>
      </c>
      <c r="E147" s="74">
        <v>400000000</v>
      </c>
      <c r="F147" s="30"/>
      <c r="G147" s="142" t="s">
        <v>619</v>
      </c>
      <c r="H147" s="96">
        <f t="shared" ref="H147:J150" si="54">H148</f>
        <v>1048.8</v>
      </c>
      <c r="I147" s="96">
        <f t="shared" si="54"/>
        <v>63</v>
      </c>
      <c r="J147" s="96">
        <f t="shared" si="54"/>
        <v>63</v>
      </c>
    </row>
    <row r="148" spans="1:10" s="32" customFormat="1" ht="51" customHeight="1">
      <c r="A148" s="29"/>
      <c r="B148" s="24"/>
      <c r="C148" s="47" t="s">
        <v>95</v>
      </c>
      <c r="D148" s="47" t="s">
        <v>96</v>
      </c>
      <c r="E148" s="75">
        <v>410000000</v>
      </c>
      <c r="F148" s="30"/>
      <c r="G148" s="46" t="s">
        <v>482</v>
      </c>
      <c r="H148" s="93">
        <f t="shared" si="54"/>
        <v>1048.8</v>
      </c>
      <c r="I148" s="93">
        <f t="shared" si="54"/>
        <v>63</v>
      </c>
      <c r="J148" s="93">
        <f t="shared" si="54"/>
        <v>63</v>
      </c>
    </row>
    <row r="149" spans="1:10" s="32" customFormat="1" ht="51">
      <c r="A149" s="29"/>
      <c r="B149" s="24"/>
      <c r="C149" s="82" t="s">
        <v>95</v>
      </c>
      <c r="D149" s="82" t="s">
        <v>96</v>
      </c>
      <c r="E149" s="74">
        <v>410100000</v>
      </c>
      <c r="F149" s="30"/>
      <c r="G149" s="97" t="s">
        <v>483</v>
      </c>
      <c r="H149" s="93">
        <f>H150</f>
        <v>1048.8</v>
      </c>
      <c r="I149" s="93">
        <f t="shared" si="54"/>
        <v>63</v>
      </c>
      <c r="J149" s="93">
        <f t="shared" si="54"/>
        <v>63</v>
      </c>
    </row>
    <row r="150" spans="1:10" s="32" customFormat="1" ht="25.5">
      <c r="A150" s="29"/>
      <c r="B150" s="24"/>
      <c r="C150" s="82" t="s">
        <v>95</v>
      </c>
      <c r="D150" s="82" t="s">
        <v>96</v>
      </c>
      <c r="E150" s="136" t="s">
        <v>706</v>
      </c>
      <c r="F150" s="16"/>
      <c r="G150" s="99" t="s">
        <v>170</v>
      </c>
      <c r="H150" s="39">
        <f>H151</f>
        <v>1048.8</v>
      </c>
      <c r="I150" s="39">
        <f t="shared" si="54"/>
        <v>63</v>
      </c>
      <c r="J150" s="39">
        <f t="shared" si="54"/>
        <v>63</v>
      </c>
    </row>
    <row r="151" spans="1:10" s="32" customFormat="1" ht="38.25">
      <c r="A151" s="29"/>
      <c r="B151" s="24"/>
      <c r="C151" s="82" t="s">
        <v>95</v>
      </c>
      <c r="D151" s="82" t="s">
        <v>96</v>
      </c>
      <c r="E151" s="136" t="s">
        <v>706</v>
      </c>
      <c r="F151" s="82" t="s">
        <v>214</v>
      </c>
      <c r="G151" s="98" t="s">
        <v>215</v>
      </c>
      <c r="H151" s="39">
        <f>1382.3-333.5</f>
        <v>1048.8</v>
      </c>
      <c r="I151" s="39">
        <v>63</v>
      </c>
      <c r="J151" s="39">
        <v>63</v>
      </c>
    </row>
    <row r="152" spans="1:10" ht="14.25">
      <c r="A152" s="1"/>
      <c r="B152" s="25"/>
      <c r="C152" s="30" t="s">
        <v>95</v>
      </c>
      <c r="D152" s="30" t="s">
        <v>102</v>
      </c>
      <c r="E152" s="30"/>
      <c r="F152" s="30"/>
      <c r="G152" s="27" t="s">
        <v>1</v>
      </c>
      <c r="H152" s="40">
        <f t="shared" ref="H152:J152" si="55">H153</f>
        <v>27326.400000000001</v>
      </c>
      <c r="I152" s="40">
        <f t="shared" si="55"/>
        <v>25353.4</v>
      </c>
      <c r="J152" s="40">
        <f t="shared" si="55"/>
        <v>25329.4</v>
      </c>
    </row>
    <row r="153" spans="1:10" ht="102">
      <c r="A153" s="1"/>
      <c r="B153" s="25"/>
      <c r="C153" s="5" t="s">
        <v>95</v>
      </c>
      <c r="D153" s="5" t="s">
        <v>102</v>
      </c>
      <c r="E153" s="73" t="s">
        <v>68</v>
      </c>
      <c r="F153" s="30"/>
      <c r="G153" s="142" t="s">
        <v>625</v>
      </c>
      <c r="H153" s="96">
        <f t="shared" ref="H153:J154" si="56">H154</f>
        <v>27326.400000000001</v>
      </c>
      <c r="I153" s="96">
        <f t="shared" si="56"/>
        <v>25353.4</v>
      </c>
      <c r="J153" s="96">
        <f t="shared" si="56"/>
        <v>25329.4</v>
      </c>
    </row>
    <row r="154" spans="1:10" ht="63.75">
      <c r="A154" s="1"/>
      <c r="B154" s="25"/>
      <c r="C154" s="16" t="s">
        <v>95</v>
      </c>
      <c r="D154" s="16" t="s">
        <v>102</v>
      </c>
      <c r="E154" s="52" t="s">
        <v>217</v>
      </c>
      <c r="F154" s="30"/>
      <c r="G154" s="46" t="s">
        <v>188</v>
      </c>
      <c r="H154" s="93">
        <f>H155</f>
        <v>27326.400000000001</v>
      </c>
      <c r="I154" s="93">
        <f t="shared" si="56"/>
        <v>25353.4</v>
      </c>
      <c r="J154" s="93">
        <f t="shared" si="56"/>
        <v>25329.4</v>
      </c>
    </row>
    <row r="155" spans="1:10" ht="25.5">
      <c r="A155" s="1"/>
      <c r="B155" s="25"/>
      <c r="C155" s="16" t="s">
        <v>95</v>
      </c>
      <c r="D155" s="16" t="s">
        <v>102</v>
      </c>
      <c r="E155" s="74">
        <v>920100000</v>
      </c>
      <c r="F155" s="30"/>
      <c r="G155" s="97" t="s">
        <v>301</v>
      </c>
      <c r="H155" s="39">
        <f>H156+H158+H160+H162</f>
        <v>27326.400000000001</v>
      </c>
      <c r="I155" s="39">
        <f t="shared" ref="I155:J155" si="57">I156+I158+I160+I162</f>
        <v>25353.4</v>
      </c>
      <c r="J155" s="39">
        <f t="shared" si="57"/>
        <v>25329.4</v>
      </c>
    </row>
    <row r="156" spans="1:10" ht="76.5">
      <c r="A156" s="1"/>
      <c r="B156" s="25"/>
      <c r="C156" s="16" t="s">
        <v>95</v>
      </c>
      <c r="D156" s="16" t="s">
        <v>102</v>
      </c>
      <c r="E156" s="74" t="s">
        <v>310</v>
      </c>
      <c r="F156" s="30"/>
      <c r="G156" s="97" t="s">
        <v>218</v>
      </c>
      <c r="H156" s="39">
        <f>H157</f>
        <v>5028.8</v>
      </c>
      <c r="I156" s="39">
        <f>I157</f>
        <v>5039.7</v>
      </c>
      <c r="J156" s="39">
        <f>J157</f>
        <v>5054.8999999999996</v>
      </c>
    </row>
    <row r="157" spans="1:10" ht="38.25">
      <c r="A157" s="1"/>
      <c r="B157" s="25"/>
      <c r="C157" s="16" t="s">
        <v>95</v>
      </c>
      <c r="D157" s="16" t="s">
        <v>102</v>
      </c>
      <c r="E157" s="74" t="s">
        <v>310</v>
      </c>
      <c r="F157" s="82" t="s">
        <v>214</v>
      </c>
      <c r="G157" s="98" t="s">
        <v>215</v>
      </c>
      <c r="H157" s="39">
        <v>5028.8</v>
      </c>
      <c r="I157" s="39">
        <v>5039.7</v>
      </c>
      <c r="J157" s="39">
        <v>5054.8999999999996</v>
      </c>
    </row>
    <row r="158" spans="1:10" ht="53.25" customHeight="1">
      <c r="A158" s="1"/>
      <c r="B158" s="25"/>
      <c r="C158" s="16" t="s">
        <v>95</v>
      </c>
      <c r="D158" s="16" t="s">
        <v>102</v>
      </c>
      <c r="E158" s="74">
        <v>920110300</v>
      </c>
      <c r="F158" s="16"/>
      <c r="G158" s="97" t="s">
        <v>770</v>
      </c>
      <c r="H158" s="39">
        <f>H159</f>
        <v>20115.2</v>
      </c>
      <c r="I158" s="39">
        <f>I159</f>
        <v>20158.8</v>
      </c>
      <c r="J158" s="39">
        <f>J159</f>
        <v>20219.5</v>
      </c>
    </row>
    <row r="159" spans="1:10" ht="38.25">
      <c r="A159" s="1"/>
      <c r="B159" s="25"/>
      <c r="C159" s="16" t="s">
        <v>95</v>
      </c>
      <c r="D159" s="16" t="s">
        <v>102</v>
      </c>
      <c r="E159" s="74">
        <v>920110300</v>
      </c>
      <c r="F159" s="82" t="s">
        <v>214</v>
      </c>
      <c r="G159" s="98" t="s">
        <v>215</v>
      </c>
      <c r="H159" s="39">
        <v>20115.2</v>
      </c>
      <c r="I159" s="39">
        <v>20158.8</v>
      </c>
      <c r="J159" s="39">
        <v>20219.5</v>
      </c>
    </row>
    <row r="160" spans="1:10" ht="63.75">
      <c r="A160" s="1"/>
      <c r="B160" s="25"/>
      <c r="C160" s="16" t="s">
        <v>95</v>
      </c>
      <c r="D160" s="16" t="s">
        <v>102</v>
      </c>
      <c r="E160" s="74">
        <v>920123490</v>
      </c>
      <c r="F160" s="82"/>
      <c r="G160" s="54" t="s">
        <v>538</v>
      </c>
      <c r="H160" s="39">
        <f>H161</f>
        <v>0</v>
      </c>
      <c r="I160" s="39">
        <f t="shared" ref="I160:J160" si="58">I161</f>
        <v>0</v>
      </c>
      <c r="J160" s="39">
        <f t="shared" si="58"/>
        <v>55</v>
      </c>
    </row>
    <row r="161" spans="1:10" ht="38.25">
      <c r="A161" s="1"/>
      <c r="B161" s="25"/>
      <c r="C161" s="16" t="s">
        <v>95</v>
      </c>
      <c r="D161" s="16" t="s">
        <v>102</v>
      </c>
      <c r="E161" s="74">
        <v>920123490</v>
      </c>
      <c r="F161" s="82" t="s">
        <v>214</v>
      </c>
      <c r="G161" s="98" t="s">
        <v>215</v>
      </c>
      <c r="H161" s="39">
        <v>0</v>
      </c>
      <c r="I161" s="39">
        <v>0</v>
      </c>
      <c r="J161" s="39">
        <v>55</v>
      </c>
    </row>
    <row r="162" spans="1:10" ht="77.25" customHeight="1">
      <c r="A162" s="1"/>
      <c r="B162" s="25"/>
      <c r="C162" s="16" t="s">
        <v>95</v>
      </c>
      <c r="D162" s="16" t="s">
        <v>102</v>
      </c>
      <c r="E162" s="74">
        <v>920123495</v>
      </c>
      <c r="F162" s="82"/>
      <c r="G162" s="54" t="s">
        <v>605</v>
      </c>
      <c r="H162" s="39">
        <f>H163</f>
        <v>2182.4</v>
      </c>
      <c r="I162" s="39">
        <f>I163</f>
        <v>154.9</v>
      </c>
      <c r="J162" s="39">
        <f>J163</f>
        <v>0</v>
      </c>
    </row>
    <row r="163" spans="1:10" ht="38.25">
      <c r="A163" s="1"/>
      <c r="B163" s="25"/>
      <c r="C163" s="16" t="s">
        <v>95</v>
      </c>
      <c r="D163" s="16" t="s">
        <v>102</v>
      </c>
      <c r="E163" s="74">
        <v>920123495</v>
      </c>
      <c r="F163" s="82" t="s">
        <v>214</v>
      </c>
      <c r="G163" s="98" t="s">
        <v>215</v>
      </c>
      <c r="H163" s="39">
        <f>2116.9+65.5</f>
        <v>2182.4</v>
      </c>
      <c r="I163" s="39">
        <v>154.9</v>
      </c>
      <c r="J163" s="39">
        <v>0</v>
      </c>
    </row>
    <row r="164" spans="1:10" ht="28.5">
      <c r="A164" s="1"/>
      <c r="B164" s="25"/>
      <c r="C164" s="30" t="s">
        <v>95</v>
      </c>
      <c r="D164" s="30" t="s">
        <v>100</v>
      </c>
      <c r="E164" s="30"/>
      <c r="F164" s="30"/>
      <c r="G164" s="50" t="s">
        <v>200</v>
      </c>
      <c r="H164" s="40">
        <f>+H165+H192+H197</f>
        <v>177738.40000000002</v>
      </c>
      <c r="I164" s="40">
        <f t="shared" ref="I164:J164" si="59">+I165+I192+I197</f>
        <v>128397.90000000001</v>
      </c>
      <c r="J164" s="40">
        <f t="shared" si="59"/>
        <v>150504.4</v>
      </c>
    </row>
    <row r="165" spans="1:10" ht="102">
      <c r="A165" s="1"/>
      <c r="B165" s="25"/>
      <c r="C165" s="5" t="s">
        <v>95</v>
      </c>
      <c r="D165" s="5" t="s">
        <v>100</v>
      </c>
      <c r="E165" s="73" t="s">
        <v>68</v>
      </c>
      <c r="F165" s="30"/>
      <c r="G165" s="142" t="s">
        <v>625</v>
      </c>
      <c r="H165" s="96">
        <f t="shared" ref="H165:J166" si="60">H166</f>
        <v>168779.80000000002</v>
      </c>
      <c r="I165" s="96">
        <f t="shared" si="60"/>
        <v>123760.1</v>
      </c>
      <c r="J165" s="96">
        <f t="shared" si="60"/>
        <v>141899.9</v>
      </c>
    </row>
    <row r="166" spans="1:10" ht="63.75">
      <c r="A166" s="1"/>
      <c r="B166" s="25"/>
      <c r="C166" s="16" t="s">
        <v>95</v>
      </c>
      <c r="D166" s="16" t="s">
        <v>100</v>
      </c>
      <c r="E166" s="52" t="s">
        <v>69</v>
      </c>
      <c r="F166" s="30"/>
      <c r="G166" s="46" t="s">
        <v>166</v>
      </c>
      <c r="H166" s="93">
        <f>H167</f>
        <v>168779.80000000002</v>
      </c>
      <c r="I166" s="93">
        <f t="shared" si="60"/>
        <v>123760.1</v>
      </c>
      <c r="J166" s="93">
        <f t="shared" si="60"/>
        <v>141899.9</v>
      </c>
    </row>
    <row r="167" spans="1:10" ht="38.25">
      <c r="A167" s="1"/>
      <c r="B167" s="25"/>
      <c r="C167" s="16" t="s">
        <v>95</v>
      </c>
      <c r="D167" s="16" t="s">
        <v>100</v>
      </c>
      <c r="E167" s="21" t="s">
        <v>300</v>
      </c>
      <c r="F167" s="30"/>
      <c r="G167" s="97" t="s">
        <v>312</v>
      </c>
      <c r="H167" s="39">
        <f>H168+H170+H172+H174+H176+H178+H180+H182+H184+H186+H188+H190</f>
        <v>168779.80000000002</v>
      </c>
      <c r="I167" s="39">
        <f t="shared" ref="I167:J167" si="61">I168+I170+I172+I174+I176+I178+I180+I182+I184+I186+I188+I190</f>
        <v>123760.1</v>
      </c>
      <c r="J167" s="39">
        <f t="shared" si="61"/>
        <v>141899.9</v>
      </c>
    </row>
    <row r="168" spans="1:10" ht="89.25">
      <c r="A168" s="1"/>
      <c r="B168" s="25"/>
      <c r="C168" s="16" t="s">
        <v>95</v>
      </c>
      <c r="D168" s="16" t="s">
        <v>100</v>
      </c>
      <c r="E168" s="74">
        <v>910123405</v>
      </c>
      <c r="F168" s="30"/>
      <c r="G168" s="97" t="s">
        <v>299</v>
      </c>
      <c r="H168" s="39">
        <f>H169</f>
        <v>15376.7</v>
      </c>
      <c r="I168" s="39">
        <f>I169</f>
        <v>8086.9</v>
      </c>
      <c r="J168" s="39">
        <f>J169</f>
        <v>15386.8</v>
      </c>
    </row>
    <row r="169" spans="1:10" ht="38.25">
      <c r="A169" s="1"/>
      <c r="B169" s="25"/>
      <c r="C169" s="16" t="s">
        <v>95</v>
      </c>
      <c r="D169" s="16" t="s">
        <v>100</v>
      </c>
      <c r="E169" s="74">
        <v>910123405</v>
      </c>
      <c r="F169" s="82" t="s">
        <v>214</v>
      </c>
      <c r="G169" s="98" t="s">
        <v>215</v>
      </c>
      <c r="H169" s="39">
        <v>15376.7</v>
      </c>
      <c r="I169" s="39">
        <v>8086.9</v>
      </c>
      <c r="J169" s="39">
        <v>15386.8</v>
      </c>
    </row>
    <row r="170" spans="1:10" ht="62.25" customHeight="1">
      <c r="A170" s="1"/>
      <c r="B170" s="25"/>
      <c r="C170" s="16" t="s">
        <v>95</v>
      </c>
      <c r="D170" s="16" t="s">
        <v>100</v>
      </c>
      <c r="E170" s="74">
        <v>910110520</v>
      </c>
      <c r="F170" s="30"/>
      <c r="G170" s="97" t="s">
        <v>186</v>
      </c>
      <c r="H170" s="39">
        <f>H171</f>
        <v>20020.599999999999</v>
      </c>
      <c r="I170" s="39">
        <f>I171</f>
        <v>20821.400000000001</v>
      </c>
      <c r="J170" s="39">
        <f>J171</f>
        <v>21654.3</v>
      </c>
    </row>
    <row r="171" spans="1:10" ht="38.25">
      <c r="A171" s="1"/>
      <c r="B171" s="25"/>
      <c r="C171" s="16" t="s">
        <v>95</v>
      </c>
      <c r="D171" s="16" t="s">
        <v>100</v>
      </c>
      <c r="E171" s="74">
        <v>910110520</v>
      </c>
      <c r="F171" s="82" t="s">
        <v>214</v>
      </c>
      <c r="G171" s="98" t="s">
        <v>215</v>
      </c>
      <c r="H171" s="1">
        <v>20020.599999999999</v>
      </c>
      <c r="I171" s="39">
        <v>20821.400000000001</v>
      </c>
      <c r="J171" s="1">
        <v>21654.3</v>
      </c>
    </row>
    <row r="172" spans="1:10" ht="25.5">
      <c r="A172" s="1"/>
      <c r="B172" s="25"/>
      <c r="C172" s="16" t="s">
        <v>95</v>
      </c>
      <c r="D172" s="16" t="s">
        <v>100</v>
      </c>
      <c r="E172" s="74">
        <v>910123410</v>
      </c>
      <c r="F172" s="16"/>
      <c r="G172" s="98" t="s">
        <v>187</v>
      </c>
      <c r="H172" s="39">
        <f>H173</f>
        <v>19002.400000000001</v>
      </c>
      <c r="I172" s="39">
        <f>I173</f>
        <v>8022.4000000000005</v>
      </c>
      <c r="J172" s="39">
        <f>J173</f>
        <v>16457</v>
      </c>
    </row>
    <row r="173" spans="1:10" ht="38.25">
      <c r="A173" s="1"/>
      <c r="B173" s="25"/>
      <c r="C173" s="16" t="s">
        <v>95</v>
      </c>
      <c r="D173" s="16" t="s">
        <v>100</v>
      </c>
      <c r="E173" s="74">
        <v>910123410</v>
      </c>
      <c r="F173" s="82" t="s">
        <v>214</v>
      </c>
      <c r="G173" s="98" t="s">
        <v>215</v>
      </c>
      <c r="H173" s="39">
        <f>16457+1413.5+1131.9</f>
        <v>19002.400000000001</v>
      </c>
      <c r="I173" s="39">
        <f>8177.3-154.9</f>
        <v>8022.4000000000005</v>
      </c>
      <c r="J173" s="39">
        <v>16457</v>
      </c>
    </row>
    <row r="174" spans="1:10" ht="102">
      <c r="A174" s="1"/>
      <c r="B174" s="25"/>
      <c r="C174" s="16" t="s">
        <v>95</v>
      </c>
      <c r="D174" s="16" t="s">
        <v>100</v>
      </c>
      <c r="E174" s="74">
        <v>910123415</v>
      </c>
      <c r="F174" s="82"/>
      <c r="G174" s="131" t="s">
        <v>734</v>
      </c>
      <c r="H174" s="39">
        <f>H175</f>
        <v>1913.4</v>
      </c>
      <c r="I174" s="39">
        <f t="shared" ref="I174:J174" si="62">I175</f>
        <v>0</v>
      </c>
      <c r="J174" s="39">
        <f t="shared" si="62"/>
        <v>0</v>
      </c>
    </row>
    <row r="175" spans="1:10" ht="38.25">
      <c r="A175" s="1"/>
      <c r="B175" s="25"/>
      <c r="C175" s="16" t="s">
        <v>95</v>
      </c>
      <c r="D175" s="16" t="s">
        <v>100</v>
      </c>
      <c r="E175" s="74">
        <v>910123415</v>
      </c>
      <c r="F175" s="82" t="s">
        <v>214</v>
      </c>
      <c r="G175" s="98" t="s">
        <v>215</v>
      </c>
      <c r="H175" s="39">
        <f>100+380+5000-3566.6</f>
        <v>1913.4</v>
      </c>
      <c r="I175" s="39">
        <v>0</v>
      </c>
      <c r="J175" s="39">
        <v>0</v>
      </c>
    </row>
    <row r="176" spans="1:10" ht="102">
      <c r="A176" s="1"/>
      <c r="B176" s="25"/>
      <c r="C176" s="16" t="s">
        <v>95</v>
      </c>
      <c r="D176" s="16" t="s">
        <v>100</v>
      </c>
      <c r="E176" s="74" t="s">
        <v>750</v>
      </c>
      <c r="F176" s="82"/>
      <c r="G176" s="124" t="s">
        <v>749</v>
      </c>
      <c r="H176" s="39">
        <f>H177</f>
        <v>1161.8</v>
      </c>
      <c r="I176" s="39">
        <f t="shared" ref="I176:J176" si="63">I177</f>
        <v>0</v>
      </c>
      <c r="J176" s="39">
        <f t="shared" si="63"/>
        <v>0</v>
      </c>
    </row>
    <row r="177" spans="1:10" ht="38.25">
      <c r="A177" s="1"/>
      <c r="B177" s="25"/>
      <c r="C177" s="16" t="s">
        <v>95</v>
      </c>
      <c r="D177" s="16" t="s">
        <v>100</v>
      </c>
      <c r="E177" s="74" t="s">
        <v>750</v>
      </c>
      <c r="F177" s="82" t="s">
        <v>214</v>
      </c>
      <c r="G177" s="98" t="s">
        <v>215</v>
      </c>
      <c r="H177" s="39">
        <v>1161.8</v>
      </c>
      <c r="I177" s="39">
        <v>0</v>
      </c>
      <c r="J177" s="39">
        <v>0</v>
      </c>
    </row>
    <row r="178" spans="1:10" ht="102">
      <c r="A178" s="1"/>
      <c r="B178" s="25"/>
      <c r="C178" s="16" t="s">
        <v>95</v>
      </c>
      <c r="D178" s="16" t="s">
        <v>100</v>
      </c>
      <c r="E178" s="74">
        <v>910110220</v>
      </c>
      <c r="F178" s="82"/>
      <c r="G178" s="124" t="s">
        <v>751</v>
      </c>
      <c r="H178" s="39">
        <f>H179</f>
        <v>10456.4</v>
      </c>
      <c r="I178" s="39">
        <f t="shared" ref="I178:J178" si="64">I179</f>
        <v>0</v>
      </c>
      <c r="J178" s="39">
        <f t="shared" si="64"/>
        <v>0</v>
      </c>
    </row>
    <row r="179" spans="1:10" ht="38.25">
      <c r="A179" s="1"/>
      <c r="B179" s="25"/>
      <c r="C179" s="16" t="s">
        <v>95</v>
      </c>
      <c r="D179" s="16" t="s">
        <v>100</v>
      </c>
      <c r="E179" s="74">
        <v>910110220</v>
      </c>
      <c r="F179" s="82" t="s">
        <v>214</v>
      </c>
      <c r="G179" s="98" t="s">
        <v>215</v>
      </c>
      <c r="H179" s="39">
        <v>10456.4</v>
      </c>
      <c r="I179" s="39">
        <v>0</v>
      </c>
      <c r="J179" s="39">
        <v>0</v>
      </c>
    </row>
    <row r="180" spans="1:10" ht="51">
      <c r="A180" s="1"/>
      <c r="B180" s="25"/>
      <c r="C180" s="16" t="s">
        <v>95</v>
      </c>
      <c r="D180" s="16" t="s">
        <v>100</v>
      </c>
      <c r="E180" s="74" t="s">
        <v>355</v>
      </c>
      <c r="F180" s="82"/>
      <c r="G180" s="123" t="s">
        <v>354</v>
      </c>
      <c r="H180" s="39">
        <f>H181</f>
        <v>4436.8</v>
      </c>
      <c r="I180" s="39">
        <f>I181</f>
        <v>2410.3000000000002</v>
      </c>
      <c r="J180" s="39">
        <f>J181</f>
        <v>2506.8000000000002</v>
      </c>
    </row>
    <row r="181" spans="1:10" ht="38.25">
      <c r="A181" s="1"/>
      <c r="B181" s="25"/>
      <c r="C181" s="16" t="s">
        <v>95</v>
      </c>
      <c r="D181" s="16" t="s">
        <v>100</v>
      </c>
      <c r="E181" s="74" t="s">
        <v>355</v>
      </c>
      <c r="F181" s="82" t="s">
        <v>214</v>
      </c>
      <c r="G181" s="98" t="s">
        <v>215</v>
      </c>
      <c r="H181" s="39">
        <f>2317.6-1000+3130.1-10.9</f>
        <v>4436.8</v>
      </c>
      <c r="I181" s="39">
        <v>2410.3000000000002</v>
      </c>
      <c r="J181" s="39">
        <v>2506.8000000000002</v>
      </c>
    </row>
    <row r="182" spans="1:10" ht="63.75">
      <c r="A182" s="1"/>
      <c r="B182" s="25"/>
      <c r="C182" s="16" t="s">
        <v>95</v>
      </c>
      <c r="D182" s="16" t="s">
        <v>100</v>
      </c>
      <c r="E182" s="138" t="s">
        <v>535</v>
      </c>
      <c r="F182" s="82"/>
      <c r="G182" s="123" t="s">
        <v>356</v>
      </c>
      <c r="H182" s="39">
        <f>H183</f>
        <v>9270.5</v>
      </c>
      <c r="I182" s="39">
        <f>I183</f>
        <v>9641.2999999999993</v>
      </c>
      <c r="J182" s="39">
        <f>J183</f>
        <v>10027</v>
      </c>
    </row>
    <row r="183" spans="1:10" ht="38.25">
      <c r="A183" s="1"/>
      <c r="B183" s="25"/>
      <c r="C183" s="16" t="s">
        <v>95</v>
      </c>
      <c r="D183" s="16" t="s">
        <v>100</v>
      </c>
      <c r="E183" s="138" t="s">
        <v>535</v>
      </c>
      <c r="F183" s="82" t="s">
        <v>214</v>
      </c>
      <c r="G183" s="98" t="s">
        <v>215</v>
      </c>
      <c r="H183" s="1">
        <v>9270.5</v>
      </c>
      <c r="I183" s="39">
        <v>9641.2999999999993</v>
      </c>
      <c r="J183" s="149">
        <v>10027</v>
      </c>
    </row>
    <row r="184" spans="1:10" ht="25.5">
      <c r="A184" s="1"/>
      <c r="B184" s="25"/>
      <c r="C184" s="16" t="s">
        <v>95</v>
      </c>
      <c r="D184" s="16" t="s">
        <v>100</v>
      </c>
      <c r="E184" s="74" t="s">
        <v>351</v>
      </c>
      <c r="F184" s="82"/>
      <c r="G184" s="98" t="s">
        <v>352</v>
      </c>
      <c r="H184" s="39">
        <f>H185</f>
        <v>10850.8</v>
      </c>
      <c r="I184" s="39">
        <f>I185</f>
        <v>14955.6</v>
      </c>
      <c r="J184" s="39">
        <f>J185</f>
        <v>15173.6</v>
      </c>
    </row>
    <row r="185" spans="1:10" ht="38.25">
      <c r="A185" s="1"/>
      <c r="B185" s="25"/>
      <c r="C185" s="16" t="s">
        <v>95</v>
      </c>
      <c r="D185" s="16" t="s">
        <v>100</v>
      </c>
      <c r="E185" s="74" t="s">
        <v>351</v>
      </c>
      <c r="F185" s="82" t="s">
        <v>214</v>
      </c>
      <c r="G185" s="98" t="s">
        <v>215</v>
      </c>
      <c r="H185" s="39">
        <f>14380.3+396.5-800-5193.4-1842.6+3931.5-21.5</f>
        <v>10850.8</v>
      </c>
      <c r="I185" s="39">
        <v>14955.6</v>
      </c>
      <c r="J185" s="39">
        <v>15173.6</v>
      </c>
    </row>
    <row r="186" spans="1:10" ht="25.5">
      <c r="A186" s="1"/>
      <c r="B186" s="25"/>
      <c r="C186" s="16" t="s">
        <v>95</v>
      </c>
      <c r="D186" s="16" t="s">
        <v>100</v>
      </c>
      <c r="E186" s="140" t="s">
        <v>536</v>
      </c>
      <c r="F186" s="82"/>
      <c r="G186" s="98" t="s">
        <v>353</v>
      </c>
      <c r="H186" s="39">
        <f>H187</f>
        <v>57521.3</v>
      </c>
      <c r="I186" s="39">
        <f>I187</f>
        <v>59822.2</v>
      </c>
      <c r="J186" s="39">
        <f>J187</f>
        <v>60694.400000000001</v>
      </c>
    </row>
    <row r="187" spans="1:10" ht="38.25">
      <c r="A187" s="1"/>
      <c r="B187" s="25"/>
      <c r="C187" s="16" t="s">
        <v>95</v>
      </c>
      <c r="D187" s="16" t="s">
        <v>100</v>
      </c>
      <c r="E187" s="140" t="s">
        <v>536</v>
      </c>
      <c r="F187" s="82" t="s">
        <v>214</v>
      </c>
      <c r="G187" s="98" t="s">
        <v>215</v>
      </c>
      <c r="H187" s="39">
        <v>57521.3</v>
      </c>
      <c r="I187" s="1">
        <v>59822.2</v>
      </c>
      <c r="J187" s="1">
        <v>60694.400000000001</v>
      </c>
    </row>
    <row r="188" spans="1:10" ht="25.5">
      <c r="A188" s="1"/>
      <c r="B188" s="25"/>
      <c r="C188" s="16" t="s">
        <v>95</v>
      </c>
      <c r="D188" s="16" t="s">
        <v>100</v>
      </c>
      <c r="E188" s="74">
        <v>910123425</v>
      </c>
      <c r="F188" s="82"/>
      <c r="G188" s="98" t="s">
        <v>386</v>
      </c>
      <c r="H188" s="39">
        <f>H189</f>
        <v>17615.100000000002</v>
      </c>
      <c r="I188" s="39">
        <f>I189</f>
        <v>0</v>
      </c>
      <c r="J188" s="39">
        <f>J189</f>
        <v>0</v>
      </c>
    </row>
    <row r="189" spans="1:10" ht="38.25">
      <c r="A189" s="1"/>
      <c r="B189" s="25"/>
      <c r="C189" s="16" t="s">
        <v>95</v>
      </c>
      <c r="D189" s="16" t="s">
        <v>100</v>
      </c>
      <c r="E189" s="74">
        <v>910123425</v>
      </c>
      <c r="F189" s="82" t="s">
        <v>214</v>
      </c>
      <c r="G189" s="98" t="s">
        <v>215</v>
      </c>
      <c r="H189" s="39">
        <f>1590+1493.2+1306.4+2176+2289.3+8760.2</f>
        <v>17615.100000000002</v>
      </c>
      <c r="I189" s="39">
        <v>0</v>
      </c>
      <c r="J189" s="39">
        <v>0</v>
      </c>
    </row>
    <row r="190" spans="1:10">
      <c r="A190" s="1"/>
      <c r="B190" s="25"/>
      <c r="C190" s="16" t="s">
        <v>95</v>
      </c>
      <c r="D190" s="16" t="s">
        <v>100</v>
      </c>
      <c r="E190" s="74">
        <v>910123430</v>
      </c>
      <c r="F190" s="82"/>
      <c r="G190" s="98" t="s">
        <v>662</v>
      </c>
      <c r="H190" s="39">
        <f>H191</f>
        <v>1154</v>
      </c>
      <c r="I190" s="39">
        <f t="shared" ref="I190:J190" si="65">I191</f>
        <v>0</v>
      </c>
      <c r="J190" s="39">
        <f t="shared" si="65"/>
        <v>0</v>
      </c>
    </row>
    <row r="191" spans="1:10" ht="38.25">
      <c r="A191" s="1"/>
      <c r="B191" s="25"/>
      <c r="C191" s="16" t="s">
        <v>95</v>
      </c>
      <c r="D191" s="16" t="s">
        <v>100</v>
      </c>
      <c r="E191" s="74">
        <v>910123430</v>
      </c>
      <c r="F191" s="82" t="s">
        <v>214</v>
      </c>
      <c r="G191" s="98" t="s">
        <v>215</v>
      </c>
      <c r="H191" s="39">
        <f>817+337</f>
        <v>1154</v>
      </c>
      <c r="I191" s="39">
        <v>0</v>
      </c>
      <c r="J191" s="39">
        <v>0</v>
      </c>
    </row>
    <row r="192" spans="1:10" ht="127.5">
      <c r="A192" s="1"/>
      <c r="B192" s="25"/>
      <c r="C192" s="5" t="s">
        <v>95</v>
      </c>
      <c r="D192" s="5" t="s">
        <v>100</v>
      </c>
      <c r="E192" s="73" t="s">
        <v>580</v>
      </c>
      <c r="F192" s="82"/>
      <c r="G192" s="142" t="s">
        <v>631</v>
      </c>
      <c r="H192" s="96">
        <f>H193</f>
        <v>0</v>
      </c>
      <c r="I192" s="96">
        <f t="shared" ref="I192:J192" si="66">I193</f>
        <v>0</v>
      </c>
      <c r="J192" s="96">
        <f t="shared" si="66"/>
        <v>1000</v>
      </c>
    </row>
    <row r="193" spans="1:10" ht="55.5" customHeight="1">
      <c r="A193" s="1"/>
      <c r="B193" s="25"/>
      <c r="C193" s="47" t="s">
        <v>95</v>
      </c>
      <c r="D193" s="47" t="s">
        <v>100</v>
      </c>
      <c r="E193" s="141">
        <v>1510000000</v>
      </c>
      <c r="F193" s="82"/>
      <c r="G193" s="48" t="s">
        <v>370</v>
      </c>
      <c r="H193" s="41">
        <f>H194</f>
        <v>0</v>
      </c>
      <c r="I193" s="41">
        <f t="shared" ref="I193:J195" si="67">I194</f>
        <v>0</v>
      </c>
      <c r="J193" s="41">
        <f t="shared" si="67"/>
        <v>1000</v>
      </c>
    </row>
    <row r="194" spans="1:10" ht="68.25" customHeight="1">
      <c r="A194" s="1"/>
      <c r="B194" s="25"/>
      <c r="C194" s="16" t="s">
        <v>95</v>
      </c>
      <c r="D194" s="16" t="s">
        <v>100</v>
      </c>
      <c r="E194" s="130">
        <v>1510200000</v>
      </c>
      <c r="F194" s="82"/>
      <c r="G194" s="98" t="s">
        <v>604</v>
      </c>
      <c r="H194" s="41">
        <f>H195</f>
        <v>0</v>
      </c>
      <c r="I194" s="41">
        <f t="shared" si="67"/>
        <v>0</v>
      </c>
      <c r="J194" s="41">
        <f t="shared" si="67"/>
        <v>1000</v>
      </c>
    </row>
    <row r="195" spans="1:10" ht="54.75" customHeight="1">
      <c r="A195" s="1"/>
      <c r="B195" s="25"/>
      <c r="C195" s="16" t="s">
        <v>95</v>
      </c>
      <c r="D195" s="16" t="s">
        <v>100</v>
      </c>
      <c r="E195" s="130" t="s">
        <v>582</v>
      </c>
      <c r="F195" s="82"/>
      <c r="G195" s="98" t="s">
        <v>581</v>
      </c>
      <c r="H195" s="41">
        <f>H196</f>
        <v>0</v>
      </c>
      <c r="I195" s="41">
        <f t="shared" si="67"/>
        <v>0</v>
      </c>
      <c r="J195" s="41">
        <f t="shared" si="67"/>
        <v>1000</v>
      </c>
    </row>
    <row r="196" spans="1:10" ht="38.25">
      <c r="A196" s="1"/>
      <c r="B196" s="25"/>
      <c r="C196" s="16" t="s">
        <v>95</v>
      </c>
      <c r="D196" s="16" t="s">
        <v>100</v>
      </c>
      <c r="E196" s="130" t="s">
        <v>582</v>
      </c>
      <c r="F196" s="82" t="s">
        <v>214</v>
      </c>
      <c r="G196" s="98" t="s">
        <v>215</v>
      </c>
      <c r="H196" s="41">
        <f>6842-6842</f>
        <v>0</v>
      </c>
      <c r="I196" s="41">
        <v>0</v>
      </c>
      <c r="J196" s="41">
        <v>1000</v>
      </c>
    </row>
    <row r="197" spans="1:10" ht="90" customHeight="1">
      <c r="A197" s="1"/>
      <c r="B197" s="25"/>
      <c r="C197" s="73" t="s">
        <v>95</v>
      </c>
      <c r="D197" s="73" t="s">
        <v>100</v>
      </c>
      <c r="E197" s="73" t="s">
        <v>230</v>
      </c>
      <c r="F197" s="16"/>
      <c r="G197" s="64" t="s">
        <v>632</v>
      </c>
      <c r="H197" s="96">
        <f>H198</f>
        <v>8958.6</v>
      </c>
      <c r="I197" s="96">
        <f t="shared" ref="I197:J197" si="68">I198</f>
        <v>4637.8</v>
      </c>
      <c r="J197" s="96">
        <f t="shared" si="68"/>
        <v>7604.5</v>
      </c>
    </row>
    <row r="198" spans="1:10" ht="51">
      <c r="A198" s="1"/>
      <c r="B198" s="25"/>
      <c r="C198" s="52" t="s">
        <v>95</v>
      </c>
      <c r="D198" s="52" t="s">
        <v>100</v>
      </c>
      <c r="E198" s="52" t="s">
        <v>231</v>
      </c>
      <c r="F198" s="47"/>
      <c r="G198" s="48" t="s">
        <v>232</v>
      </c>
      <c r="H198" s="96">
        <f>H199+H212</f>
        <v>8958.6</v>
      </c>
      <c r="I198" s="96">
        <f t="shared" ref="I198:J198" si="69">I199+I212</f>
        <v>4637.8</v>
      </c>
      <c r="J198" s="96">
        <f t="shared" si="69"/>
        <v>7604.5</v>
      </c>
    </row>
    <row r="199" spans="1:10" ht="51">
      <c r="A199" s="1"/>
      <c r="B199" s="25"/>
      <c r="C199" s="21" t="s">
        <v>95</v>
      </c>
      <c r="D199" s="21" t="s">
        <v>100</v>
      </c>
      <c r="E199" s="21" t="s">
        <v>233</v>
      </c>
      <c r="F199" s="82"/>
      <c r="G199" s="98" t="s">
        <v>234</v>
      </c>
      <c r="H199" s="41">
        <f>H200+H202+H204+H206+H208+H210</f>
        <v>4994.7</v>
      </c>
      <c r="I199" s="41">
        <f t="shared" ref="I199:J199" si="70">I200+I202+I204+I206+I208+I210</f>
        <v>0</v>
      </c>
      <c r="J199" s="41">
        <f t="shared" si="70"/>
        <v>2781.2</v>
      </c>
    </row>
    <row r="200" spans="1:10" ht="38.25">
      <c r="A200" s="1"/>
      <c r="B200" s="25"/>
      <c r="C200" s="21" t="s">
        <v>95</v>
      </c>
      <c r="D200" s="21" t="s">
        <v>100</v>
      </c>
      <c r="E200" s="21" t="s">
        <v>568</v>
      </c>
      <c r="F200" s="82"/>
      <c r="G200" s="98" t="s">
        <v>348</v>
      </c>
      <c r="H200" s="41">
        <f>H201</f>
        <v>2442.6999999999998</v>
      </c>
      <c r="I200" s="41">
        <f>I201</f>
        <v>0</v>
      </c>
      <c r="J200" s="41">
        <f>J201</f>
        <v>2381.1999999999998</v>
      </c>
    </row>
    <row r="201" spans="1:10" ht="38.25">
      <c r="A201" s="1"/>
      <c r="B201" s="25"/>
      <c r="C201" s="21" t="s">
        <v>95</v>
      </c>
      <c r="D201" s="21" t="s">
        <v>100</v>
      </c>
      <c r="E201" s="21" t="s">
        <v>568</v>
      </c>
      <c r="F201" s="82" t="s">
        <v>214</v>
      </c>
      <c r="G201" s="98" t="s">
        <v>215</v>
      </c>
      <c r="H201" s="41">
        <f>2972.1-529.4</f>
        <v>2442.6999999999998</v>
      </c>
      <c r="I201" s="41">
        <v>0</v>
      </c>
      <c r="J201" s="41">
        <v>2381.1999999999998</v>
      </c>
    </row>
    <row r="202" spans="1:10" ht="25.5">
      <c r="A202" s="1"/>
      <c r="B202" s="25"/>
      <c r="C202" s="21" t="s">
        <v>95</v>
      </c>
      <c r="D202" s="21" t="s">
        <v>100</v>
      </c>
      <c r="E202" s="21" t="s">
        <v>570</v>
      </c>
      <c r="F202" s="82"/>
      <c r="G202" s="98" t="s">
        <v>569</v>
      </c>
      <c r="H202" s="41">
        <f>H203</f>
        <v>529.4</v>
      </c>
      <c r="I202" s="41">
        <f>I203</f>
        <v>0</v>
      </c>
      <c r="J202" s="41">
        <f>J203</f>
        <v>0</v>
      </c>
    </row>
    <row r="203" spans="1:10" ht="38.25">
      <c r="A203" s="1"/>
      <c r="B203" s="25"/>
      <c r="C203" s="21" t="s">
        <v>95</v>
      </c>
      <c r="D203" s="21" t="s">
        <v>100</v>
      </c>
      <c r="E203" s="21" t="s">
        <v>570</v>
      </c>
      <c r="F203" s="82" t="s">
        <v>214</v>
      </c>
      <c r="G203" s="98" t="s">
        <v>215</v>
      </c>
      <c r="H203" s="41">
        <v>529.4</v>
      </c>
      <c r="I203" s="41">
        <v>0</v>
      </c>
      <c r="J203" s="41">
        <v>0</v>
      </c>
    </row>
    <row r="204" spans="1:10" ht="25.5">
      <c r="A204" s="1"/>
      <c r="B204" s="25"/>
      <c r="C204" s="21" t="s">
        <v>95</v>
      </c>
      <c r="D204" s="21" t="s">
        <v>100</v>
      </c>
      <c r="E204" s="21" t="s">
        <v>571</v>
      </c>
      <c r="F204" s="16"/>
      <c r="G204" s="98" t="s">
        <v>337</v>
      </c>
      <c r="H204" s="41">
        <f>H205</f>
        <v>401</v>
      </c>
      <c r="I204" s="41">
        <f>I205</f>
        <v>0</v>
      </c>
      <c r="J204" s="41">
        <f>J205</f>
        <v>400</v>
      </c>
    </row>
    <row r="205" spans="1:10" ht="38.25">
      <c r="A205" s="1"/>
      <c r="B205" s="25"/>
      <c r="C205" s="21" t="s">
        <v>95</v>
      </c>
      <c r="D205" s="21" t="s">
        <v>100</v>
      </c>
      <c r="E205" s="21" t="s">
        <v>571</v>
      </c>
      <c r="F205" s="82" t="s">
        <v>214</v>
      </c>
      <c r="G205" s="98" t="s">
        <v>215</v>
      </c>
      <c r="H205" s="41">
        <f>370+31</f>
        <v>401</v>
      </c>
      <c r="I205" s="41">
        <v>0</v>
      </c>
      <c r="J205" s="41">
        <v>400</v>
      </c>
    </row>
    <row r="206" spans="1:10" ht="38.25">
      <c r="A206" s="1"/>
      <c r="B206" s="25"/>
      <c r="C206" s="21" t="s">
        <v>95</v>
      </c>
      <c r="D206" s="21" t="s">
        <v>100</v>
      </c>
      <c r="E206" s="21" t="s">
        <v>647</v>
      </c>
      <c r="F206" s="82"/>
      <c r="G206" s="98" t="s">
        <v>646</v>
      </c>
      <c r="H206" s="41">
        <f>H207</f>
        <v>178</v>
      </c>
      <c r="I206" s="41">
        <f t="shared" ref="I206:J206" si="71">I207</f>
        <v>0</v>
      </c>
      <c r="J206" s="41">
        <f t="shared" si="71"/>
        <v>0</v>
      </c>
    </row>
    <row r="207" spans="1:10" ht="38.25">
      <c r="A207" s="1"/>
      <c r="B207" s="25"/>
      <c r="C207" s="21" t="s">
        <v>95</v>
      </c>
      <c r="D207" s="21" t="s">
        <v>100</v>
      </c>
      <c r="E207" s="21" t="s">
        <v>647</v>
      </c>
      <c r="F207" s="82" t="s">
        <v>214</v>
      </c>
      <c r="G207" s="98" t="s">
        <v>215</v>
      </c>
      <c r="H207" s="41">
        <v>178</v>
      </c>
      <c r="I207" s="41">
        <v>0</v>
      </c>
      <c r="J207" s="41">
        <v>0</v>
      </c>
    </row>
    <row r="208" spans="1:10" ht="25.5">
      <c r="A208" s="1"/>
      <c r="B208" s="25"/>
      <c r="C208" s="21" t="s">
        <v>95</v>
      </c>
      <c r="D208" s="21" t="s">
        <v>100</v>
      </c>
      <c r="E208" s="21" t="s">
        <v>649</v>
      </c>
      <c r="F208" s="82"/>
      <c r="G208" s="98" t="s">
        <v>650</v>
      </c>
      <c r="H208" s="41">
        <f>H209</f>
        <v>944.6</v>
      </c>
      <c r="I208" s="41">
        <f t="shared" ref="I208:J208" si="72">I209</f>
        <v>0</v>
      </c>
      <c r="J208" s="41">
        <f t="shared" si="72"/>
        <v>0</v>
      </c>
    </row>
    <row r="209" spans="1:10" ht="38.25">
      <c r="A209" s="1"/>
      <c r="B209" s="25"/>
      <c r="C209" s="21" t="s">
        <v>95</v>
      </c>
      <c r="D209" s="21" t="s">
        <v>100</v>
      </c>
      <c r="E209" s="21" t="s">
        <v>649</v>
      </c>
      <c r="F209" s="82" t="s">
        <v>214</v>
      </c>
      <c r="G209" s="98" t="s">
        <v>215</v>
      </c>
      <c r="H209" s="41">
        <f>990-45.4</f>
        <v>944.6</v>
      </c>
      <c r="I209" s="41">
        <v>0</v>
      </c>
      <c r="J209" s="41">
        <v>0</v>
      </c>
    </row>
    <row r="210" spans="1:10">
      <c r="A210" s="1"/>
      <c r="B210" s="25"/>
      <c r="C210" s="21" t="s">
        <v>95</v>
      </c>
      <c r="D210" s="21" t="s">
        <v>100</v>
      </c>
      <c r="E210" s="21" t="s">
        <v>707</v>
      </c>
      <c r="F210" s="82"/>
      <c r="G210" s="98" t="s">
        <v>648</v>
      </c>
      <c r="H210" s="41">
        <f>H211</f>
        <v>499</v>
      </c>
      <c r="I210" s="41">
        <f t="shared" ref="I210:J210" si="73">I211</f>
        <v>0</v>
      </c>
      <c r="J210" s="41">
        <f t="shared" si="73"/>
        <v>0</v>
      </c>
    </row>
    <row r="211" spans="1:10" ht="38.25">
      <c r="A211" s="1"/>
      <c r="B211" s="25"/>
      <c r="C211" s="21" t="s">
        <v>95</v>
      </c>
      <c r="D211" s="21" t="s">
        <v>100</v>
      </c>
      <c r="E211" s="21" t="s">
        <v>707</v>
      </c>
      <c r="F211" s="82" t="s">
        <v>214</v>
      </c>
      <c r="G211" s="98" t="s">
        <v>215</v>
      </c>
      <c r="H211" s="41">
        <f>600-98.6-2.4</f>
        <v>499</v>
      </c>
      <c r="I211" s="41">
        <v>0</v>
      </c>
      <c r="J211" s="41">
        <v>0</v>
      </c>
    </row>
    <row r="212" spans="1:10" ht="63.75">
      <c r="A212" s="1"/>
      <c r="B212" s="25"/>
      <c r="C212" s="21" t="s">
        <v>95</v>
      </c>
      <c r="D212" s="21" t="s">
        <v>100</v>
      </c>
      <c r="E212" s="51" t="s">
        <v>566</v>
      </c>
      <c r="F212" s="82"/>
      <c r="G212" s="98" t="s">
        <v>567</v>
      </c>
      <c r="H212" s="41">
        <f>H213+H215</f>
        <v>3963.9</v>
      </c>
      <c r="I212" s="41">
        <f t="shared" ref="I212:J212" si="74">I213+I215</f>
        <v>4637.8</v>
      </c>
      <c r="J212" s="41">
        <f t="shared" si="74"/>
        <v>4823.3</v>
      </c>
    </row>
    <row r="213" spans="1:10" ht="42" customHeight="1">
      <c r="A213" s="1"/>
      <c r="B213" s="25"/>
      <c r="C213" s="21" t="s">
        <v>95</v>
      </c>
      <c r="D213" s="21" t="s">
        <v>100</v>
      </c>
      <c r="E213" s="51" t="s">
        <v>362</v>
      </c>
      <c r="F213" s="82"/>
      <c r="G213" s="98" t="s">
        <v>359</v>
      </c>
      <c r="H213" s="41">
        <f>H214</f>
        <v>396.4</v>
      </c>
      <c r="I213" s="41">
        <f>I214</f>
        <v>927.6</v>
      </c>
      <c r="J213" s="41">
        <f>J214</f>
        <v>964.7</v>
      </c>
    </row>
    <row r="214" spans="1:10" ht="38.25">
      <c r="A214" s="1"/>
      <c r="B214" s="25"/>
      <c r="C214" s="21" t="s">
        <v>95</v>
      </c>
      <c r="D214" s="21" t="s">
        <v>100</v>
      </c>
      <c r="E214" s="51" t="s">
        <v>362</v>
      </c>
      <c r="F214" s="82" t="s">
        <v>214</v>
      </c>
      <c r="G214" s="98" t="s">
        <v>215</v>
      </c>
      <c r="H214" s="39">
        <f>891.9-495.5</f>
        <v>396.4</v>
      </c>
      <c r="I214" s="39">
        <v>927.6</v>
      </c>
      <c r="J214" s="39">
        <v>964.7</v>
      </c>
    </row>
    <row r="215" spans="1:10" ht="54.75" customHeight="1">
      <c r="A215" s="1"/>
      <c r="B215" s="25"/>
      <c r="C215" s="21" t="s">
        <v>95</v>
      </c>
      <c r="D215" s="21" t="s">
        <v>100</v>
      </c>
      <c r="E215" s="51" t="s">
        <v>363</v>
      </c>
      <c r="F215" s="82"/>
      <c r="G215" s="98" t="s">
        <v>357</v>
      </c>
      <c r="H215" s="41">
        <f>H216</f>
        <v>3567.5</v>
      </c>
      <c r="I215" s="41">
        <f>I216</f>
        <v>3710.2</v>
      </c>
      <c r="J215" s="41">
        <f>J216</f>
        <v>3858.6</v>
      </c>
    </row>
    <row r="216" spans="1:10" ht="38.25">
      <c r="A216" s="1"/>
      <c r="B216" s="25"/>
      <c r="C216" s="21" t="s">
        <v>95</v>
      </c>
      <c r="D216" s="21" t="s">
        <v>100</v>
      </c>
      <c r="E216" s="51" t="s">
        <v>363</v>
      </c>
      <c r="F216" s="82" t="s">
        <v>214</v>
      </c>
      <c r="G216" s="98" t="s">
        <v>215</v>
      </c>
      <c r="H216" s="41">
        <v>3567.5</v>
      </c>
      <c r="I216" s="41">
        <v>3710.2</v>
      </c>
      <c r="J216" s="41">
        <v>3858.6</v>
      </c>
    </row>
    <row r="217" spans="1:10" ht="25.5">
      <c r="A217" s="1"/>
      <c r="B217" s="25"/>
      <c r="C217" s="30" t="s">
        <v>95</v>
      </c>
      <c r="D217" s="30" t="s">
        <v>123</v>
      </c>
      <c r="E217" s="30"/>
      <c r="F217" s="30"/>
      <c r="G217" s="46" t="s">
        <v>4</v>
      </c>
      <c r="H217" s="40">
        <f>H218+H228+H250</f>
        <v>3716.2000000000003</v>
      </c>
      <c r="I217" s="40">
        <f t="shared" ref="I217:J217" si="75">I218+I228+I250</f>
        <v>1953.5</v>
      </c>
      <c r="J217" s="40">
        <f t="shared" si="75"/>
        <v>1946.2</v>
      </c>
    </row>
    <row r="218" spans="1:10" ht="89.25">
      <c r="A218" s="1"/>
      <c r="B218" s="25"/>
      <c r="C218" s="16" t="s">
        <v>95</v>
      </c>
      <c r="D218" s="16" t="s">
        <v>123</v>
      </c>
      <c r="E218" s="73" t="s">
        <v>70</v>
      </c>
      <c r="F218" s="16"/>
      <c r="G218" s="143" t="s">
        <v>620</v>
      </c>
      <c r="H218" s="96">
        <f t="shared" ref="H218:J218" si="76">H219</f>
        <v>406.3</v>
      </c>
      <c r="I218" s="96">
        <f t="shared" si="76"/>
        <v>183.5</v>
      </c>
      <c r="J218" s="96">
        <f t="shared" si="76"/>
        <v>176.2</v>
      </c>
    </row>
    <row r="219" spans="1:10" ht="38.25">
      <c r="A219" s="1"/>
      <c r="B219" s="25"/>
      <c r="C219" s="16" t="s">
        <v>95</v>
      </c>
      <c r="D219" s="16" t="s">
        <v>123</v>
      </c>
      <c r="E219" s="52" t="s">
        <v>164</v>
      </c>
      <c r="F219" s="16"/>
      <c r="G219" s="48" t="s">
        <v>163</v>
      </c>
      <c r="H219" s="93">
        <f>H220+H223</f>
        <v>406.3</v>
      </c>
      <c r="I219" s="93">
        <f t="shared" ref="I219:J219" si="77">I220+I223</f>
        <v>183.5</v>
      </c>
      <c r="J219" s="93">
        <f t="shared" si="77"/>
        <v>176.2</v>
      </c>
    </row>
    <row r="220" spans="1:10" ht="76.5">
      <c r="A220" s="1"/>
      <c r="B220" s="25"/>
      <c r="C220" s="16" t="s">
        <v>95</v>
      </c>
      <c r="D220" s="16" t="s">
        <v>123</v>
      </c>
      <c r="E220" s="21" t="s">
        <v>251</v>
      </c>
      <c r="F220" s="16"/>
      <c r="G220" s="99" t="s">
        <v>315</v>
      </c>
      <c r="H220" s="41">
        <f t="shared" ref="H220:J221" si="78">H221</f>
        <v>165.1</v>
      </c>
      <c r="I220" s="41">
        <f t="shared" si="78"/>
        <v>147.5</v>
      </c>
      <c r="J220" s="41">
        <f t="shared" si="78"/>
        <v>140.19999999999999</v>
      </c>
    </row>
    <row r="221" spans="1:10" ht="51">
      <c r="A221" s="1"/>
      <c r="B221" s="25"/>
      <c r="C221" s="16" t="s">
        <v>95</v>
      </c>
      <c r="D221" s="16" t="s">
        <v>123</v>
      </c>
      <c r="E221" s="21" t="s">
        <v>480</v>
      </c>
      <c r="F221" s="30"/>
      <c r="G221" s="97" t="s">
        <v>165</v>
      </c>
      <c r="H221" s="41">
        <f t="shared" si="78"/>
        <v>165.1</v>
      </c>
      <c r="I221" s="41">
        <f t="shared" si="78"/>
        <v>147.5</v>
      </c>
      <c r="J221" s="41">
        <f t="shared" si="78"/>
        <v>140.19999999999999</v>
      </c>
    </row>
    <row r="222" spans="1:10" ht="38.25">
      <c r="A222" s="1"/>
      <c r="B222" s="25"/>
      <c r="C222" s="16" t="s">
        <v>95</v>
      </c>
      <c r="D222" s="16" t="s">
        <v>123</v>
      </c>
      <c r="E222" s="21" t="s">
        <v>480</v>
      </c>
      <c r="F222" s="82" t="s">
        <v>214</v>
      </c>
      <c r="G222" s="98" t="s">
        <v>215</v>
      </c>
      <c r="H222" s="39">
        <f>164+1.1</f>
        <v>165.1</v>
      </c>
      <c r="I222" s="39">
        <f>164-16.5</f>
        <v>147.5</v>
      </c>
      <c r="J222" s="39">
        <f>164-23.8</f>
        <v>140.19999999999999</v>
      </c>
    </row>
    <row r="223" spans="1:10" ht="25.5">
      <c r="A223" s="1"/>
      <c r="B223" s="25"/>
      <c r="C223" s="16" t="s">
        <v>95</v>
      </c>
      <c r="D223" s="16" t="s">
        <v>123</v>
      </c>
      <c r="E223" s="21" t="s">
        <v>349</v>
      </c>
      <c r="F223" s="82"/>
      <c r="G223" s="99" t="s">
        <v>345</v>
      </c>
      <c r="H223" s="41">
        <f>H224+H226</f>
        <v>241.20000000000002</v>
      </c>
      <c r="I223" s="41">
        <f t="shared" ref="I223:J223" si="79">I224+I226</f>
        <v>36</v>
      </c>
      <c r="J223" s="41">
        <f t="shared" si="79"/>
        <v>36</v>
      </c>
    </row>
    <row r="224" spans="1:10" ht="38.25">
      <c r="A224" s="1"/>
      <c r="B224" s="25"/>
      <c r="C224" s="16" t="s">
        <v>95</v>
      </c>
      <c r="D224" s="16" t="s">
        <v>123</v>
      </c>
      <c r="E224" s="82" t="s">
        <v>481</v>
      </c>
      <c r="F224" s="30"/>
      <c r="G224" s="97" t="s">
        <v>168</v>
      </c>
      <c r="H224" s="41">
        <f>H225</f>
        <v>27.9</v>
      </c>
      <c r="I224" s="41">
        <f t="shared" ref="I224:J224" si="80">I225</f>
        <v>36</v>
      </c>
      <c r="J224" s="41">
        <f t="shared" si="80"/>
        <v>36</v>
      </c>
    </row>
    <row r="225" spans="1:10" ht="38.25">
      <c r="A225" s="1"/>
      <c r="B225" s="25"/>
      <c r="C225" s="16" t="s">
        <v>95</v>
      </c>
      <c r="D225" s="16" t="s">
        <v>123</v>
      </c>
      <c r="E225" s="82" t="s">
        <v>481</v>
      </c>
      <c r="F225" s="82" t="s">
        <v>214</v>
      </c>
      <c r="G225" s="98" t="s">
        <v>215</v>
      </c>
      <c r="H225" s="41">
        <f>36-8.1</f>
        <v>27.9</v>
      </c>
      <c r="I225" s="41">
        <v>36</v>
      </c>
      <c r="J225" s="41">
        <v>36</v>
      </c>
    </row>
    <row r="226" spans="1:10" ht="63.75">
      <c r="A226" s="1"/>
      <c r="B226" s="25"/>
      <c r="C226" s="16" t="s">
        <v>95</v>
      </c>
      <c r="D226" s="16" t="s">
        <v>123</v>
      </c>
      <c r="E226" s="82" t="s">
        <v>661</v>
      </c>
      <c r="F226" s="82"/>
      <c r="G226" s="98" t="s">
        <v>665</v>
      </c>
      <c r="H226" s="41">
        <f>H227</f>
        <v>213.3</v>
      </c>
      <c r="I226" s="41">
        <f t="shared" ref="I226:J226" si="81">I227</f>
        <v>0</v>
      </c>
      <c r="J226" s="41">
        <f t="shared" si="81"/>
        <v>0</v>
      </c>
    </row>
    <row r="227" spans="1:10" ht="38.25">
      <c r="A227" s="1"/>
      <c r="B227" s="25"/>
      <c r="C227" s="16" t="s">
        <v>95</v>
      </c>
      <c r="D227" s="16" t="s">
        <v>123</v>
      </c>
      <c r="E227" s="82" t="s">
        <v>661</v>
      </c>
      <c r="F227" s="82" t="s">
        <v>214</v>
      </c>
      <c r="G227" s="98" t="s">
        <v>215</v>
      </c>
      <c r="H227" s="41">
        <f>250-43.7+7</f>
        <v>213.3</v>
      </c>
      <c r="I227" s="41">
        <v>0</v>
      </c>
      <c r="J227" s="41">
        <v>0</v>
      </c>
    </row>
    <row r="228" spans="1:10" ht="89.25">
      <c r="A228" s="1"/>
      <c r="B228" s="25"/>
      <c r="C228" s="5" t="s">
        <v>95</v>
      </c>
      <c r="D228" s="5" t="s">
        <v>123</v>
      </c>
      <c r="E228" s="76">
        <v>400000000</v>
      </c>
      <c r="F228" s="16"/>
      <c r="G228" s="142" t="s">
        <v>619</v>
      </c>
      <c r="H228" s="96">
        <f t="shared" ref="H228:J228" si="82">H229</f>
        <v>1953.5</v>
      </c>
      <c r="I228" s="96">
        <f t="shared" si="82"/>
        <v>1470</v>
      </c>
      <c r="J228" s="96">
        <f t="shared" si="82"/>
        <v>1470</v>
      </c>
    </row>
    <row r="229" spans="1:10" ht="52.5" customHeight="1">
      <c r="A229" s="1"/>
      <c r="B229" s="25"/>
      <c r="C229" s="47" t="s">
        <v>95</v>
      </c>
      <c r="D229" s="47" t="s">
        <v>123</v>
      </c>
      <c r="E229" s="75">
        <v>410000000</v>
      </c>
      <c r="F229" s="30"/>
      <c r="G229" s="46" t="s">
        <v>482</v>
      </c>
      <c r="H229" s="93">
        <f>H230+H239</f>
        <v>1953.5</v>
      </c>
      <c r="I229" s="93">
        <f t="shared" ref="I229:J229" si="83">I230+I239</f>
        <v>1470</v>
      </c>
      <c r="J229" s="93">
        <f t="shared" si="83"/>
        <v>1470</v>
      </c>
    </row>
    <row r="230" spans="1:10" ht="51">
      <c r="A230" s="1"/>
      <c r="B230" s="25"/>
      <c r="C230" s="16" t="s">
        <v>95</v>
      </c>
      <c r="D230" s="16" t="s">
        <v>123</v>
      </c>
      <c r="E230" s="74">
        <v>410200000</v>
      </c>
      <c r="F230" s="30"/>
      <c r="G230" s="97" t="s">
        <v>487</v>
      </c>
      <c r="H230" s="39">
        <f>H231+H233+H235+H237</f>
        <v>167.5</v>
      </c>
      <c r="I230" s="39">
        <f t="shared" ref="I230:J230" si="84">I231+I233+I235+I237</f>
        <v>70</v>
      </c>
      <c r="J230" s="39">
        <f t="shared" si="84"/>
        <v>70</v>
      </c>
    </row>
    <row r="231" spans="1:10" ht="76.5">
      <c r="A231" s="1"/>
      <c r="B231" s="25"/>
      <c r="C231" s="16" t="s">
        <v>95</v>
      </c>
      <c r="D231" s="16" t="s">
        <v>123</v>
      </c>
      <c r="E231" s="136" t="s">
        <v>699</v>
      </c>
      <c r="F231" s="82"/>
      <c r="G231" s="98" t="s">
        <v>639</v>
      </c>
      <c r="H231" s="39">
        <f t="shared" ref="H231:J231" si="85">H232</f>
        <v>50</v>
      </c>
      <c r="I231" s="39">
        <f t="shared" si="85"/>
        <v>50</v>
      </c>
      <c r="J231" s="39">
        <f t="shared" si="85"/>
        <v>50</v>
      </c>
    </row>
    <row r="232" spans="1:10" ht="38.25">
      <c r="A232" s="1"/>
      <c r="B232" s="25"/>
      <c r="C232" s="16" t="s">
        <v>95</v>
      </c>
      <c r="D232" s="16" t="s">
        <v>123</v>
      </c>
      <c r="E232" s="136" t="s">
        <v>699</v>
      </c>
      <c r="F232" s="82" t="s">
        <v>214</v>
      </c>
      <c r="G232" s="98" t="s">
        <v>215</v>
      </c>
      <c r="H232" s="39">
        <v>50</v>
      </c>
      <c r="I232" s="39">
        <v>50</v>
      </c>
      <c r="J232" s="39">
        <v>50</v>
      </c>
    </row>
    <row r="233" spans="1:10" ht="25.5">
      <c r="A233" s="1"/>
      <c r="B233" s="25"/>
      <c r="C233" s="16" t="s">
        <v>95</v>
      </c>
      <c r="D233" s="16" t="s">
        <v>123</v>
      </c>
      <c r="E233" s="136" t="s">
        <v>698</v>
      </c>
      <c r="F233" s="82"/>
      <c r="G233" s="98" t="s">
        <v>485</v>
      </c>
      <c r="H233" s="39">
        <f>H234</f>
        <v>30</v>
      </c>
      <c r="I233" s="39">
        <f>I234</f>
        <v>20</v>
      </c>
      <c r="J233" s="39">
        <f>J234</f>
        <v>20</v>
      </c>
    </row>
    <row r="234" spans="1:10" ht="38.25">
      <c r="A234" s="1"/>
      <c r="B234" s="25"/>
      <c r="C234" s="16" t="s">
        <v>95</v>
      </c>
      <c r="D234" s="16" t="s">
        <v>123</v>
      </c>
      <c r="E234" s="136" t="s">
        <v>698</v>
      </c>
      <c r="F234" s="82" t="s">
        <v>214</v>
      </c>
      <c r="G234" s="98" t="s">
        <v>215</v>
      </c>
      <c r="H234" s="39">
        <v>30</v>
      </c>
      <c r="I234" s="39">
        <v>20</v>
      </c>
      <c r="J234" s="39">
        <v>20</v>
      </c>
    </row>
    <row r="235" spans="1:10" ht="38.25">
      <c r="A235" s="1"/>
      <c r="B235" s="25"/>
      <c r="C235" s="16" t="s">
        <v>95</v>
      </c>
      <c r="D235" s="16" t="s">
        <v>123</v>
      </c>
      <c r="E235" s="136" t="s">
        <v>697</v>
      </c>
      <c r="F235" s="82"/>
      <c r="G235" s="98" t="s">
        <v>640</v>
      </c>
      <c r="H235" s="39">
        <f>H236</f>
        <v>82.5</v>
      </c>
      <c r="I235" s="39">
        <f t="shared" ref="I235:J235" si="86">I236</f>
        <v>0</v>
      </c>
      <c r="J235" s="39">
        <f t="shared" si="86"/>
        <v>0</v>
      </c>
    </row>
    <row r="236" spans="1:10" ht="38.25">
      <c r="A236" s="1"/>
      <c r="B236" s="25"/>
      <c r="C236" s="16" t="s">
        <v>95</v>
      </c>
      <c r="D236" s="16" t="s">
        <v>123</v>
      </c>
      <c r="E236" s="136" t="s">
        <v>697</v>
      </c>
      <c r="F236" s="82" t="s">
        <v>214</v>
      </c>
      <c r="G236" s="98" t="s">
        <v>215</v>
      </c>
      <c r="H236" s="39">
        <v>82.5</v>
      </c>
      <c r="I236" s="39">
        <v>0</v>
      </c>
      <c r="J236" s="39">
        <v>0</v>
      </c>
    </row>
    <row r="237" spans="1:10">
      <c r="A237" s="1"/>
      <c r="B237" s="25"/>
      <c r="C237" s="16" t="s">
        <v>95</v>
      </c>
      <c r="D237" s="16" t="s">
        <v>123</v>
      </c>
      <c r="E237" s="136" t="s">
        <v>700</v>
      </c>
      <c r="F237" s="82"/>
      <c r="G237" s="98" t="s">
        <v>641</v>
      </c>
      <c r="H237" s="39">
        <f>H238</f>
        <v>5</v>
      </c>
      <c r="I237" s="39">
        <f t="shared" ref="I237:J237" si="87">I238</f>
        <v>0</v>
      </c>
      <c r="J237" s="39">
        <f t="shared" si="87"/>
        <v>0</v>
      </c>
    </row>
    <row r="238" spans="1:10" ht="38.25">
      <c r="A238" s="1"/>
      <c r="B238" s="25"/>
      <c r="C238" s="16" t="s">
        <v>95</v>
      </c>
      <c r="D238" s="16" t="s">
        <v>123</v>
      </c>
      <c r="E238" s="136" t="s">
        <v>700</v>
      </c>
      <c r="F238" s="82" t="s">
        <v>214</v>
      </c>
      <c r="G238" s="98" t="s">
        <v>215</v>
      </c>
      <c r="H238" s="39">
        <v>5</v>
      </c>
      <c r="I238" s="39">
        <v>0</v>
      </c>
      <c r="J238" s="39">
        <v>0</v>
      </c>
    </row>
    <row r="239" spans="1:10" ht="51">
      <c r="A239" s="1"/>
      <c r="B239" s="25"/>
      <c r="C239" s="16" t="s">
        <v>95</v>
      </c>
      <c r="D239" s="16" t="s">
        <v>123</v>
      </c>
      <c r="E239" s="136" t="s">
        <v>489</v>
      </c>
      <c r="F239" s="82"/>
      <c r="G239" s="97" t="s">
        <v>488</v>
      </c>
      <c r="H239" s="39">
        <f>H240+H242+H244+H246+H248</f>
        <v>1786</v>
      </c>
      <c r="I239" s="39">
        <f t="shared" ref="I239:J239" si="88">I240+I242+I244+I246</f>
        <v>1400</v>
      </c>
      <c r="J239" s="39">
        <f t="shared" si="88"/>
        <v>1400</v>
      </c>
    </row>
    <row r="240" spans="1:10" ht="63.75">
      <c r="A240" s="1"/>
      <c r="B240" s="25"/>
      <c r="C240" s="16" t="s">
        <v>95</v>
      </c>
      <c r="D240" s="16" t="s">
        <v>123</v>
      </c>
      <c r="E240" s="136" t="s">
        <v>701</v>
      </c>
      <c r="F240" s="82"/>
      <c r="G240" s="98" t="s">
        <v>642</v>
      </c>
      <c r="H240" s="39">
        <f>H241</f>
        <v>150</v>
      </c>
      <c r="I240" s="39">
        <f t="shared" ref="I240:J240" si="89">I241</f>
        <v>100</v>
      </c>
      <c r="J240" s="39">
        <f t="shared" si="89"/>
        <v>100</v>
      </c>
    </row>
    <row r="241" spans="1:10" ht="63.75">
      <c r="A241" s="1"/>
      <c r="B241" s="25"/>
      <c r="C241" s="16" t="s">
        <v>95</v>
      </c>
      <c r="D241" s="16" t="s">
        <v>123</v>
      </c>
      <c r="E241" s="136" t="s">
        <v>701</v>
      </c>
      <c r="F241" s="16" t="s">
        <v>12</v>
      </c>
      <c r="G241" s="98" t="s">
        <v>374</v>
      </c>
      <c r="H241" s="39">
        <v>150</v>
      </c>
      <c r="I241" s="39">
        <v>100</v>
      </c>
      <c r="J241" s="39">
        <v>100</v>
      </c>
    </row>
    <row r="242" spans="1:10" ht="63.75">
      <c r="A242" s="1"/>
      <c r="B242" s="25"/>
      <c r="C242" s="16" t="s">
        <v>95</v>
      </c>
      <c r="D242" s="16" t="s">
        <v>123</v>
      </c>
      <c r="E242" s="136" t="s">
        <v>702</v>
      </c>
      <c r="F242" s="82"/>
      <c r="G242" s="98" t="s">
        <v>490</v>
      </c>
      <c r="H242" s="39">
        <f>H243</f>
        <v>500</v>
      </c>
      <c r="I242" s="39">
        <f t="shared" ref="I242:J242" si="90">I243</f>
        <v>500</v>
      </c>
      <c r="J242" s="39">
        <f t="shared" si="90"/>
        <v>500</v>
      </c>
    </row>
    <row r="243" spans="1:10" ht="63.75">
      <c r="A243" s="1"/>
      <c r="B243" s="25"/>
      <c r="C243" s="16" t="s">
        <v>95</v>
      </c>
      <c r="D243" s="16" t="s">
        <v>123</v>
      </c>
      <c r="E243" s="136" t="s">
        <v>702</v>
      </c>
      <c r="F243" s="16" t="s">
        <v>12</v>
      </c>
      <c r="G243" s="98" t="s">
        <v>374</v>
      </c>
      <c r="H243" s="39">
        <f>1000-500</f>
        <v>500</v>
      </c>
      <c r="I243" s="39">
        <v>500</v>
      </c>
      <c r="J243" s="39">
        <v>500</v>
      </c>
    </row>
    <row r="244" spans="1:10" ht="104.25" customHeight="1">
      <c r="A244" s="1"/>
      <c r="B244" s="25"/>
      <c r="C244" s="16" t="s">
        <v>95</v>
      </c>
      <c r="D244" s="16" t="s">
        <v>123</v>
      </c>
      <c r="E244" s="136" t="s">
        <v>703</v>
      </c>
      <c r="F244" s="82"/>
      <c r="G244" s="98" t="s">
        <v>491</v>
      </c>
      <c r="H244" s="39">
        <f>H245</f>
        <v>80</v>
      </c>
      <c r="I244" s="39">
        <f t="shared" ref="I244:J244" si="91">I245</f>
        <v>100</v>
      </c>
      <c r="J244" s="39">
        <f t="shared" si="91"/>
        <v>100</v>
      </c>
    </row>
    <row r="245" spans="1:10" ht="63.75">
      <c r="A245" s="1"/>
      <c r="B245" s="25"/>
      <c r="C245" s="16" t="s">
        <v>95</v>
      </c>
      <c r="D245" s="16" t="s">
        <v>123</v>
      </c>
      <c r="E245" s="136" t="s">
        <v>703</v>
      </c>
      <c r="F245" s="16" t="s">
        <v>12</v>
      </c>
      <c r="G245" s="98" t="s">
        <v>374</v>
      </c>
      <c r="H245" s="39">
        <v>80</v>
      </c>
      <c r="I245" s="39">
        <v>100</v>
      </c>
      <c r="J245" s="39">
        <v>100</v>
      </c>
    </row>
    <row r="246" spans="1:10" ht="102">
      <c r="A246" s="1"/>
      <c r="B246" s="25"/>
      <c r="C246" s="16" t="s">
        <v>95</v>
      </c>
      <c r="D246" s="16" t="s">
        <v>123</v>
      </c>
      <c r="E246" s="136" t="s">
        <v>704</v>
      </c>
      <c r="F246" s="82"/>
      <c r="G246" s="98" t="s">
        <v>492</v>
      </c>
      <c r="H246" s="39">
        <f>H247</f>
        <v>700</v>
      </c>
      <c r="I246" s="39">
        <f t="shared" ref="I246:J246" si="92">I247</f>
        <v>700</v>
      </c>
      <c r="J246" s="39">
        <f t="shared" si="92"/>
        <v>700</v>
      </c>
    </row>
    <row r="247" spans="1:10" ht="63.75">
      <c r="A247" s="1"/>
      <c r="B247" s="25"/>
      <c r="C247" s="16" t="s">
        <v>95</v>
      </c>
      <c r="D247" s="16" t="s">
        <v>123</v>
      </c>
      <c r="E247" s="136" t="s">
        <v>704</v>
      </c>
      <c r="F247" s="16" t="s">
        <v>12</v>
      </c>
      <c r="G247" s="98" t="s">
        <v>374</v>
      </c>
      <c r="H247" s="39">
        <v>700</v>
      </c>
      <c r="I247" s="39">
        <v>700</v>
      </c>
      <c r="J247" s="39">
        <v>700</v>
      </c>
    </row>
    <row r="248" spans="1:10" ht="95.25" customHeight="1">
      <c r="A248" s="1"/>
      <c r="B248" s="25"/>
      <c r="C248" s="16" t="s">
        <v>95</v>
      </c>
      <c r="D248" s="16" t="s">
        <v>123</v>
      </c>
      <c r="E248" s="136" t="s">
        <v>705</v>
      </c>
      <c r="F248" s="16"/>
      <c r="G248" s="98" t="s">
        <v>643</v>
      </c>
      <c r="H248" s="39">
        <f>H249</f>
        <v>356</v>
      </c>
      <c r="I248" s="39">
        <f t="shared" ref="I248:J248" si="93">I249</f>
        <v>0</v>
      </c>
      <c r="J248" s="39">
        <f t="shared" si="93"/>
        <v>0</v>
      </c>
    </row>
    <row r="249" spans="1:10" ht="63.75">
      <c r="A249" s="1"/>
      <c r="B249" s="25"/>
      <c r="C249" s="16" t="s">
        <v>95</v>
      </c>
      <c r="D249" s="16" t="s">
        <v>123</v>
      </c>
      <c r="E249" s="136" t="s">
        <v>705</v>
      </c>
      <c r="F249" s="16" t="s">
        <v>12</v>
      </c>
      <c r="G249" s="98" t="s">
        <v>374</v>
      </c>
      <c r="H249" s="39">
        <v>356</v>
      </c>
      <c r="I249" s="39">
        <v>0</v>
      </c>
      <c r="J249" s="39">
        <v>0</v>
      </c>
    </row>
    <row r="250" spans="1:10" ht="76.5">
      <c r="A250" s="1"/>
      <c r="B250" s="25"/>
      <c r="C250" s="5" t="s">
        <v>95</v>
      </c>
      <c r="D250" s="5" t="s">
        <v>123</v>
      </c>
      <c r="E250" s="73" t="s">
        <v>147</v>
      </c>
      <c r="F250" s="16"/>
      <c r="G250" s="63" t="s">
        <v>624</v>
      </c>
      <c r="H250" s="96">
        <f t="shared" ref="H250:J250" si="94">H251</f>
        <v>1356.4</v>
      </c>
      <c r="I250" s="96">
        <f t="shared" si="94"/>
        <v>300</v>
      </c>
      <c r="J250" s="96">
        <f t="shared" si="94"/>
        <v>300</v>
      </c>
    </row>
    <row r="251" spans="1:10" ht="63.75">
      <c r="A251" s="1"/>
      <c r="B251" s="25"/>
      <c r="C251" s="47" t="s">
        <v>95</v>
      </c>
      <c r="D251" s="47" t="s">
        <v>123</v>
      </c>
      <c r="E251" s="52" t="s">
        <v>148</v>
      </c>
      <c r="F251" s="16"/>
      <c r="G251" s="48" t="s">
        <v>529</v>
      </c>
      <c r="H251" s="93">
        <f>H252</f>
        <v>1356.4</v>
      </c>
      <c r="I251" s="93">
        <f>I252</f>
        <v>300</v>
      </c>
      <c r="J251" s="93">
        <f>J252</f>
        <v>300</v>
      </c>
    </row>
    <row r="252" spans="1:10" ht="89.25">
      <c r="A252" s="1"/>
      <c r="B252" s="25"/>
      <c r="C252" s="16" t="s">
        <v>95</v>
      </c>
      <c r="D252" s="16" t="s">
        <v>123</v>
      </c>
      <c r="E252" s="21" t="s">
        <v>213</v>
      </c>
      <c r="F252" s="16"/>
      <c r="G252" s="99" t="s">
        <v>530</v>
      </c>
      <c r="H252" s="39">
        <f>H253+H255+H257+H259</f>
        <v>1356.4</v>
      </c>
      <c r="I252" s="39">
        <f>I253+I255+I257+I259</f>
        <v>300</v>
      </c>
      <c r="J252" s="39">
        <f t="shared" ref="J252" si="95">J253+J255+J257+J259</f>
        <v>300</v>
      </c>
    </row>
    <row r="253" spans="1:10" ht="51">
      <c r="A253" s="1"/>
      <c r="B253" s="25"/>
      <c r="C253" s="16" t="s">
        <v>95</v>
      </c>
      <c r="D253" s="16" t="s">
        <v>123</v>
      </c>
      <c r="E253" s="138" t="s">
        <v>531</v>
      </c>
      <c r="F253" s="16"/>
      <c r="G253" s="99" t="s">
        <v>587</v>
      </c>
      <c r="H253" s="39">
        <f>H254</f>
        <v>0</v>
      </c>
      <c r="I253" s="39">
        <f>I254</f>
        <v>0</v>
      </c>
      <c r="J253" s="39">
        <f>J254</f>
        <v>300</v>
      </c>
    </row>
    <row r="254" spans="1:10" ht="38.25">
      <c r="A254" s="1"/>
      <c r="B254" s="25"/>
      <c r="C254" s="16" t="s">
        <v>95</v>
      </c>
      <c r="D254" s="16" t="s">
        <v>123</v>
      </c>
      <c r="E254" s="138" t="s">
        <v>531</v>
      </c>
      <c r="F254" s="82" t="s">
        <v>214</v>
      </c>
      <c r="G254" s="98" t="s">
        <v>215</v>
      </c>
      <c r="H254" s="39">
        <v>0</v>
      </c>
      <c r="I254" s="39">
        <v>0</v>
      </c>
      <c r="J254" s="39">
        <v>300</v>
      </c>
    </row>
    <row r="255" spans="1:10" ht="78" customHeight="1">
      <c r="A255" s="1"/>
      <c r="B255" s="25"/>
      <c r="C255" s="16" t="s">
        <v>95</v>
      </c>
      <c r="D255" s="16" t="s">
        <v>123</v>
      </c>
      <c r="E255" s="74">
        <v>810123102</v>
      </c>
      <c r="F255" s="16"/>
      <c r="G255" s="99" t="s">
        <v>532</v>
      </c>
      <c r="H255" s="39">
        <f>H256</f>
        <v>591</v>
      </c>
      <c r="I255" s="39">
        <f>I256</f>
        <v>100</v>
      </c>
      <c r="J255" s="39">
        <f>J256</f>
        <v>0</v>
      </c>
    </row>
    <row r="256" spans="1:10" ht="38.25">
      <c r="A256" s="1"/>
      <c r="B256" s="25"/>
      <c r="C256" s="16" t="s">
        <v>95</v>
      </c>
      <c r="D256" s="16" t="s">
        <v>123</v>
      </c>
      <c r="E256" s="74">
        <v>810123102</v>
      </c>
      <c r="F256" s="82" t="s">
        <v>214</v>
      </c>
      <c r="G256" s="98" t="s">
        <v>215</v>
      </c>
      <c r="H256" s="39">
        <v>591</v>
      </c>
      <c r="I256" s="39">
        <v>100</v>
      </c>
      <c r="J256" s="39">
        <v>0</v>
      </c>
    </row>
    <row r="257" spans="1:10" ht="76.5">
      <c r="A257" s="1"/>
      <c r="B257" s="25"/>
      <c r="C257" s="16" t="s">
        <v>95</v>
      </c>
      <c r="D257" s="16" t="s">
        <v>123</v>
      </c>
      <c r="E257" s="74">
        <v>810123103</v>
      </c>
      <c r="F257" s="82"/>
      <c r="G257" s="98" t="s">
        <v>533</v>
      </c>
      <c r="H257" s="39">
        <f t="shared" ref="H257:J257" si="96">H258</f>
        <v>435</v>
      </c>
      <c r="I257" s="39">
        <f t="shared" si="96"/>
        <v>100</v>
      </c>
      <c r="J257" s="39">
        <f t="shared" si="96"/>
        <v>0</v>
      </c>
    </row>
    <row r="258" spans="1:10" ht="38.25">
      <c r="A258" s="1"/>
      <c r="B258" s="25"/>
      <c r="C258" s="16" t="s">
        <v>95</v>
      </c>
      <c r="D258" s="16" t="s">
        <v>123</v>
      </c>
      <c r="E258" s="74">
        <v>810123103</v>
      </c>
      <c r="F258" s="82" t="s">
        <v>214</v>
      </c>
      <c r="G258" s="98" t="s">
        <v>215</v>
      </c>
      <c r="H258" s="39">
        <v>435</v>
      </c>
      <c r="I258" s="39">
        <v>100</v>
      </c>
      <c r="J258" s="39">
        <v>0</v>
      </c>
    </row>
    <row r="259" spans="1:10" ht="89.25">
      <c r="A259" s="1"/>
      <c r="B259" s="25"/>
      <c r="C259" s="16" t="s">
        <v>95</v>
      </c>
      <c r="D259" s="16" t="s">
        <v>123</v>
      </c>
      <c r="E259" s="74">
        <v>810123104</v>
      </c>
      <c r="F259" s="82"/>
      <c r="G259" s="98" t="s">
        <v>534</v>
      </c>
      <c r="H259" s="39">
        <f>H260</f>
        <v>330.4</v>
      </c>
      <c r="I259" s="39">
        <f t="shared" ref="I259" si="97">I260</f>
        <v>100</v>
      </c>
      <c r="J259" s="39">
        <f t="shared" ref="J259" si="98">J260</f>
        <v>0</v>
      </c>
    </row>
    <row r="260" spans="1:10" ht="38.25">
      <c r="A260" s="1"/>
      <c r="B260" s="25"/>
      <c r="C260" s="16" t="s">
        <v>95</v>
      </c>
      <c r="D260" s="16" t="s">
        <v>123</v>
      </c>
      <c r="E260" s="74">
        <v>810123104</v>
      </c>
      <c r="F260" s="82" t="s">
        <v>214</v>
      </c>
      <c r="G260" s="98" t="s">
        <v>215</v>
      </c>
      <c r="H260" s="39">
        <f>295.4+35</f>
        <v>330.4</v>
      </c>
      <c r="I260" s="39">
        <v>100</v>
      </c>
      <c r="J260" s="39">
        <v>0</v>
      </c>
    </row>
    <row r="261" spans="1:10" ht="30">
      <c r="A261" s="1"/>
      <c r="B261" s="25"/>
      <c r="C261" s="4" t="s">
        <v>96</v>
      </c>
      <c r="D261" s="3"/>
      <c r="E261" s="3"/>
      <c r="F261" s="3"/>
      <c r="G261" s="49" t="s">
        <v>48</v>
      </c>
      <c r="H261" s="92">
        <f>H262+H295+H342+H420</f>
        <v>93841.2</v>
      </c>
      <c r="I261" s="92">
        <f>I262+I295+I342+I420</f>
        <v>35648.5</v>
      </c>
      <c r="J261" s="92">
        <f>J262+J295+J342+J420</f>
        <v>36047.200000000004</v>
      </c>
    </row>
    <row r="262" spans="1:10" ht="14.25">
      <c r="A262" s="1"/>
      <c r="B262" s="25"/>
      <c r="C262" s="30" t="s">
        <v>96</v>
      </c>
      <c r="D262" s="30" t="s">
        <v>89</v>
      </c>
      <c r="E262" s="30"/>
      <c r="F262" s="30"/>
      <c r="G262" s="27" t="s">
        <v>43</v>
      </c>
      <c r="H262" s="40">
        <f>H263</f>
        <v>7602.2</v>
      </c>
      <c r="I262" s="40">
        <f t="shared" ref="I262:J262" si="99">I263</f>
        <v>6043.9</v>
      </c>
      <c r="J262" s="40">
        <f t="shared" si="99"/>
        <v>6087.8</v>
      </c>
    </row>
    <row r="263" spans="1:10" ht="76.5">
      <c r="A263" s="1"/>
      <c r="B263" s="25"/>
      <c r="C263" s="5" t="s">
        <v>96</v>
      </c>
      <c r="D263" s="5" t="s">
        <v>89</v>
      </c>
      <c r="E263" s="73" t="s">
        <v>155</v>
      </c>
      <c r="F263" s="16"/>
      <c r="G263" s="142" t="s">
        <v>618</v>
      </c>
      <c r="H263" s="96">
        <f>H264+H272+H288</f>
        <v>7602.2</v>
      </c>
      <c r="I263" s="96">
        <f t="shared" ref="I263:J263" si="100">I264+I272+I288</f>
        <v>6043.9</v>
      </c>
      <c r="J263" s="96">
        <f t="shared" si="100"/>
        <v>6087.8</v>
      </c>
    </row>
    <row r="264" spans="1:10" ht="38.25">
      <c r="A264" s="1"/>
      <c r="B264" s="25"/>
      <c r="C264" s="47" t="s">
        <v>96</v>
      </c>
      <c r="D264" s="47" t="s">
        <v>89</v>
      </c>
      <c r="E264" s="52" t="s">
        <v>151</v>
      </c>
      <c r="F264" s="16"/>
      <c r="G264" s="48" t="s">
        <v>302</v>
      </c>
      <c r="H264" s="93">
        <f>H265+H269</f>
        <v>1618</v>
      </c>
      <c r="I264" s="93">
        <f t="shared" ref="I264:J264" si="101">I265+I269</f>
        <v>906.1</v>
      </c>
      <c r="J264" s="93">
        <f t="shared" si="101"/>
        <v>950</v>
      </c>
    </row>
    <row r="265" spans="1:10" ht="38.25">
      <c r="A265" s="1"/>
      <c r="B265" s="25"/>
      <c r="C265" s="82" t="s">
        <v>96</v>
      </c>
      <c r="D265" s="82" t="s">
        <v>89</v>
      </c>
      <c r="E265" s="21" t="s">
        <v>267</v>
      </c>
      <c r="F265" s="16"/>
      <c r="G265" s="99" t="s">
        <v>269</v>
      </c>
      <c r="H265" s="93">
        <f>H266</f>
        <v>1040.5</v>
      </c>
      <c r="I265" s="93">
        <f>I266</f>
        <v>150</v>
      </c>
      <c r="J265" s="93">
        <f>J266</f>
        <v>150</v>
      </c>
    </row>
    <row r="266" spans="1:10" ht="51">
      <c r="A266" s="1"/>
      <c r="B266" s="25"/>
      <c r="C266" s="16" t="s">
        <v>96</v>
      </c>
      <c r="D266" s="16" t="s">
        <v>89</v>
      </c>
      <c r="E266" s="137" t="s">
        <v>503</v>
      </c>
      <c r="F266" s="3"/>
      <c r="G266" s="98" t="s">
        <v>268</v>
      </c>
      <c r="H266" s="41">
        <f>SUM(H267:H268)</f>
        <v>1040.5</v>
      </c>
      <c r="I266" s="41">
        <f t="shared" ref="I266:J266" si="102">SUM(I267:I268)</f>
        <v>150</v>
      </c>
      <c r="J266" s="41">
        <f t="shared" si="102"/>
        <v>150</v>
      </c>
    </row>
    <row r="267" spans="1:10" ht="38.25">
      <c r="A267" s="1"/>
      <c r="B267" s="25"/>
      <c r="C267" s="16" t="s">
        <v>96</v>
      </c>
      <c r="D267" s="16" t="s">
        <v>89</v>
      </c>
      <c r="E267" s="137" t="s">
        <v>503</v>
      </c>
      <c r="F267" s="82" t="s">
        <v>214</v>
      </c>
      <c r="G267" s="98" t="s">
        <v>215</v>
      </c>
      <c r="H267" s="41">
        <f>100+853.3+72.8+2.5</f>
        <v>1028.5999999999999</v>
      </c>
      <c r="I267" s="41">
        <v>150</v>
      </c>
      <c r="J267" s="41">
        <v>150</v>
      </c>
    </row>
    <row r="268" spans="1:10">
      <c r="A268" s="1"/>
      <c r="B268" s="25"/>
      <c r="C268" s="16" t="s">
        <v>96</v>
      </c>
      <c r="D268" s="16" t="s">
        <v>89</v>
      </c>
      <c r="E268" s="137" t="s">
        <v>503</v>
      </c>
      <c r="F268" s="82" t="s">
        <v>726</v>
      </c>
      <c r="G268" s="98" t="s">
        <v>727</v>
      </c>
      <c r="H268" s="41">
        <f>7.6+4.3</f>
        <v>11.899999999999999</v>
      </c>
      <c r="I268" s="41">
        <v>0</v>
      </c>
      <c r="J268" s="41">
        <v>0</v>
      </c>
    </row>
    <row r="269" spans="1:10" ht="38.25">
      <c r="A269" s="1"/>
      <c r="B269" s="25"/>
      <c r="C269" s="16" t="s">
        <v>96</v>
      </c>
      <c r="D269" s="16" t="s">
        <v>89</v>
      </c>
      <c r="E269" s="21" t="s">
        <v>303</v>
      </c>
      <c r="F269" s="16"/>
      <c r="G269" s="99" t="s">
        <v>270</v>
      </c>
      <c r="H269" s="93">
        <f t="shared" ref="H269:J269" si="103">H270</f>
        <v>577.5</v>
      </c>
      <c r="I269" s="93">
        <f t="shared" si="103"/>
        <v>756.1</v>
      </c>
      <c r="J269" s="93">
        <f t="shared" si="103"/>
        <v>800</v>
      </c>
    </row>
    <row r="270" spans="1:10" ht="25.5">
      <c r="A270" s="1"/>
      <c r="B270" s="25"/>
      <c r="C270" s="16" t="s">
        <v>96</v>
      </c>
      <c r="D270" s="16" t="s">
        <v>89</v>
      </c>
      <c r="E270" s="21" t="s">
        <v>504</v>
      </c>
      <c r="F270" s="3"/>
      <c r="G270" s="98" t="s">
        <v>343</v>
      </c>
      <c r="H270" s="41">
        <f>H271</f>
        <v>577.5</v>
      </c>
      <c r="I270" s="41">
        <f>I271</f>
        <v>756.1</v>
      </c>
      <c r="J270" s="41">
        <f>J271</f>
        <v>800</v>
      </c>
    </row>
    <row r="271" spans="1:10" ht="38.25">
      <c r="A271" s="1"/>
      <c r="B271" s="25"/>
      <c r="C271" s="16" t="s">
        <v>96</v>
      </c>
      <c r="D271" s="16" t="s">
        <v>89</v>
      </c>
      <c r="E271" s="21" t="s">
        <v>504</v>
      </c>
      <c r="F271" s="82" t="s">
        <v>214</v>
      </c>
      <c r="G271" s="98" t="s">
        <v>215</v>
      </c>
      <c r="H271" s="39">
        <f>800-222.5</f>
        <v>577.5</v>
      </c>
      <c r="I271" s="39">
        <f>800-43.9</f>
        <v>756.1</v>
      </c>
      <c r="J271" s="39">
        <v>800</v>
      </c>
    </row>
    <row r="272" spans="1:10" ht="38.25">
      <c r="A272" s="1"/>
      <c r="B272" s="25"/>
      <c r="C272" s="47" t="s">
        <v>96</v>
      </c>
      <c r="D272" s="47" t="s">
        <v>89</v>
      </c>
      <c r="E272" s="52" t="s">
        <v>152</v>
      </c>
      <c r="F272" s="16"/>
      <c r="G272" s="48" t="s">
        <v>149</v>
      </c>
      <c r="H272" s="93">
        <f>H273+H280</f>
        <v>2607.5</v>
      </c>
      <c r="I272" s="93">
        <f t="shared" ref="I272:J272" si="104">I273+I280</f>
        <v>2223.6999999999998</v>
      </c>
      <c r="J272" s="93">
        <f t="shared" si="104"/>
        <v>1810</v>
      </c>
    </row>
    <row r="273" spans="1:10" ht="25.5">
      <c r="A273" s="1"/>
      <c r="B273" s="25"/>
      <c r="C273" s="16" t="s">
        <v>96</v>
      </c>
      <c r="D273" s="16" t="s">
        <v>89</v>
      </c>
      <c r="E273" s="21" t="s">
        <v>271</v>
      </c>
      <c r="F273" s="82"/>
      <c r="G273" s="99" t="s">
        <v>272</v>
      </c>
      <c r="H273" s="93">
        <f>H274+H276+H278</f>
        <v>220</v>
      </c>
      <c r="I273" s="93">
        <f t="shared" ref="I273:J273" si="105">I274+I276+I278</f>
        <v>260</v>
      </c>
      <c r="J273" s="93">
        <f t="shared" si="105"/>
        <v>290</v>
      </c>
    </row>
    <row r="274" spans="1:10" ht="132.75" customHeight="1">
      <c r="A274" s="1"/>
      <c r="B274" s="25"/>
      <c r="C274" s="16" t="s">
        <v>96</v>
      </c>
      <c r="D274" s="16" t="s">
        <v>89</v>
      </c>
      <c r="E274" s="79">
        <v>520123261</v>
      </c>
      <c r="F274" s="3"/>
      <c r="G274" s="98" t="s">
        <v>273</v>
      </c>
      <c r="H274" s="41">
        <f>H275</f>
        <v>0</v>
      </c>
      <c r="I274" s="41">
        <f>I275</f>
        <v>100</v>
      </c>
      <c r="J274" s="41">
        <f>J275</f>
        <v>100</v>
      </c>
    </row>
    <row r="275" spans="1:10" ht="38.25">
      <c r="A275" s="1"/>
      <c r="B275" s="25"/>
      <c r="C275" s="16" t="s">
        <v>96</v>
      </c>
      <c r="D275" s="16" t="s">
        <v>89</v>
      </c>
      <c r="E275" s="79">
        <v>520123261</v>
      </c>
      <c r="F275" s="82" t="s">
        <v>214</v>
      </c>
      <c r="G275" s="98" t="s">
        <v>215</v>
      </c>
      <c r="H275" s="41">
        <v>0</v>
      </c>
      <c r="I275" s="41">
        <v>100</v>
      </c>
      <c r="J275" s="41">
        <v>100</v>
      </c>
    </row>
    <row r="276" spans="1:10" ht="51">
      <c r="A276" s="1"/>
      <c r="B276" s="25"/>
      <c r="C276" s="16" t="s">
        <v>96</v>
      </c>
      <c r="D276" s="16" t="s">
        <v>89</v>
      </c>
      <c r="E276" s="79">
        <v>520123262</v>
      </c>
      <c r="F276" s="16"/>
      <c r="G276" s="98" t="s">
        <v>304</v>
      </c>
      <c r="H276" s="41">
        <f>H277</f>
        <v>20</v>
      </c>
      <c r="I276" s="41">
        <f>I277</f>
        <v>0</v>
      </c>
      <c r="J276" s="41">
        <f>J277</f>
        <v>20</v>
      </c>
    </row>
    <row r="277" spans="1:10" ht="38.25">
      <c r="A277" s="1"/>
      <c r="B277" s="25"/>
      <c r="C277" s="16" t="s">
        <v>96</v>
      </c>
      <c r="D277" s="16" t="s">
        <v>89</v>
      </c>
      <c r="E277" s="79">
        <v>520123262</v>
      </c>
      <c r="F277" s="82" t="s">
        <v>214</v>
      </c>
      <c r="G277" s="98" t="s">
        <v>215</v>
      </c>
      <c r="H277" s="41">
        <v>20</v>
      </c>
      <c r="I277" s="41">
        <v>0</v>
      </c>
      <c r="J277" s="41">
        <v>20</v>
      </c>
    </row>
    <row r="278" spans="1:10" ht="25.5">
      <c r="A278" s="1"/>
      <c r="B278" s="25"/>
      <c r="C278" s="16" t="s">
        <v>96</v>
      </c>
      <c r="D278" s="16" t="s">
        <v>89</v>
      </c>
      <c r="E278" s="137" t="s">
        <v>505</v>
      </c>
      <c r="F278" s="82"/>
      <c r="G278" s="98" t="s">
        <v>506</v>
      </c>
      <c r="H278" s="41">
        <f>H279</f>
        <v>200</v>
      </c>
      <c r="I278" s="41">
        <f t="shared" ref="I278:J278" si="106">I279</f>
        <v>160</v>
      </c>
      <c r="J278" s="41">
        <f t="shared" si="106"/>
        <v>170</v>
      </c>
    </row>
    <row r="279" spans="1:10" ht="38.25">
      <c r="A279" s="1"/>
      <c r="B279" s="25"/>
      <c r="C279" s="16" t="s">
        <v>96</v>
      </c>
      <c r="D279" s="16" t="s">
        <v>89</v>
      </c>
      <c r="E279" s="137" t="s">
        <v>505</v>
      </c>
      <c r="F279" s="82" t="s">
        <v>214</v>
      </c>
      <c r="G279" s="98" t="s">
        <v>215</v>
      </c>
      <c r="H279" s="41">
        <v>200</v>
      </c>
      <c r="I279" s="41">
        <v>160</v>
      </c>
      <c r="J279" s="41">
        <v>170</v>
      </c>
    </row>
    <row r="280" spans="1:10" ht="25.5">
      <c r="A280" s="1"/>
      <c r="B280" s="25"/>
      <c r="C280" s="16" t="s">
        <v>96</v>
      </c>
      <c r="D280" s="16" t="s">
        <v>89</v>
      </c>
      <c r="E280" s="21" t="s">
        <v>274</v>
      </c>
      <c r="F280" s="82"/>
      <c r="G280" s="99" t="s">
        <v>507</v>
      </c>
      <c r="H280" s="41">
        <f>H281+H284+H286</f>
        <v>2387.5</v>
      </c>
      <c r="I280" s="41">
        <f t="shared" ref="I280:J280" si="107">I281+I284+I286</f>
        <v>1963.7</v>
      </c>
      <c r="J280" s="41">
        <f t="shared" si="107"/>
        <v>1520</v>
      </c>
    </row>
    <row r="281" spans="1:10" ht="51">
      <c r="A281" s="1"/>
      <c r="B281" s="25"/>
      <c r="C281" s="16" t="s">
        <v>96</v>
      </c>
      <c r="D281" s="16" t="s">
        <v>89</v>
      </c>
      <c r="E281" s="79">
        <v>520223264</v>
      </c>
      <c r="F281" s="82"/>
      <c r="G281" s="98" t="s">
        <v>508</v>
      </c>
      <c r="H281" s="41">
        <f>SUM(H282:H283)</f>
        <v>2387.5</v>
      </c>
      <c r="I281" s="41">
        <f t="shared" ref="I281:J281" si="108">I282+I283</f>
        <v>300</v>
      </c>
      <c r="J281" s="41">
        <f t="shared" si="108"/>
        <v>0</v>
      </c>
    </row>
    <row r="282" spans="1:10">
      <c r="A282" s="1"/>
      <c r="B282" s="25"/>
      <c r="C282" s="16" t="s">
        <v>96</v>
      </c>
      <c r="D282" s="16" t="s">
        <v>89</v>
      </c>
      <c r="E282" s="79">
        <v>520223264</v>
      </c>
      <c r="F282" s="82" t="s">
        <v>726</v>
      </c>
      <c r="G282" s="98" t="s">
        <v>727</v>
      </c>
      <c r="H282" s="41">
        <f>67.5+9.8</f>
        <v>77.3</v>
      </c>
      <c r="I282" s="41">
        <v>0</v>
      </c>
      <c r="J282" s="41">
        <v>0</v>
      </c>
    </row>
    <row r="283" spans="1:10" ht="25.5">
      <c r="A283" s="1"/>
      <c r="B283" s="25"/>
      <c r="C283" s="16" t="s">
        <v>96</v>
      </c>
      <c r="D283" s="16" t="s">
        <v>89</v>
      </c>
      <c r="E283" s="79">
        <v>520223264</v>
      </c>
      <c r="F283" s="82" t="s">
        <v>132</v>
      </c>
      <c r="G283" s="98" t="s">
        <v>133</v>
      </c>
      <c r="H283" s="41">
        <f>1648+325.2+337</f>
        <v>2310.1999999999998</v>
      </c>
      <c r="I283" s="41">
        <v>300</v>
      </c>
      <c r="J283" s="41">
        <v>0</v>
      </c>
    </row>
    <row r="284" spans="1:10" ht="63.75">
      <c r="A284" s="1"/>
      <c r="B284" s="25"/>
      <c r="C284" s="16" t="s">
        <v>96</v>
      </c>
      <c r="D284" s="16" t="s">
        <v>89</v>
      </c>
      <c r="E284" s="79">
        <v>520223265</v>
      </c>
      <c r="F284" s="82"/>
      <c r="G284" s="98" t="s">
        <v>509</v>
      </c>
      <c r="H284" s="41">
        <f>H285</f>
        <v>0</v>
      </c>
      <c r="I284" s="41">
        <f t="shared" ref="I284:J284" si="109">I285</f>
        <v>1463.7</v>
      </c>
      <c r="J284" s="41">
        <f t="shared" si="109"/>
        <v>1220</v>
      </c>
    </row>
    <row r="285" spans="1:10">
      <c r="A285" s="1"/>
      <c r="B285" s="25"/>
      <c r="C285" s="16" t="s">
        <v>96</v>
      </c>
      <c r="D285" s="16" t="s">
        <v>89</v>
      </c>
      <c r="E285" s="79">
        <v>520223265</v>
      </c>
      <c r="F285" s="82" t="s">
        <v>253</v>
      </c>
      <c r="G285" s="99" t="s">
        <v>276</v>
      </c>
      <c r="H285" s="41">
        <f>1296.4-307.6-988.8</f>
        <v>0</v>
      </c>
      <c r="I285" s="41">
        <v>1463.7</v>
      </c>
      <c r="J285" s="41">
        <v>1220</v>
      </c>
    </row>
    <row r="286" spans="1:10" ht="38.25">
      <c r="A286" s="1"/>
      <c r="B286" s="25"/>
      <c r="C286" s="16" t="s">
        <v>96</v>
      </c>
      <c r="D286" s="16" t="s">
        <v>89</v>
      </c>
      <c r="E286" s="21" t="s">
        <v>510</v>
      </c>
      <c r="F286" s="82"/>
      <c r="G286" s="99" t="s">
        <v>277</v>
      </c>
      <c r="H286" s="41">
        <f>H287</f>
        <v>0</v>
      </c>
      <c r="I286" s="41">
        <f>I287</f>
        <v>200</v>
      </c>
      <c r="J286" s="41">
        <f>J287</f>
        <v>300</v>
      </c>
    </row>
    <row r="287" spans="1:10" ht="38.25">
      <c r="A287" s="1"/>
      <c r="B287" s="25"/>
      <c r="C287" s="16" t="s">
        <v>96</v>
      </c>
      <c r="D287" s="16" t="s">
        <v>89</v>
      </c>
      <c r="E287" s="21" t="s">
        <v>510</v>
      </c>
      <c r="F287" s="82" t="s">
        <v>214</v>
      </c>
      <c r="G287" s="98" t="s">
        <v>215</v>
      </c>
      <c r="H287" s="41">
        <v>0</v>
      </c>
      <c r="I287" s="39">
        <v>200</v>
      </c>
      <c r="J287" s="39">
        <v>300</v>
      </c>
    </row>
    <row r="288" spans="1:10" ht="63.75">
      <c r="A288" s="1"/>
      <c r="B288" s="25"/>
      <c r="C288" s="16" t="s">
        <v>96</v>
      </c>
      <c r="D288" s="16" t="s">
        <v>89</v>
      </c>
      <c r="E288" s="52" t="s">
        <v>153</v>
      </c>
      <c r="F288" s="16"/>
      <c r="G288" s="48" t="s">
        <v>150</v>
      </c>
      <c r="H288" s="93">
        <f>H289+H292</f>
        <v>3376.7</v>
      </c>
      <c r="I288" s="93">
        <f>I289+I292</f>
        <v>2914.1</v>
      </c>
      <c r="J288" s="93">
        <f>J289+J292</f>
        <v>3327.8</v>
      </c>
    </row>
    <row r="289" spans="1:10" ht="76.5">
      <c r="A289" s="1"/>
      <c r="B289" s="25"/>
      <c r="C289" s="16" t="s">
        <v>96</v>
      </c>
      <c r="D289" s="16" t="s">
        <v>89</v>
      </c>
      <c r="E289" s="21" t="s">
        <v>278</v>
      </c>
      <c r="F289" s="82"/>
      <c r="G289" s="99" t="s">
        <v>316</v>
      </c>
      <c r="H289" s="39">
        <f t="shared" ref="H289:J290" si="110">H290</f>
        <v>1454.6000000000001</v>
      </c>
      <c r="I289" s="39">
        <f t="shared" si="110"/>
        <v>1487.8</v>
      </c>
      <c r="J289" s="39">
        <f t="shared" si="110"/>
        <v>1487.8</v>
      </c>
    </row>
    <row r="290" spans="1:10" ht="68.25" customHeight="1">
      <c r="A290" s="1"/>
      <c r="B290" s="25"/>
      <c r="C290" s="82" t="s">
        <v>96</v>
      </c>
      <c r="D290" s="82" t="s">
        <v>89</v>
      </c>
      <c r="E290" s="79">
        <v>530123271</v>
      </c>
      <c r="F290" s="16"/>
      <c r="G290" s="98" t="s">
        <v>154</v>
      </c>
      <c r="H290" s="41">
        <f t="shared" si="110"/>
        <v>1454.6000000000001</v>
      </c>
      <c r="I290" s="41">
        <f t="shared" si="110"/>
        <v>1487.8</v>
      </c>
      <c r="J290" s="41">
        <f t="shared" si="110"/>
        <v>1487.8</v>
      </c>
    </row>
    <row r="291" spans="1:10" ht="38.25">
      <c r="A291" s="1"/>
      <c r="B291" s="25"/>
      <c r="C291" s="16" t="s">
        <v>96</v>
      </c>
      <c r="D291" s="16" t="s">
        <v>89</v>
      </c>
      <c r="E291" s="79">
        <v>530123271</v>
      </c>
      <c r="F291" s="82" t="s">
        <v>214</v>
      </c>
      <c r="G291" s="98" t="s">
        <v>215</v>
      </c>
      <c r="H291" s="1">
        <f>1461.4-6.8</f>
        <v>1454.6000000000001</v>
      </c>
      <c r="I291" s="1">
        <v>1487.8</v>
      </c>
      <c r="J291" s="1">
        <v>1487.8</v>
      </c>
    </row>
    <row r="292" spans="1:10" ht="51">
      <c r="A292" s="1"/>
      <c r="B292" s="25"/>
      <c r="C292" s="16" t="s">
        <v>96</v>
      </c>
      <c r="D292" s="16" t="s">
        <v>89</v>
      </c>
      <c r="E292" s="21" t="s">
        <v>279</v>
      </c>
      <c r="F292" s="16"/>
      <c r="G292" s="99" t="s">
        <v>511</v>
      </c>
      <c r="H292" s="41">
        <f t="shared" ref="H292:J293" si="111">H293</f>
        <v>1922.1</v>
      </c>
      <c r="I292" s="41">
        <f t="shared" si="111"/>
        <v>1426.3</v>
      </c>
      <c r="J292" s="41">
        <f t="shared" si="111"/>
        <v>1840</v>
      </c>
    </row>
    <row r="293" spans="1:10" ht="51">
      <c r="A293" s="1"/>
      <c r="B293" s="25"/>
      <c r="C293" s="16" t="s">
        <v>96</v>
      </c>
      <c r="D293" s="16" t="s">
        <v>89</v>
      </c>
      <c r="E293" s="79">
        <v>530223272</v>
      </c>
      <c r="F293" s="16"/>
      <c r="G293" s="98" t="s">
        <v>512</v>
      </c>
      <c r="H293" s="41">
        <f t="shared" si="111"/>
        <v>1922.1</v>
      </c>
      <c r="I293" s="41">
        <f t="shared" si="111"/>
        <v>1426.3</v>
      </c>
      <c r="J293" s="41">
        <f t="shared" si="111"/>
        <v>1840</v>
      </c>
    </row>
    <row r="294" spans="1:10" ht="38.25">
      <c r="A294" s="1"/>
      <c r="B294" s="25"/>
      <c r="C294" s="16" t="s">
        <v>96</v>
      </c>
      <c r="D294" s="16" t="s">
        <v>89</v>
      </c>
      <c r="E294" s="79">
        <v>530223272</v>
      </c>
      <c r="F294" s="82" t="s">
        <v>214</v>
      </c>
      <c r="G294" s="98" t="s">
        <v>215</v>
      </c>
      <c r="H294" s="41">
        <v>1922.1</v>
      </c>
      <c r="I294" s="41">
        <v>1426.3</v>
      </c>
      <c r="J294" s="41">
        <v>1840</v>
      </c>
    </row>
    <row r="295" spans="1:10" ht="14.25">
      <c r="A295" s="1"/>
      <c r="B295" s="25"/>
      <c r="C295" s="30" t="s">
        <v>96</v>
      </c>
      <c r="D295" s="30" t="s">
        <v>90</v>
      </c>
      <c r="E295" s="30"/>
      <c r="F295" s="30"/>
      <c r="G295" s="27" t="s">
        <v>42</v>
      </c>
      <c r="H295" s="40">
        <f>H296+H311+H339</f>
        <v>28027.9</v>
      </c>
      <c r="I295" s="40">
        <f>I296+I311</f>
        <v>9613.7000000000007</v>
      </c>
      <c r="J295" s="40">
        <f>J296+J311</f>
        <v>10942.2</v>
      </c>
    </row>
    <row r="296" spans="1:10" ht="89.25">
      <c r="A296" s="1"/>
      <c r="B296" s="25"/>
      <c r="C296" s="5" t="s">
        <v>96</v>
      </c>
      <c r="D296" s="5" t="s">
        <v>90</v>
      </c>
      <c r="E296" s="76">
        <v>400000000</v>
      </c>
      <c r="F296" s="16"/>
      <c r="G296" s="142" t="s">
        <v>619</v>
      </c>
      <c r="H296" s="96">
        <f t="shared" ref="H296:J297" si="112">H297</f>
        <v>15191.8</v>
      </c>
      <c r="I296" s="96">
        <f t="shared" si="112"/>
        <v>4148.7</v>
      </c>
      <c r="J296" s="96">
        <f t="shared" si="112"/>
        <v>5477.2</v>
      </c>
    </row>
    <row r="297" spans="1:10" ht="79.5" customHeight="1">
      <c r="A297" s="1"/>
      <c r="B297" s="25"/>
      <c r="C297" s="16" t="s">
        <v>96</v>
      </c>
      <c r="D297" s="16" t="s">
        <v>90</v>
      </c>
      <c r="E297" s="75">
        <v>430000000</v>
      </c>
      <c r="F297" s="16"/>
      <c r="G297" s="46" t="s">
        <v>733</v>
      </c>
      <c r="H297" s="93">
        <f>H298</f>
        <v>15191.8</v>
      </c>
      <c r="I297" s="93">
        <f t="shared" si="112"/>
        <v>4148.7</v>
      </c>
      <c r="J297" s="93">
        <f t="shared" si="112"/>
        <v>5477.2</v>
      </c>
    </row>
    <row r="298" spans="1:10" ht="38.25">
      <c r="A298" s="1"/>
      <c r="B298" s="25"/>
      <c r="C298" s="16" t="s">
        <v>96</v>
      </c>
      <c r="D298" s="16" t="s">
        <v>90</v>
      </c>
      <c r="E298" s="74">
        <v>430200000</v>
      </c>
      <c r="F298" s="16"/>
      <c r="G298" s="97" t="s">
        <v>298</v>
      </c>
      <c r="H298" s="41">
        <f>H299+H301+H303+H305+H307+H309</f>
        <v>15191.8</v>
      </c>
      <c r="I298" s="41">
        <f t="shared" ref="I298:J298" si="113">I299+I301+I303+I305+I307+I309</f>
        <v>4148.7</v>
      </c>
      <c r="J298" s="41">
        <f t="shared" si="113"/>
        <v>5477.2</v>
      </c>
    </row>
    <row r="299" spans="1:10" ht="107.25" customHeight="1">
      <c r="A299" s="1"/>
      <c r="B299" s="25"/>
      <c r="C299" s="16" t="s">
        <v>96</v>
      </c>
      <c r="D299" s="16" t="s">
        <v>90</v>
      </c>
      <c r="E299" s="74">
        <v>430227340</v>
      </c>
      <c r="F299" s="16"/>
      <c r="G299" s="98" t="s">
        <v>657</v>
      </c>
      <c r="H299" s="39">
        <f>H300</f>
        <v>1720</v>
      </c>
      <c r="I299" s="39">
        <f t="shared" ref="I299:J299" si="114">I300</f>
        <v>1250</v>
      </c>
      <c r="J299" s="39">
        <f t="shared" si="114"/>
        <v>1720</v>
      </c>
    </row>
    <row r="300" spans="1:10" ht="63.75">
      <c r="A300" s="1"/>
      <c r="B300" s="25"/>
      <c r="C300" s="16" t="s">
        <v>96</v>
      </c>
      <c r="D300" s="16" t="s">
        <v>90</v>
      </c>
      <c r="E300" s="74">
        <v>430227340</v>
      </c>
      <c r="F300" s="16" t="s">
        <v>12</v>
      </c>
      <c r="G300" s="98" t="s">
        <v>326</v>
      </c>
      <c r="H300" s="39">
        <v>1720</v>
      </c>
      <c r="I300" s="39">
        <v>1250</v>
      </c>
      <c r="J300" s="39">
        <v>1720</v>
      </c>
    </row>
    <row r="301" spans="1:10" ht="116.25" customHeight="1">
      <c r="A301" s="1"/>
      <c r="B301" s="25"/>
      <c r="C301" s="16" t="s">
        <v>96</v>
      </c>
      <c r="D301" s="16" t="s">
        <v>90</v>
      </c>
      <c r="E301" s="74">
        <v>430227350</v>
      </c>
      <c r="F301" s="16"/>
      <c r="G301" s="98" t="s">
        <v>644</v>
      </c>
      <c r="H301" s="39">
        <f>H302</f>
        <v>21.7</v>
      </c>
      <c r="I301" s="39">
        <f t="shared" ref="I301:J301" si="115">I302</f>
        <v>0</v>
      </c>
      <c r="J301" s="39">
        <f t="shared" si="115"/>
        <v>21.7</v>
      </c>
    </row>
    <row r="302" spans="1:10" ht="63.75">
      <c r="A302" s="1"/>
      <c r="B302" s="25"/>
      <c r="C302" s="16" t="s">
        <v>96</v>
      </c>
      <c r="D302" s="16" t="s">
        <v>90</v>
      </c>
      <c r="E302" s="74">
        <v>430227350</v>
      </c>
      <c r="F302" s="16" t="s">
        <v>12</v>
      </c>
      <c r="G302" s="98" t="s">
        <v>326</v>
      </c>
      <c r="H302" s="39">
        <v>21.7</v>
      </c>
      <c r="I302" s="39">
        <v>0</v>
      </c>
      <c r="J302" s="39">
        <v>21.7</v>
      </c>
    </row>
    <row r="303" spans="1:10" ht="127.5">
      <c r="A303" s="1"/>
      <c r="B303" s="25"/>
      <c r="C303" s="16" t="s">
        <v>96</v>
      </c>
      <c r="D303" s="16" t="s">
        <v>90</v>
      </c>
      <c r="E303" s="74">
        <v>430227360</v>
      </c>
      <c r="F303" s="16"/>
      <c r="G303" s="98" t="s">
        <v>645</v>
      </c>
      <c r="H303" s="39">
        <f>H304</f>
        <v>5227.7</v>
      </c>
      <c r="I303" s="39">
        <f t="shared" ref="I303:J303" si="116">I304</f>
        <v>0</v>
      </c>
      <c r="J303" s="39">
        <f t="shared" si="116"/>
        <v>1661.6</v>
      </c>
    </row>
    <row r="304" spans="1:10" ht="63.75">
      <c r="A304" s="1"/>
      <c r="B304" s="25"/>
      <c r="C304" s="16" t="s">
        <v>96</v>
      </c>
      <c r="D304" s="16" t="s">
        <v>90</v>
      </c>
      <c r="E304" s="74">
        <v>430227360</v>
      </c>
      <c r="F304" s="16" t="s">
        <v>12</v>
      </c>
      <c r="G304" s="98" t="s">
        <v>326</v>
      </c>
      <c r="H304" s="39">
        <v>5227.7</v>
      </c>
      <c r="I304" s="39">
        <v>0</v>
      </c>
      <c r="J304" s="39">
        <v>1661.6</v>
      </c>
    </row>
    <row r="305" spans="1:10" ht="171" customHeight="1">
      <c r="A305" s="1"/>
      <c r="B305" s="25"/>
      <c r="C305" s="16" t="s">
        <v>96</v>
      </c>
      <c r="D305" s="16" t="s">
        <v>90</v>
      </c>
      <c r="E305" s="74">
        <v>430227370</v>
      </c>
      <c r="F305" s="16"/>
      <c r="G305" s="98" t="s">
        <v>658</v>
      </c>
      <c r="H305" s="39">
        <f>H306</f>
        <v>706.59999999999991</v>
      </c>
      <c r="I305" s="39">
        <f t="shared" ref="I305:J305" si="117">I306</f>
        <v>0</v>
      </c>
      <c r="J305" s="39">
        <f t="shared" si="117"/>
        <v>1107.7</v>
      </c>
    </row>
    <row r="306" spans="1:10" ht="63.75">
      <c r="A306" s="1"/>
      <c r="B306" s="25"/>
      <c r="C306" s="16" t="s">
        <v>96</v>
      </c>
      <c r="D306" s="16" t="s">
        <v>90</v>
      </c>
      <c r="E306" s="74">
        <v>430227370</v>
      </c>
      <c r="F306" s="16" t="s">
        <v>12</v>
      </c>
      <c r="G306" s="98" t="s">
        <v>326</v>
      </c>
      <c r="H306" s="39">
        <f>1606.6-900</f>
        <v>706.59999999999991</v>
      </c>
      <c r="I306" s="39">
        <v>0</v>
      </c>
      <c r="J306" s="39">
        <v>1107.7</v>
      </c>
    </row>
    <row r="307" spans="1:10" ht="112.5" customHeight="1">
      <c r="A307" s="1"/>
      <c r="B307" s="25"/>
      <c r="C307" s="16" t="s">
        <v>96</v>
      </c>
      <c r="D307" s="16" t="s">
        <v>90</v>
      </c>
      <c r="E307" s="74">
        <v>430227390</v>
      </c>
      <c r="F307" s="16"/>
      <c r="G307" s="98" t="s">
        <v>730</v>
      </c>
      <c r="H307" s="39">
        <f>H308</f>
        <v>3115.8</v>
      </c>
      <c r="I307" s="39">
        <f t="shared" ref="I307:J307" si="118">I308</f>
        <v>2898.7</v>
      </c>
      <c r="J307" s="39">
        <f t="shared" si="118"/>
        <v>966.2</v>
      </c>
    </row>
    <row r="308" spans="1:10" ht="63.75">
      <c r="A308" s="1"/>
      <c r="B308" s="25"/>
      <c r="C308" s="16" t="s">
        <v>96</v>
      </c>
      <c r="D308" s="16" t="s">
        <v>90</v>
      </c>
      <c r="E308" s="74">
        <v>430227390</v>
      </c>
      <c r="F308" s="16" t="s">
        <v>12</v>
      </c>
      <c r="G308" s="98" t="s">
        <v>326</v>
      </c>
      <c r="H308" s="39">
        <v>3115.8</v>
      </c>
      <c r="I308" s="39">
        <v>2898.7</v>
      </c>
      <c r="J308" s="39">
        <v>966.2</v>
      </c>
    </row>
    <row r="309" spans="1:10" s="169" customFormat="1" ht="127.5">
      <c r="A309" s="1"/>
      <c r="B309" s="25"/>
      <c r="C309" s="16" t="s">
        <v>96</v>
      </c>
      <c r="D309" s="16" t="s">
        <v>90</v>
      </c>
      <c r="E309" s="74">
        <v>430227400</v>
      </c>
      <c r="F309" s="16"/>
      <c r="G309" s="98" t="s">
        <v>774</v>
      </c>
      <c r="H309" s="39">
        <f>H310</f>
        <v>4400</v>
      </c>
      <c r="I309" s="39">
        <f t="shared" ref="I309:J309" si="119">I310</f>
        <v>0</v>
      </c>
      <c r="J309" s="39">
        <f t="shared" si="119"/>
        <v>0</v>
      </c>
    </row>
    <row r="310" spans="1:10" s="169" customFormat="1" ht="63.75">
      <c r="A310" s="1"/>
      <c r="B310" s="25"/>
      <c r="C310" s="16" t="s">
        <v>96</v>
      </c>
      <c r="D310" s="16" t="s">
        <v>90</v>
      </c>
      <c r="E310" s="74">
        <v>430227400</v>
      </c>
      <c r="F310" s="16" t="s">
        <v>12</v>
      </c>
      <c r="G310" s="98" t="s">
        <v>326</v>
      </c>
      <c r="H310" s="39">
        <v>4400</v>
      </c>
      <c r="I310" s="39">
        <v>0</v>
      </c>
      <c r="J310" s="39">
        <v>0</v>
      </c>
    </row>
    <row r="311" spans="1:10" ht="102">
      <c r="A311" s="1"/>
      <c r="B311" s="25"/>
      <c r="C311" s="5" t="s">
        <v>96</v>
      </c>
      <c r="D311" s="5" t="s">
        <v>90</v>
      </c>
      <c r="E311" s="81" t="s">
        <v>33</v>
      </c>
      <c r="F311" s="16"/>
      <c r="G311" s="53" t="s">
        <v>621</v>
      </c>
      <c r="H311" s="96">
        <f>H312+H321+H330</f>
        <v>12786.1</v>
      </c>
      <c r="I311" s="96">
        <f t="shared" ref="I311:J311" si="120">I312+I321+I330</f>
        <v>5465</v>
      </c>
      <c r="J311" s="96">
        <f t="shared" si="120"/>
        <v>5465</v>
      </c>
    </row>
    <row r="312" spans="1:10" ht="38.25">
      <c r="A312" s="1"/>
      <c r="B312" s="25"/>
      <c r="C312" s="16" t="s">
        <v>96</v>
      </c>
      <c r="D312" s="16" t="s">
        <v>90</v>
      </c>
      <c r="E312" s="52" t="s">
        <v>34</v>
      </c>
      <c r="F312" s="16"/>
      <c r="G312" s="48" t="s">
        <v>589</v>
      </c>
      <c r="H312" s="93">
        <f>H313+H316</f>
        <v>495.7</v>
      </c>
      <c r="I312" s="93">
        <f>I313+I316</f>
        <v>565</v>
      </c>
      <c r="J312" s="93">
        <f>J313+J316</f>
        <v>565</v>
      </c>
    </row>
    <row r="313" spans="1:10" ht="38.25">
      <c r="A313" s="1"/>
      <c r="B313" s="25"/>
      <c r="C313" s="16" t="s">
        <v>96</v>
      </c>
      <c r="D313" s="16" t="s">
        <v>90</v>
      </c>
      <c r="E313" s="21" t="s">
        <v>238</v>
      </c>
      <c r="F313" s="16"/>
      <c r="G313" s="99" t="s">
        <v>237</v>
      </c>
      <c r="H313" s="93">
        <f t="shared" ref="H313:J314" si="121">H314</f>
        <v>485.7</v>
      </c>
      <c r="I313" s="93">
        <f t="shared" si="121"/>
        <v>445</v>
      </c>
      <c r="J313" s="93">
        <f t="shared" si="121"/>
        <v>445</v>
      </c>
    </row>
    <row r="314" spans="1:10" ht="25.5">
      <c r="A314" s="1"/>
      <c r="B314" s="25"/>
      <c r="C314" s="16" t="s">
        <v>96</v>
      </c>
      <c r="D314" s="16" t="s">
        <v>90</v>
      </c>
      <c r="E314" s="21" t="s">
        <v>516</v>
      </c>
      <c r="F314" s="3"/>
      <c r="G314" s="98" t="s">
        <v>190</v>
      </c>
      <c r="H314" s="41">
        <f t="shared" si="121"/>
        <v>485.7</v>
      </c>
      <c r="I314" s="41">
        <f t="shared" si="121"/>
        <v>445</v>
      </c>
      <c r="J314" s="41">
        <f t="shared" si="121"/>
        <v>445</v>
      </c>
    </row>
    <row r="315" spans="1:10" ht="38.25">
      <c r="A315" s="1"/>
      <c r="B315" s="25"/>
      <c r="C315" s="16" t="s">
        <v>96</v>
      </c>
      <c r="D315" s="16" t="s">
        <v>90</v>
      </c>
      <c r="E315" s="21" t="s">
        <v>516</v>
      </c>
      <c r="F315" s="82" t="s">
        <v>214</v>
      </c>
      <c r="G315" s="98" t="s">
        <v>215</v>
      </c>
      <c r="H315" s="41">
        <v>485.7</v>
      </c>
      <c r="I315" s="39">
        <v>445</v>
      </c>
      <c r="J315" s="39">
        <v>445</v>
      </c>
    </row>
    <row r="316" spans="1:10" ht="38.25">
      <c r="A316" s="1"/>
      <c r="B316" s="25"/>
      <c r="C316" s="16" t="s">
        <v>96</v>
      </c>
      <c r="D316" s="16" t="s">
        <v>90</v>
      </c>
      <c r="E316" s="21" t="s">
        <v>518</v>
      </c>
      <c r="F316" s="82"/>
      <c r="G316" s="99" t="s">
        <v>342</v>
      </c>
      <c r="H316" s="41">
        <f t="shared" ref="H316" si="122">H317</f>
        <v>10</v>
      </c>
      <c r="I316" s="41">
        <f t="shared" ref="I316:J316" si="123">I317+I319</f>
        <v>120</v>
      </c>
      <c r="J316" s="41">
        <f t="shared" si="123"/>
        <v>120</v>
      </c>
    </row>
    <row r="317" spans="1:10" ht="25.5">
      <c r="A317" s="1"/>
      <c r="B317" s="25"/>
      <c r="C317" s="16" t="s">
        <v>96</v>
      </c>
      <c r="D317" s="16" t="s">
        <v>90</v>
      </c>
      <c r="E317" s="21" t="s">
        <v>517</v>
      </c>
      <c r="F317" s="16"/>
      <c r="G317" s="98" t="s">
        <v>341</v>
      </c>
      <c r="H317" s="41">
        <f t="shared" ref="H317:J317" si="124">H318</f>
        <v>10</v>
      </c>
      <c r="I317" s="41">
        <f t="shared" si="124"/>
        <v>40</v>
      </c>
      <c r="J317" s="41">
        <f t="shared" si="124"/>
        <v>40</v>
      </c>
    </row>
    <row r="318" spans="1:10" ht="38.25">
      <c r="A318" s="1"/>
      <c r="B318" s="25"/>
      <c r="C318" s="16" t="s">
        <v>96</v>
      </c>
      <c r="D318" s="16" t="s">
        <v>90</v>
      </c>
      <c r="E318" s="21" t="s">
        <v>517</v>
      </c>
      <c r="F318" s="82" t="s">
        <v>214</v>
      </c>
      <c r="G318" s="98" t="s">
        <v>215</v>
      </c>
      <c r="H318" s="41">
        <f>8.3+1.7</f>
        <v>10</v>
      </c>
      <c r="I318" s="41">
        <v>40</v>
      </c>
      <c r="J318" s="41">
        <v>40</v>
      </c>
    </row>
    <row r="319" spans="1:10" ht="38.25">
      <c r="A319" s="1"/>
      <c r="B319" s="25"/>
      <c r="C319" s="16" t="s">
        <v>96</v>
      </c>
      <c r="D319" s="16" t="s">
        <v>90</v>
      </c>
      <c r="E319" s="21" t="s">
        <v>590</v>
      </c>
      <c r="F319" s="82"/>
      <c r="G319" s="98" t="s">
        <v>591</v>
      </c>
      <c r="H319" s="41">
        <f>H320</f>
        <v>0</v>
      </c>
      <c r="I319" s="41">
        <f t="shared" ref="I319:J319" si="125">I320</f>
        <v>80</v>
      </c>
      <c r="J319" s="41">
        <f t="shared" si="125"/>
        <v>80</v>
      </c>
    </row>
    <row r="320" spans="1:10" ht="38.25">
      <c r="A320" s="1"/>
      <c r="B320" s="25"/>
      <c r="C320" s="16" t="s">
        <v>96</v>
      </c>
      <c r="D320" s="16" t="s">
        <v>90</v>
      </c>
      <c r="E320" s="21" t="s">
        <v>590</v>
      </c>
      <c r="F320" s="82" t="s">
        <v>214</v>
      </c>
      <c r="G320" s="98" t="s">
        <v>215</v>
      </c>
      <c r="H320" s="41">
        <v>0</v>
      </c>
      <c r="I320" s="41">
        <v>80</v>
      </c>
      <c r="J320" s="41">
        <v>80</v>
      </c>
    </row>
    <row r="321" spans="1:10" ht="25.5">
      <c r="A321" s="1"/>
      <c r="B321" s="25"/>
      <c r="C321" s="47" t="s">
        <v>96</v>
      </c>
      <c r="D321" s="47" t="s">
        <v>90</v>
      </c>
      <c r="E321" s="52" t="s">
        <v>378</v>
      </c>
      <c r="F321" s="16"/>
      <c r="G321" s="46" t="s">
        <v>350</v>
      </c>
      <c r="H321" s="93">
        <f>H322+H327</f>
        <v>1026.8999999999996</v>
      </c>
      <c r="I321" s="93">
        <f t="shared" ref="I321:J321" si="126">I322+I327</f>
        <v>2900</v>
      </c>
      <c r="J321" s="93">
        <f t="shared" si="126"/>
        <v>2900</v>
      </c>
    </row>
    <row r="322" spans="1:10" ht="38.25">
      <c r="A322" s="1"/>
      <c r="B322" s="25"/>
      <c r="C322" s="16" t="s">
        <v>96</v>
      </c>
      <c r="D322" s="16" t="s">
        <v>90</v>
      </c>
      <c r="E322" s="21" t="s">
        <v>519</v>
      </c>
      <c r="F322" s="16"/>
      <c r="G322" s="99" t="s">
        <v>307</v>
      </c>
      <c r="H322" s="39">
        <f>H323+H325</f>
        <v>1026.8999999999996</v>
      </c>
      <c r="I322" s="39">
        <f t="shared" ref="I322:J322" si="127">I323+I325</f>
        <v>800</v>
      </c>
      <c r="J322" s="39">
        <f t="shared" si="127"/>
        <v>800</v>
      </c>
    </row>
    <row r="323" spans="1:10" ht="38.25">
      <c r="A323" s="1"/>
      <c r="B323" s="25"/>
      <c r="C323" s="16" t="s">
        <v>96</v>
      </c>
      <c r="D323" s="16" t="s">
        <v>90</v>
      </c>
      <c r="E323" s="21" t="s">
        <v>520</v>
      </c>
      <c r="F323" s="16"/>
      <c r="G323" s="97" t="s">
        <v>191</v>
      </c>
      <c r="H323" s="41">
        <f>H324</f>
        <v>178</v>
      </c>
      <c r="I323" s="41">
        <f>I324</f>
        <v>250</v>
      </c>
      <c r="J323" s="41">
        <f>J324</f>
        <v>250</v>
      </c>
    </row>
    <row r="324" spans="1:10" ht="38.25">
      <c r="A324" s="1"/>
      <c r="B324" s="25"/>
      <c r="C324" s="16" t="s">
        <v>96</v>
      </c>
      <c r="D324" s="16" t="s">
        <v>90</v>
      </c>
      <c r="E324" s="21" t="s">
        <v>520</v>
      </c>
      <c r="F324" s="82" t="s">
        <v>214</v>
      </c>
      <c r="G324" s="98" t="s">
        <v>215</v>
      </c>
      <c r="H324" s="41">
        <f>200-20.3-1.7</f>
        <v>178</v>
      </c>
      <c r="I324" s="41">
        <v>250</v>
      </c>
      <c r="J324" s="41">
        <v>250</v>
      </c>
    </row>
    <row r="325" spans="1:10" ht="25.5">
      <c r="A325" s="1"/>
      <c r="B325" s="25"/>
      <c r="C325" s="16" t="s">
        <v>96</v>
      </c>
      <c r="D325" s="16" t="s">
        <v>90</v>
      </c>
      <c r="E325" s="21" t="s">
        <v>522</v>
      </c>
      <c r="F325" s="82"/>
      <c r="G325" s="98" t="s">
        <v>521</v>
      </c>
      <c r="H325" s="41">
        <f>H326</f>
        <v>848.89999999999964</v>
      </c>
      <c r="I325" s="41">
        <f t="shared" ref="I325:J325" si="128">I326</f>
        <v>550</v>
      </c>
      <c r="J325" s="41">
        <f t="shared" si="128"/>
        <v>550</v>
      </c>
    </row>
    <row r="326" spans="1:10" ht="38.25">
      <c r="A326" s="1"/>
      <c r="B326" s="25"/>
      <c r="C326" s="16" t="s">
        <v>96</v>
      </c>
      <c r="D326" s="16" t="s">
        <v>90</v>
      </c>
      <c r="E326" s="21" t="s">
        <v>522</v>
      </c>
      <c r="F326" s="82" t="s">
        <v>214</v>
      </c>
      <c r="G326" s="98" t="s">
        <v>215</v>
      </c>
      <c r="H326" s="41">
        <f>500+146.9+280-78+5000-5000</f>
        <v>848.89999999999964</v>
      </c>
      <c r="I326" s="41">
        <v>550</v>
      </c>
      <c r="J326" s="41">
        <v>550</v>
      </c>
    </row>
    <row r="327" spans="1:10" ht="38.25">
      <c r="A327" s="1"/>
      <c r="B327" s="25"/>
      <c r="C327" s="16" t="s">
        <v>96</v>
      </c>
      <c r="D327" s="16" t="s">
        <v>90</v>
      </c>
      <c r="E327" s="21" t="s">
        <v>524</v>
      </c>
      <c r="F327" s="82"/>
      <c r="G327" s="99" t="s">
        <v>377</v>
      </c>
      <c r="H327" s="41">
        <f t="shared" ref="H327:J328" si="129">H328</f>
        <v>0</v>
      </c>
      <c r="I327" s="41">
        <f t="shared" si="129"/>
        <v>2100</v>
      </c>
      <c r="J327" s="41">
        <f t="shared" si="129"/>
        <v>2100</v>
      </c>
    </row>
    <row r="328" spans="1:10" ht="51">
      <c r="A328" s="1"/>
      <c r="B328" s="25"/>
      <c r="C328" s="16" t="s">
        <v>96</v>
      </c>
      <c r="D328" s="16" t="s">
        <v>90</v>
      </c>
      <c r="E328" s="21" t="s">
        <v>523</v>
      </c>
      <c r="F328" s="16"/>
      <c r="G328" s="98" t="s">
        <v>623</v>
      </c>
      <c r="H328" s="41">
        <f t="shared" si="129"/>
        <v>0</v>
      </c>
      <c r="I328" s="41">
        <f t="shared" si="129"/>
        <v>2100</v>
      </c>
      <c r="J328" s="41">
        <f t="shared" si="129"/>
        <v>2100</v>
      </c>
    </row>
    <row r="329" spans="1:10" ht="38.25">
      <c r="A329" s="1"/>
      <c r="B329" s="25"/>
      <c r="C329" s="16" t="s">
        <v>96</v>
      </c>
      <c r="D329" s="16" t="s">
        <v>90</v>
      </c>
      <c r="E329" s="21" t="s">
        <v>523</v>
      </c>
      <c r="F329" s="82" t="s">
        <v>214</v>
      </c>
      <c r="G329" s="98" t="s">
        <v>215</v>
      </c>
      <c r="H329" s="41">
        <f>2000+700-2700</f>
        <v>0</v>
      </c>
      <c r="I329" s="41">
        <v>2100</v>
      </c>
      <c r="J329" s="41">
        <v>2100</v>
      </c>
    </row>
    <row r="330" spans="1:10" ht="38.25">
      <c r="A330" s="1"/>
      <c r="B330" s="25"/>
      <c r="C330" s="16" t="s">
        <v>96</v>
      </c>
      <c r="D330" s="16" t="s">
        <v>90</v>
      </c>
      <c r="E330" s="52" t="s">
        <v>35</v>
      </c>
      <c r="F330" s="16"/>
      <c r="G330" s="46" t="s">
        <v>525</v>
      </c>
      <c r="H330" s="41">
        <f>H331+H336</f>
        <v>11263.5</v>
      </c>
      <c r="I330" s="41">
        <f t="shared" ref="I330:J330" si="130">I331+I336</f>
        <v>2000</v>
      </c>
      <c r="J330" s="41">
        <f t="shared" si="130"/>
        <v>2000</v>
      </c>
    </row>
    <row r="331" spans="1:10" ht="51">
      <c r="A331" s="1"/>
      <c r="B331" s="25"/>
      <c r="C331" s="16" t="s">
        <v>96</v>
      </c>
      <c r="D331" s="16" t="s">
        <v>90</v>
      </c>
      <c r="E331" s="21" t="s">
        <v>239</v>
      </c>
      <c r="F331" s="16"/>
      <c r="G331" s="99" t="s">
        <v>754</v>
      </c>
      <c r="H331" s="41">
        <f>H332+H334</f>
        <v>9817.5</v>
      </c>
      <c r="I331" s="41">
        <f t="shared" ref="I331:J332" si="131">I332</f>
        <v>1000</v>
      </c>
      <c r="J331" s="41">
        <f t="shared" si="131"/>
        <v>1000</v>
      </c>
    </row>
    <row r="332" spans="1:10" ht="38.25">
      <c r="A332" s="1"/>
      <c r="B332" s="25"/>
      <c r="C332" s="16" t="s">
        <v>96</v>
      </c>
      <c r="D332" s="16" t="s">
        <v>90</v>
      </c>
      <c r="E332" s="21" t="s">
        <v>527</v>
      </c>
      <c r="F332" s="16"/>
      <c r="G332" s="99" t="s">
        <v>526</v>
      </c>
      <c r="H332" s="41">
        <f>H333</f>
        <v>9726.5</v>
      </c>
      <c r="I332" s="41">
        <f t="shared" si="131"/>
        <v>1000</v>
      </c>
      <c r="J332" s="41">
        <f t="shared" si="131"/>
        <v>1000</v>
      </c>
    </row>
    <row r="333" spans="1:10" ht="38.25">
      <c r="A333" s="1"/>
      <c r="B333" s="25"/>
      <c r="C333" s="16" t="s">
        <v>96</v>
      </c>
      <c r="D333" s="16" t="s">
        <v>90</v>
      </c>
      <c r="E333" s="21" t="s">
        <v>527</v>
      </c>
      <c r="F333" s="82" t="s">
        <v>214</v>
      </c>
      <c r="G333" s="98" t="s">
        <v>215</v>
      </c>
      <c r="H333" s="41">
        <f>1700-700+700+3849.7+87.7+20.3+43.6+3961.7+63.5</f>
        <v>9726.5</v>
      </c>
      <c r="I333" s="41">
        <v>1000</v>
      </c>
      <c r="J333" s="41">
        <v>1000</v>
      </c>
    </row>
    <row r="334" spans="1:10" ht="51">
      <c r="A334" s="1"/>
      <c r="B334" s="25"/>
      <c r="C334" s="16" t="s">
        <v>96</v>
      </c>
      <c r="D334" s="16" t="s">
        <v>90</v>
      </c>
      <c r="E334" s="21" t="s">
        <v>736</v>
      </c>
      <c r="F334" s="82"/>
      <c r="G334" s="98" t="s">
        <v>735</v>
      </c>
      <c r="H334" s="41">
        <f>H335</f>
        <v>91</v>
      </c>
      <c r="I334" s="41">
        <f t="shared" ref="I334:J334" si="132">I335</f>
        <v>0</v>
      </c>
      <c r="J334" s="41">
        <f t="shared" si="132"/>
        <v>0</v>
      </c>
    </row>
    <row r="335" spans="1:10" ht="38.25">
      <c r="A335" s="1"/>
      <c r="B335" s="25"/>
      <c r="C335" s="16" t="s">
        <v>96</v>
      </c>
      <c r="D335" s="16" t="s">
        <v>90</v>
      </c>
      <c r="E335" s="21" t="s">
        <v>736</v>
      </c>
      <c r="F335" s="82" t="s">
        <v>214</v>
      </c>
      <c r="G335" s="98" t="s">
        <v>215</v>
      </c>
      <c r="H335" s="41">
        <v>91</v>
      </c>
      <c r="I335" s="41">
        <v>0</v>
      </c>
      <c r="J335" s="41">
        <v>0</v>
      </c>
    </row>
    <row r="336" spans="1:10" ht="25.5">
      <c r="A336" s="1"/>
      <c r="B336" s="25"/>
      <c r="C336" s="16" t="s">
        <v>96</v>
      </c>
      <c r="D336" s="16" t="s">
        <v>90</v>
      </c>
      <c r="E336" s="21" t="s">
        <v>376</v>
      </c>
      <c r="F336" s="82"/>
      <c r="G336" s="99" t="s">
        <v>622</v>
      </c>
      <c r="H336" s="41">
        <f>H337</f>
        <v>1446</v>
      </c>
      <c r="I336" s="41">
        <f t="shared" ref="I336:J337" si="133">I337</f>
        <v>1000</v>
      </c>
      <c r="J336" s="41">
        <f t="shared" si="133"/>
        <v>1000</v>
      </c>
    </row>
    <row r="337" spans="1:10" ht="25.5">
      <c r="A337" s="1"/>
      <c r="B337" s="25"/>
      <c r="C337" s="16" t="s">
        <v>96</v>
      </c>
      <c r="D337" s="16" t="s">
        <v>90</v>
      </c>
      <c r="E337" s="21" t="s">
        <v>528</v>
      </c>
      <c r="F337" s="16"/>
      <c r="G337" s="99" t="s">
        <v>380</v>
      </c>
      <c r="H337" s="41">
        <f>H338</f>
        <v>1446</v>
      </c>
      <c r="I337" s="41">
        <f t="shared" si="133"/>
        <v>1000</v>
      </c>
      <c r="J337" s="41">
        <f t="shared" si="133"/>
        <v>1000</v>
      </c>
    </row>
    <row r="338" spans="1:10">
      <c r="A338" s="1"/>
      <c r="B338" s="25"/>
      <c r="C338" s="16" t="s">
        <v>96</v>
      </c>
      <c r="D338" s="16" t="s">
        <v>90</v>
      </c>
      <c r="E338" s="21" t="s">
        <v>528</v>
      </c>
      <c r="F338" s="82" t="s">
        <v>253</v>
      </c>
      <c r="G338" s="99" t="s">
        <v>276</v>
      </c>
      <c r="H338" s="41">
        <f>1515.6-69.6</f>
        <v>1446</v>
      </c>
      <c r="I338" s="41">
        <v>1000</v>
      </c>
      <c r="J338" s="41">
        <v>1000</v>
      </c>
    </row>
    <row r="339" spans="1:10" ht="38.25">
      <c r="A339" s="1"/>
      <c r="B339" s="25"/>
      <c r="C339" s="16" t="s">
        <v>96</v>
      </c>
      <c r="D339" s="16" t="s">
        <v>90</v>
      </c>
      <c r="E339" s="82" t="s">
        <v>25</v>
      </c>
      <c r="F339" s="82"/>
      <c r="G339" s="99" t="s">
        <v>39</v>
      </c>
      <c r="H339" s="41">
        <f>H340</f>
        <v>50</v>
      </c>
      <c r="I339" s="41">
        <f t="shared" ref="I339:J339" si="134">I340</f>
        <v>0</v>
      </c>
      <c r="J339" s="41">
        <f t="shared" si="134"/>
        <v>0</v>
      </c>
    </row>
    <row r="340" spans="1:10" ht="51">
      <c r="A340" s="1"/>
      <c r="B340" s="25"/>
      <c r="C340" s="16" t="s">
        <v>96</v>
      </c>
      <c r="D340" s="16" t="s">
        <v>90</v>
      </c>
      <c r="E340" s="82" t="s">
        <v>611</v>
      </c>
      <c r="F340" s="16"/>
      <c r="G340" s="54" t="s">
        <v>610</v>
      </c>
      <c r="H340" s="41">
        <f>SUM(H341:H341)</f>
        <v>50</v>
      </c>
      <c r="I340" s="41">
        <f>SUM(I341:I341)</f>
        <v>0</v>
      </c>
      <c r="J340" s="41">
        <f>SUM(J341:J341)</f>
        <v>0</v>
      </c>
    </row>
    <row r="341" spans="1:10" ht="38.25">
      <c r="A341" s="1"/>
      <c r="B341" s="25"/>
      <c r="C341" s="16" t="s">
        <v>96</v>
      </c>
      <c r="D341" s="16" t="s">
        <v>90</v>
      </c>
      <c r="E341" s="82" t="s">
        <v>611</v>
      </c>
      <c r="F341" s="82" t="s">
        <v>214</v>
      </c>
      <c r="G341" s="98" t="s">
        <v>215</v>
      </c>
      <c r="H341" s="39">
        <v>50</v>
      </c>
      <c r="I341" s="39">
        <v>0</v>
      </c>
      <c r="J341" s="39">
        <v>0</v>
      </c>
    </row>
    <row r="342" spans="1:10" ht="14.25">
      <c r="A342" s="1"/>
      <c r="B342" s="25"/>
      <c r="C342" s="30" t="s">
        <v>96</v>
      </c>
      <c r="D342" s="30" t="s">
        <v>94</v>
      </c>
      <c r="E342" s="30"/>
      <c r="F342" s="30"/>
      <c r="G342" s="27" t="s">
        <v>49</v>
      </c>
      <c r="H342" s="40">
        <f>H343+H350+H395+H405</f>
        <v>57030.200000000004</v>
      </c>
      <c r="I342" s="40">
        <f t="shared" ref="I342:J342" si="135">I343+I350+I395+I405</f>
        <v>18810</v>
      </c>
      <c r="J342" s="40">
        <f t="shared" si="135"/>
        <v>17836.3</v>
      </c>
    </row>
    <row r="343" spans="1:10" ht="89.25">
      <c r="A343" s="1"/>
      <c r="B343" s="25"/>
      <c r="C343" s="82" t="s">
        <v>96</v>
      </c>
      <c r="D343" s="82" t="s">
        <v>94</v>
      </c>
      <c r="E343" s="78" t="s">
        <v>66</v>
      </c>
      <c r="F343" s="16"/>
      <c r="G343" s="63" t="s">
        <v>617</v>
      </c>
      <c r="H343" s="96">
        <f t="shared" ref="H343:J344" si="136">H344</f>
        <v>524.5</v>
      </c>
      <c r="I343" s="96">
        <f t="shared" si="136"/>
        <v>529.29999999999995</v>
      </c>
      <c r="J343" s="96">
        <f t="shared" si="136"/>
        <v>529.29999999999995</v>
      </c>
    </row>
    <row r="344" spans="1:10" ht="51">
      <c r="A344" s="1"/>
      <c r="B344" s="25"/>
      <c r="C344" s="47" t="s">
        <v>96</v>
      </c>
      <c r="D344" s="47" t="s">
        <v>94</v>
      </c>
      <c r="E344" s="77" t="s">
        <v>67</v>
      </c>
      <c r="F344" s="16"/>
      <c r="G344" s="60" t="s">
        <v>515</v>
      </c>
      <c r="H344" s="93">
        <f t="shared" si="136"/>
        <v>524.5</v>
      </c>
      <c r="I344" s="93">
        <f t="shared" si="136"/>
        <v>529.29999999999995</v>
      </c>
      <c r="J344" s="93">
        <f t="shared" si="136"/>
        <v>529.29999999999995</v>
      </c>
    </row>
    <row r="345" spans="1:10" ht="63.75">
      <c r="A345" s="1"/>
      <c r="B345" s="25"/>
      <c r="C345" s="82" t="s">
        <v>96</v>
      </c>
      <c r="D345" s="82" t="s">
        <v>94</v>
      </c>
      <c r="E345" s="74">
        <v>610100000</v>
      </c>
      <c r="F345" s="16"/>
      <c r="G345" s="98" t="s">
        <v>514</v>
      </c>
      <c r="H345" s="39">
        <f>H346+H348</f>
        <v>524.5</v>
      </c>
      <c r="I345" s="39">
        <f t="shared" ref="I345:J345" si="137">I346+I348</f>
        <v>529.29999999999995</v>
      </c>
      <c r="J345" s="39">
        <f t="shared" si="137"/>
        <v>529.29999999999995</v>
      </c>
    </row>
    <row r="346" spans="1:10" ht="38.25">
      <c r="A346" s="1"/>
      <c r="B346" s="25"/>
      <c r="C346" s="82" t="s">
        <v>96</v>
      </c>
      <c r="D346" s="82" t="s">
        <v>94</v>
      </c>
      <c r="E346" s="138" t="s">
        <v>513</v>
      </c>
      <c r="F346" s="16"/>
      <c r="G346" s="98" t="s">
        <v>651</v>
      </c>
      <c r="H346" s="41">
        <f t="shared" ref="H346:J346" si="138">H347</f>
        <v>515.5</v>
      </c>
      <c r="I346" s="41">
        <f t="shared" si="138"/>
        <v>520.29999999999995</v>
      </c>
      <c r="J346" s="41">
        <f t="shared" si="138"/>
        <v>520.29999999999995</v>
      </c>
    </row>
    <row r="347" spans="1:10" ht="38.25">
      <c r="A347" s="1"/>
      <c r="B347" s="25"/>
      <c r="C347" s="82" t="s">
        <v>96</v>
      </c>
      <c r="D347" s="82" t="s">
        <v>94</v>
      </c>
      <c r="E347" s="138" t="s">
        <v>513</v>
      </c>
      <c r="F347" s="82" t="s">
        <v>214</v>
      </c>
      <c r="G347" s="98" t="s">
        <v>215</v>
      </c>
      <c r="H347" s="41">
        <f>520.3+300-304.8</f>
        <v>515.5</v>
      </c>
      <c r="I347" s="41">
        <v>520.29999999999995</v>
      </c>
      <c r="J347" s="41">
        <v>520.29999999999995</v>
      </c>
    </row>
    <row r="348" spans="1:10" ht="38.25">
      <c r="A348" s="1"/>
      <c r="B348" s="25"/>
      <c r="C348" s="82" t="s">
        <v>96</v>
      </c>
      <c r="D348" s="82" t="s">
        <v>94</v>
      </c>
      <c r="E348" s="138" t="s">
        <v>585</v>
      </c>
      <c r="F348" s="82"/>
      <c r="G348" s="98" t="s">
        <v>586</v>
      </c>
      <c r="H348" s="41">
        <f>H349</f>
        <v>9</v>
      </c>
      <c r="I348" s="41">
        <f t="shared" ref="I348:J348" si="139">I349</f>
        <v>9</v>
      </c>
      <c r="J348" s="41">
        <f t="shared" si="139"/>
        <v>9</v>
      </c>
    </row>
    <row r="349" spans="1:10" ht="38.25">
      <c r="A349" s="1"/>
      <c r="B349" s="25"/>
      <c r="C349" s="82" t="s">
        <v>96</v>
      </c>
      <c r="D349" s="82" t="s">
        <v>94</v>
      </c>
      <c r="E349" s="138" t="s">
        <v>585</v>
      </c>
      <c r="F349" s="82" t="s">
        <v>214</v>
      </c>
      <c r="G349" s="98" t="s">
        <v>215</v>
      </c>
      <c r="H349" s="41">
        <v>9</v>
      </c>
      <c r="I349" s="41">
        <v>9</v>
      </c>
      <c r="J349" s="41">
        <v>9</v>
      </c>
    </row>
    <row r="350" spans="1:10" ht="89.25">
      <c r="A350" s="1"/>
      <c r="B350" s="25"/>
      <c r="C350" s="5" t="s">
        <v>96</v>
      </c>
      <c r="D350" s="5" t="s">
        <v>94</v>
      </c>
      <c r="E350" s="73" t="s">
        <v>56</v>
      </c>
      <c r="F350" s="16"/>
      <c r="G350" s="53" t="s">
        <v>628</v>
      </c>
      <c r="H350" s="96">
        <f>H351+H363+H370+H379</f>
        <v>30608.400000000001</v>
      </c>
      <c r="I350" s="96">
        <f>I351+I363+I370+I379</f>
        <v>16307</v>
      </c>
      <c r="J350" s="96">
        <f t="shared" ref="J350" si="140">J351+J363+J370+J379</f>
        <v>16307</v>
      </c>
    </row>
    <row r="351" spans="1:10" ht="51">
      <c r="A351" s="1"/>
      <c r="B351" s="25"/>
      <c r="C351" s="82" t="s">
        <v>96</v>
      </c>
      <c r="D351" s="82" t="s">
        <v>94</v>
      </c>
      <c r="E351" s="52" t="s">
        <v>57</v>
      </c>
      <c r="F351" s="47"/>
      <c r="G351" s="48" t="s">
        <v>773</v>
      </c>
      <c r="H351" s="93">
        <f>H352+H360</f>
        <v>10792.7</v>
      </c>
      <c r="I351" s="93">
        <f>I352+I360</f>
        <v>5450</v>
      </c>
      <c r="J351" s="93">
        <f t="shared" ref="J351" si="141">J352+J360</f>
        <v>5450</v>
      </c>
    </row>
    <row r="352" spans="1:10" ht="38.25">
      <c r="A352" s="1"/>
      <c r="B352" s="25"/>
      <c r="C352" s="16" t="s">
        <v>96</v>
      </c>
      <c r="D352" s="82" t="s">
        <v>94</v>
      </c>
      <c r="E352" s="21" t="s">
        <v>240</v>
      </c>
      <c r="F352" s="47"/>
      <c r="G352" s="99" t="s">
        <v>659</v>
      </c>
      <c r="H352" s="93">
        <f>H353+H355+H358</f>
        <v>10442.700000000001</v>
      </c>
      <c r="I352" s="93">
        <f>I353+I355+I358</f>
        <v>5100</v>
      </c>
      <c r="J352" s="93">
        <f t="shared" ref="J352" si="142">J353+J355+J358</f>
        <v>5100</v>
      </c>
    </row>
    <row r="353" spans="1:10" ht="38.25">
      <c r="A353" s="1"/>
      <c r="B353" s="25"/>
      <c r="C353" s="16" t="s">
        <v>96</v>
      </c>
      <c r="D353" s="82" t="s">
        <v>94</v>
      </c>
      <c r="E353" s="74">
        <v>1210123505</v>
      </c>
      <c r="F353" s="21"/>
      <c r="G353" s="98" t="s">
        <v>543</v>
      </c>
      <c r="H353" s="41">
        <f>H354</f>
        <v>4068.2000000000003</v>
      </c>
      <c r="I353" s="41">
        <f>I354</f>
        <v>1750</v>
      </c>
      <c r="J353" s="41">
        <f>J354</f>
        <v>1750</v>
      </c>
    </row>
    <row r="354" spans="1:10" ht="38.25">
      <c r="A354" s="1"/>
      <c r="B354" s="25"/>
      <c r="C354" s="82" t="s">
        <v>96</v>
      </c>
      <c r="D354" s="82" t="s">
        <v>94</v>
      </c>
      <c r="E354" s="74">
        <v>1210123505</v>
      </c>
      <c r="F354" s="82" t="s">
        <v>214</v>
      </c>
      <c r="G354" s="98" t="s">
        <v>215</v>
      </c>
      <c r="H354" s="39">
        <f>4057.1+14.3-3.2</f>
        <v>4068.2000000000003</v>
      </c>
      <c r="I354" s="39">
        <v>1750</v>
      </c>
      <c r="J354" s="39">
        <v>1750</v>
      </c>
    </row>
    <row r="355" spans="1:10" ht="63.75">
      <c r="A355" s="1"/>
      <c r="B355" s="25"/>
      <c r="C355" s="82" t="s">
        <v>96</v>
      </c>
      <c r="D355" s="82" t="s">
        <v>94</v>
      </c>
      <c r="E355" s="74">
        <v>1210123510</v>
      </c>
      <c r="F355" s="21"/>
      <c r="G355" s="98" t="s">
        <v>241</v>
      </c>
      <c r="H355" s="41">
        <f>SUM(H356:H357)</f>
        <v>5242.6000000000004</v>
      </c>
      <c r="I355" s="41">
        <f t="shared" ref="I355:J355" si="143">SUM(I356:I357)</f>
        <v>2850</v>
      </c>
      <c r="J355" s="41">
        <f t="shared" si="143"/>
        <v>2850</v>
      </c>
    </row>
    <row r="356" spans="1:10" ht="38.25">
      <c r="A356" s="1"/>
      <c r="B356" s="25"/>
      <c r="C356" s="16" t="s">
        <v>96</v>
      </c>
      <c r="D356" s="82" t="s">
        <v>94</v>
      </c>
      <c r="E356" s="74">
        <v>1210123510</v>
      </c>
      <c r="F356" s="82" t="s">
        <v>214</v>
      </c>
      <c r="G356" s="98" t="s">
        <v>215</v>
      </c>
      <c r="H356" s="41">
        <f>5538.8-14.3-63.9-0.2-218</f>
        <v>5242.4000000000005</v>
      </c>
      <c r="I356" s="41">
        <v>2850</v>
      </c>
      <c r="J356" s="41">
        <v>2850</v>
      </c>
    </row>
    <row r="357" spans="1:10" s="170" customFormat="1">
      <c r="A357" s="1"/>
      <c r="B357" s="25"/>
      <c r="C357" s="16" t="s">
        <v>96</v>
      </c>
      <c r="D357" s="82" t="s">
        <v>94</v>
      </c>
      <c r="E357" s="74">
        <v>1210123510</v>
      </c>
      <c r="F357" s="82" t="s">
        <v>726</v>
      </c>
      <c r="G357" s="98" t="s">
        <v>727</v>
      </c>
      <c r="H357" s="41">
        <v>0.2</v>
      </c>
      <c r="I357" s="41">
        <v>0</v>
      </c>
      <c r="J357" s="41">
        <v>0</v>
      </c>
    </row>
    <row r="358" spans="1:10" ht="25.5">
      <c r="A358" s="1"/>
      <c r="B358" s="25"/>
      <c r="C358" s="82" t="s">
        <v>96</v>
      </c>
      <c r="D358" s="82" t="s">
        <v>94</v>
      </c>
      <c r="E358" s="74">
        <v>1210123515</v>
      </c>
      <c r="F358" s="16"/>
      <c r="G358" s="98" t="s">
        <v>23</v>
      </c>
      <c r="H358" s="41">
        <f>H359</f>
        <v>1131.9000000000001</v>
      </c>
      <c r="I358" s="41">
        <f>I359</f>
        <v>500</v>
      </c>
      <c r="J358" s="41">
        <f>J359</f>
        <v>500</v>
      </c>
    </row>
    <row r="359" spans="1:10" ht="38.25">
      <c r="A359" s="1"/>
      <c r="B359" s="25"/>
      <c r="C359" s="82" t="s">
        <v>96</v>
      </c>
      <c r="D359" s="82" t="s">
        <v>94</v>
      </c>
      <c r="E359" s="74">
        <v>1210123515</v>
      </c>
      <c r="F359" s="82" t="s">
        <v>214</v>
      </c>
      <c r="G359" s="98" t="s">
        <v>215</v>
      </c>
      <c r="H359" s="41">
        <v>1131.9000000000001</v>
      </c>
      <c r="I359" s="41">
        <v>500</v>
      </c>
      <c r="J359" s="41">
        <v>500</v>
      </c>
    </row>
    <row r="360" spans="1:10" ht="28.5" customHeight="1">
      <c r="A360" s="1"/>
      <c r="B360" s="25"/>
      <c r="C360" s="47" t="s">
        <v>96</v>
      </c>
      <c r="D360" s="47" t="s">
        <v>94</v>
      </c>
      <c r="E360" s="21" t="s">
        <v>294</v>
      </c>
      <c r="F360" s="82"/>
      <c r="G360" s="99" t="s">
        <v>295</v>
      </c>
      <c r="H360" s="41">
        <f>H361</f>
        <v>350</v>
      </c>
      <c r="I360" s="41">
        <f t="shared" ref="I360:J360" si="144">I361</f>
        <v>350</v>
      </c>
      <c r="J360" s="41">
        <f t="shared" si="144"/>
        <v>350</v>
      </c>
    </row>
    <row r="361" spans="1:10" ht="25.5">
      <c r="A361" s="1"/>
      <c r="B361" s="25"/>
      <c r="C361" s="16" t="s">
        <v>96</v>
      </c>
      <c r="D361" s="82" t="s">
        <v>94</v>
      </c>
      <c r="E361" s="74">
        <v>1210223520</v>
      </c>
      <c r="F361" s="16"/>
      <c r="G361" s="98" t="s">
        <v>242</v>
      </c>
      <c r="H361" s="41">
        <f>H362</f>
        <v>350</v>
      </c>
      <c r="I361" s="41">
        <f>I362</f>
        <v>350</v>
      </c>
      <c r="J361" s="41">
        <f>J362</f>
        <v>350</v>
      </c>
    </row>
    <row r="362" spans="1:10" ht="38.25">
      <c r="A362" s="1"/>
      <c r="B362" s="25"/>
      <c r="C362" s="82" t="s">
        <v>96</v>
      </c>
      <c r="D362" s="82" t="s">
        <v>94</v>
      </c>
      <c r="E362" s="74">
        <v>1210223520</v>
      </c>
      <c r="F362" s="82" t="s">
        <v>214</v>
      </c>
      <c r="G362" s="98" t="s">
        <v>215</v>
      </c>
      <c r="H362" s="39">
        <v>350</v>
      </c>
      <c r="I362" s="39">
        <v>350</v>
      </c>
      <c r="J362" s="39">
        <v>350</v>
      </c>
    </row>
    <row r="363" spans="1:10" ht="25.5">
      <c r="A363" s="1"/>
      <c r="B363" s="25"/>
      <c r="C363" s="82" t="s">
        <v>96</v>
      </c>
      <c r="D363" s="82" t="s">
        <v>94</v>
      </c>
      <c r="E363" s="52" t="s">
        <v>58</v>
      </c>
      <c r="F363" s="47"/>
      <c r="G363" s="48" t="s">
        <v>26</v>
      </c>
      <c r="H363" s="93">
        <f>H364+H368</f>
        <v>1963.8</v>
      </c>
      <c r="I363" s="93">
        <f>I364+I368</f>
        <v>1325</v>
      </c>
      <c r="J363" s="93">
        <f t="shared" ref="J363" si="145">J364+J368</f>
        <v>1325</v>
      </c>
    </row>
    <row r="364" spans="1:10" ht="16.5" customHeight="1">
      <c r="A364" s="1"/>
      <c r="B364" s="25"/>
      <c r="C364" s="82" t="s">
        <v>96</v>
      </c>
      <c r="D364" s="82" t="s">
        <v>94</v>
      </c>
      <c r="E364" s="21" t="s">
        <v>243</v>
      </c>
      <c r="F364" s="47"/>
      <c r="G364" s="99" t="s">
        <v>244</v>
      </c>
      <c r="H364" s="39">
        <f t="shared" ref="H364:J365" si="146">H365</f>
        <v>1963.8</v>
      </c>
      <c r="I364" s="39">
        <f t="shared" si="146"/>
        <v>850</v>
      </c>
      <c r="J364" s="39">
        <f t="shared" si="146"/>
        <v>850</v>
      </c>
    </row>
    <row r="365" spans="1:10" ht="25.5">
      <c r="A365" s="1"/>
      <c r="B365" s="25"/>
      <c r="C365" s="82" t="s">
        <v>96</v>
      </c>
      <c r="D365" s="82" t="s">
        <v>94</v>
      </c>
      <c r="E365" s="79">
        <v>1220123525</v>
      </c>
      <c r="F365" s="16"/>
      <c r="G365" s="98" t="s">
        <v>192</v>
      </c>
      <c r="H365" s="41">
        <f t="shared" si="146"/>
        <v>1963.8</v>
      </c>
      <c r="I365" s="41">
        <f t="shared" si="146"/>
        <v>850</v>
      </c>
      <c r="J365" s="41">
        <f t="shared" si="146"/>
        <v>850</v>
      </c>
    </row>
    <row r="366" spans="1:10" ht="38.25">
      <c r="A366" s="1"/>
      <c r="B366" s="25"/>
      <c r="C366" s="82" t="s">
        <v>96</v>
      </c>
      <c r="D366" s="82" t="s">
        <v>94</v>
      </c>
      <c r="E366" s="79">
        <v>1220123525</v>
      </c>
      <c r="F366" s="82" t="s">
        <v>214</v>
      </c>
      <c r="G366" s="98" t="s">
        <v>215</v>
      </c>
      <c r="H366" s="41">
        <f>1972.7-8.9</f>
        <v>1963.8</v>
      </c>
      <c r="I366" s="41">
        <v>850</v>
      </c>
      <c r="J366" s="41">
        <v>850</v>
      </c>
    </row>
    <row r="367" spans="1:10" ht="38.25">
      <c r="A367" s="1"/>
      <c r="B367" s="25"/>
      <c r="C367" s="82" t="s">
        <v>96</v>
      </c>
      <c r="D367" s="82" t="s">
        <v>94</v>
      </c>
      <c r="E367" s="21" t="s">
        <v>545</v>
      </c>
      <c r="F367" s="82"/>
      <c r="G367" s="99" t="s">
        <v>544</v>
      </c>
      <c r="H367" s="41">
        <f>H368</f>
        <v>0</v>
      </c>
      <c r="I367" s="41">
        <f t="shared" ref="I367:J367" si="147">I368</f>
        <v>475</v>
      </c>
      <c r="J367" s="41">
        <f t="shared" si="147"/>
        <v>475</v>
      </c>
    </row>
    <row r="368" spans="1:10" ht="25.5">
      <c r="A368" s="1"/>
      <c r="B368" s="25"/>
      <c r="C368" s="82" t="s">
        <v>96</v>
      </c>
      <c r="D368" s="82" t="s">
        <v>94</v>
      </c>
      <c r="E368" s="79">
        <v>1220223530</v>
      </c>
      <c r="F368" s="16"/>
      <c r="G368" s="98" t="s">
        <v>193</v>
      </c>
      <c r="H368" s="41">
        <f>H369</f>
        <v>0</v>
      </c>
      <c r="I368" s="41">
        <f>I369</f>
        <v>475</v>
      </c>
      <c r="J368" s="41">
        <f>J369</f>
        <v>475</v>
      </c>
    </row>
    <row r="369" spans="1:10" ht="38.25">
      <c r="A369" s="1"/>
      <c r="B369" s="25"/>
      <c r="C369" s="82" t="s">
        <v>96</v>
      </c>
      <c r="D369" s="82" t="s">
        <v>94</v>
      </c>
      <c r="E369" s="79">
        <v>1220223530</v>
      </c>
      <c r="F369" s="82" t="s">
        <v>214</v>
      </c>
      <c r="G369" s="98" t="s">
        <v>215</v>
      </c>
      <c r="H369" s="39">
        <v>0</v>
      </c>
      <c r="I369" s="39">
        <v>475</v>
      </c>
      <c r="J369" s="39">
        <v>475</v>
      </c>
    </row>
    <row r="370" spans="1:10" ht="38.25">
      <c r="A370" s="1"/>
      <c r="B370" s="25"/>
      <c r="C370" s="82" t="s">
        <v>96</v>
      </c>
      <c r="D370" s="82" t="s">
        <v>94</v>
      </c>
      <c r="E370" s="52" t="s">
        <v>59</v>
      </c>
      <c r="F370" s="47"/>
      <c r="G370" s="48" t="s">
        <v>660</v>
      </c>
      <c r="H370" s="93">
        <f>H371</f>
        <v>4668.4000000000005</v>
      </c>
      <c r="I370" s="93">
        <f>I371</f>
        <v>4407</v>
      </c>
      <c r="J370" s="93">
        <f t="shared" ref="J370" si="148">J371</f>
        <v>4407</v>
      </c>
    </row>
    <row r="371" spans="1:10" ht="51">
      <c r="A371" s="1"/>
      <c r="B371" s="25"/>
      <c r="C371" s="82" t="s">
        <v>96</v>
      </c>
      <c r="D371" s="82" t="s">
        <v>94</v>
      </c>
      <c r="E371" s="21" t="s">
        <v>245</v>
      </c>
      <c r="F371" s="47"/>
      <c r="G371" s="99" t="s">
        <v>246</v>
      </c>
      <c r="H371" s="39">
        <f>H372+H375+H377</f>
        <v>4668.4000000000005</v>
      </c>
      <c r="I371" s="39">
        <f>I372+I375+I377</f>
        <v>4407</v>
      </c>
      <c r="J371" s="39">
        <f t="shared" ref="J371" si="149">J372+J375+J377</f>
        <v>4407</v>
      </c>
    </row>
    <row r="372" spans="1:10" ht="25.5">
      <c r="A372" s="1"/>
      <c r="B372" s="25"/>
      <c r="C372" s="82" t="s">
        <v>96</v>
      </c>
      <c r="D372" s="82" t="s">
        <v>94</v>
      </c>
      <c r="E372" s="21" t="s">
        <v>546</v>
      </c>
      <c r="F372" s="16"/>
      <c r="G372" s="98" t="s">
        <v>309</v>
      </c>
      <c r="H372" s="41">
        <f>SUM(H373:H374)</f>
        <v>3681.3</v>
      </c>
      <c r="I372" s="41">
        <f>I373</f>
        <v>3800</v>
      </c>
      <c r="J372" s="41">
        <f>J373</f>
        <v>3800</v>
      </c>
    </row>
    <row r="373" spans="1:10" ht="38.25">
      <c r="A373" s="1"/>
      <c r="B373" s="25"/>
      <c r="C373" s="82" t="s">
        <v>96</v>
      </c>
      <c r="D373" s="82" t="s">
        <v>94</v>
      </c>
      <c r="E373" s="21" t="s">
        <v>546</v>
      </c>
      <c r="F373" s="82" t="s">
        <v>214</v>
      </c>
      <c r="G373" s="98" t="s">
        <v>215</v>
      </c>
      <c r="H373" s="41">
        <f>3681.3-0.6</f>
        <v>3680.7000000000003</v>
      </c>
      <c r="I373" s="41">
        <v>3800</v>
      </c>
      <c r="J373" s="41">
        <v>3800</v>
      </c>
    </row>
    <row r="374" spans="1:10">
      <c r="A374" s="1"/>
      <c r="B374" s="25"/>
      <c r="C374" s="82" t="s">
        <v>96</v>
      </c>
      <c r="D374" s="82" t="s">
        <v>94</v>
      </c>
      <c r="E374" s="21" t="s">
        <v>546</v>
      </c>
      <c r="F374" s="82" t="s">
        <v>726</v>
      </c>
      <c r="G374" s="98" t="s">
        <v>727</v>
      </c>
      <c r="H374" s="41">
        <v>0.6</v>
      </c>
      <c r="I374" s="41">
        <v>0</v>
      </c>
      <c r="J374" s="41">
        <v>0</v>
      </c>
    </row>
    <row r="375" spans="1:10" ht="25.5">
      <c r="A375" s="1"/>
      <c r="B375" s="25"/>
      <c r="C375" s="82" t="s">
        <v>96</v>
      </c>
      <c r="D375" s="82" t="s">
        <v>94</v>
      </c>
      <c r="E375" s="21" t="s">
        <v>547</v>
      </c>
      <c r="F375" s="16"/>
      <c r="G375" s="98" t="s">
        <v>24</v>
      </c>
      <c r="H375" s="41">
        <f>H376</f>
        <v>980.1</v>
      </c>
      <c r="I375" s="41">
        <f>I376</f>
        <v>600</v>
      </c>
      <c r="J375" s="41">
        <f>J376</f>
        <v>600</v>
      </c>
    </row>
    <row r="376" spans="1:10" ht="38.25">
      <c r="A376" s="1"/>
      <c r="B376" s="25"/>
      <c r="C376" s="82" t="s">
        <v>96</v>
      </c>
      <c r="D376" s="82" t="s">
        <v>94</v>
      </c>
      <c r="E376" s="21" t="s">
        <v>547</v>
      </c>
      <c r="F376" s="82" t="s">
        <v>214</v>
      </c>
      <c r="G376" s="98" t="s">
        <v>215</v>
      </c>
      <c r="H376" s="41">
        <f>600+380.1</f>
        <v>980.1</v>
      </c>
      <c r="I376" s="41">
        <v>600</v>
      </c>
      <c r="J376" s="41">
        <v>600</v>
      </c>
    </row>
    <row r="377" spans="1:10" ht="25.5">
      <c r="A377" s="1"/>
      <c r="B377" s="25"/>
      <c r="C377" s="82" t="s">
        <v>96</v>
      </c>
      <c r="D377" s="82" t="s">
        <v>94</v>
      </c>
      <c r="E377" s="21" t="s">
        <v>548</v>
      </c>
      <c r="F377" s="16"/>
      <c r="G377" s="98" t="s">
        <v>194</v>
      </c>
      <c r="H377" s="41">
        <f>H378</f>
        <v>7</v>
      </c>
      <c r="I377" s="41">
        <f>I378</f>
        <v>7</v>
      </c>
      <c r="J377" s="41">
        <f>J378</f>
        <v>7</v>
      </c>
    </row>
    <row r="378" spans="1:10" ht="38.25">
      <c r="A378" s="1"/>
      <c r="B378" s="25"/>
      <c r="C378" s="82" t="s">
        <v>96</v>
      </c>
      <c r="D378" s="82" t="s">
        <v>94</v>
      </c>
      <c r="E378" s="21" t="s">
        <v>548</v>
      </c>
      <c r="F378" s="82" t="s">
        <v>214</v>
      </c>
      <c r="G378" s="98" t="s">
        <v>215</v>
      </c>
      <c r="H378" s="41">
        <v>7</v>
      </c>
      <c r="I378" s="41">
        <v>7</v>
      </c>
      <c r="J378" s="41">
        <v>7</v>
      </c>
    </row>
    <row r="379" spans="1:10" ht="51">
      <c r="A379" s="1"/>
      <c r="B379" s="25"/>
      <c r="C379" s="82" t="s">
        <v>96</v>
      </c>
      <c r="D379" s="82" t="s">
        <v>94</v>
      </c>
      <c r="E379" s="52" t="s">
        <v>549</v>
      </c>
      <c r="F379" s="16"/>
      <c r="G379" s="60" t="s">
        <v>550</v>
      </c>
      <c r="H379" s="41">
        <f>H380+H385+H390</f>
        <v>13183.5</v>
      </c>
      <c r="I379" s="41">
        <f>I380+I385+I390</f>
        <v>5125</v>
      </c>
      <c r="J379" s="41">
        <f>J380+J385+J390</f>
        <v>5125</v>
      </c>
    </row>
    <row r="380" spans="1:10" ht="63.75">
      <c r="A380" s="1"/>
      <c r="B380" s="25"/>
      <c r="C380" s="82" t="s">
        <v>96</v>
      </c>
      <c r="D380" s="82" t="s">
        <v>94</v>
      </c>
      <c r="E380" s="21" t="s">
        <v>552</v>
      </c>
      <c r="F380" s="16"/>
      <c r="G380" s="99" t="s">
        <v>551</v>
      </c>
      <c r="H380" s="41">
        <f>H381+H383</f>
        <v>15</v>
      </c>
      <c r="I380" s="41">
        <f t="shared" ref="I380:J380" si="150">I381+I383</f>
        <v>265</v>
      </c>
      <c r="J380" s="41">
        <f t="shared" si="150"/>
        <v>265</v>
      </c>
    </row>
    <row r="381" spans="1:10" ht="25.5">
      <c r="A381" s="1"/>
      <c r="B381" s="25"/>
      <c r="C381" s="82" t="s">
        <v>96</v>
      </c>
      <c r="D381" s="82" t="s">
        <v>94</v>
      </c>
      <c r="E381" s="21" t="s">
        <v>553</v>
      </c>
      <c r="F381" s="16"/>
      <c r="G381" s="98" t="s">
        <v>379</v>
      </c>
      <c r="H381" s="41">
        <f>H382</f>
        <v>0</v>
      </c>
      <c r="I381" s="41">
        <f>I382</f>
        <v>250</v>
      </c>
      <c r="J381" s="41">
        <f>J382</f>
        <v>250</v>
      </c>
    </row>
    <row r="382" spans="1:10" ht="38.25">
      <c r="A382" s="1"/>
      <c r="B382" s="25"/>
      <c r="C382" s="82" t="s">
        <v>96</v>
      </c>
      <c r="D382" s="82" t="s">
        <v>94</v>
      </c>
      <c r="E382" s="21" t="s">
        <v>553</v>
      </c>
      <c r="F382" s="82" t="s">
        <v>214</v>
      </c>
      <c r="G382" s="98" t="s">
        <v>215</v>
      </c>
      <c r="H382" s="41">
        <v>0</v>
      </c>
      <c r="I382" s="41">
        <v>250</v>
      </c>
      <c r="J382" s="41">
        <v>250</v>
      </c>
    </row>
    <row r="383" spans="1:10" ht="51">
      <c r="A383" s="1"/>
      <c r="B383" s="25"/>
      <c r="C383" s="82" t="s">
        <v>96</v>
      </c>
      <c r="D383" s="82" t="s">
        <v>94</v>
      </c>
      <c r="E383" s="21" t="s">
        <v>555</v>
      </c>
      <c r="F383" s="82"/>
      <c r="G383" s="98" t="s">
        <v>554</v>
      </c>
      <c r="H383" s="41">
        <f>H384</f>
        <v>15</v>
      </c>
      <c r="I383" s="41">
        <f t="shared" ref="I383:J383" si="151">I384</f>
        <v>15</v>
      </c>
      <c r="J383" s="41">
        <f t="shared" si="151"/>
        <v>15</v>
      </c>
    </row>
    <row r="384" spans="1:10" ht="38.25">
      <c r="A384" s="1"/>
      <c r="B384" s="25"/>
      <c r="C384" s="82" t="s">
        <v>96</v>
      </c>
      <c r="D384" s="82" t="s">
        <v>94</v>
      </c>
      <c r="E384" s="21" t="s">
        <v>555</v>
      </c>
      <c r="F384" s="82" t="s">
        <v>214</v>
      </c>
      <c r="G384" s="98" t="s">
        <v>215</v>
      </c>
      <c r="H384" s="41">
        <v>15</v>
      </c>
      <c r="I384" s="41">
        <v>15</v>
      </c>
      <c r="J384" s="41">
        <v>15</v>
      </c>
    </row>
    <row r="385" spans="1:10" ht="38.25">
      <c r="A385" s="1"/>
      <c r="B385" s="25"/>
      <c r="C385" s="82" t="s">
        <v>96</v>
      </c>
      <c r="D385" s="82" t="s">
        <v>94</v>
      </c>
      <c r="E385" s="21" t="s">
        <v>556</v>
      </c>
      <c r="F385" s="16"/>
      <c r="G385" s="99" t="s">
        <v>557</v>
      </c>
      <c r="H385" s="41">
        <f>H386+H388</f>
        <v>962.9</v>
      </c>
      <c r="I385" s="41">
        <f t="shared" ref="I385:J385" si="152">I386+I388</f>
        <v>10</v>
      </c>
      <c r="J385" s="41">
        <f t="shared" si="152"/>
        <v>10</v>
      </c>
    </row>
    <row r="386" spans="1:10" ht="38.25">
      <c r="A386" s="1"/>
      <c r="B386" s="25"/>
      <c r="C386" s="82" t="s">
        <v>96</v>
      </c>
      <c r="D386" s="82" t="s">
        <v>94</v>
      </c>
      <c r="E386" s="21" t="s">
        <v>663</v>
      </c>
      <c r="F386" s="16"/>
      <c r="G386" s="99" t="s">
        <v>664</v>
      </c>
      <c r="H386" s="41">
        <f>H387</f>
        <v>962.9</v>
      </c>
      <c r="I386" s="41">
        <f t="shared" ref="I386:J386" si="153">I387</f>
        <v>0</v>
      </c>
      <c r="J386" s="41">
        <f t="shared" si="153"/>
        <v>0</v>
      </c>
    </row>
    <row r="387" spans="1:10" ht="38.25">
      <c r="A387" s="1"/>
      <c r="B387" s="25"/>
      <c r="C387" s="16" t="s">
        <v>96</v>
      </c>
      <c r="D387" s="16" t="s">
        <v>94</v>
      </c>
      <c r="E387" s="21" t="s">
        <v>663</v>
      </c>
      <c r="F387" s="82" t="s">
        <v>214</v>
      </c>
      <c r="G387" s="98" t="s">
        <v>215</v>
      </c>
      <c r="H387" s="41">
        <f>799.5+163.4</f>
        <v>962.9</v>
      </c>
      <c r="I387" s="41">
        <v>0</v>
      </c>
      <c r="J387" s="41">
        <v>0</v>
      </c>
    </row>
    <row r="388" spans="1:10" ht="51">
      <c r="A388" s="1"/>
      <c r="B388" s="25"/>
      <c r="C388" s="82" t="s">
        <v>96</v>
      </c>
      <c r="D388" s="82" t="s">
        <v>94</v>
      </c>
      <c r="E388" s="21" t="s">
        <v>563</v>
      </c>
      <c r="F388" s="82"/>
      <c r="G388" s="98" t="s">
        <v>564</v>
      </c>
      <c r="H388" s="41">
        <f>H389</f>
        <v>0</v>
      </c>
      <c r="I388" s="41">
        <f t="shared" ref="I388:J388" si="154">I389</f>
        <v>10</v>
      </c>
      <c r="J388" s="41">
        <f t="shared" si="154"/>
        <v>10</v>
      </c>
    </row>
    <row r="389" spans="1:10" ht="38.25">
      <c r="A389" s="1"/>
      <c r="B389" s="25"/>
      <c r="C389" s="16" t="s">
        <v>96</v>
      </c>
      <c r="D389" s="16" t="s">
        <v>94</v>
      </c>
      <c r="E389" s="21" t="s">
        <v>563</v>
      </c>
      <c r="F389" s="82" t="s">
        <v>214</v>
      </c>
      <c r="G389" s="98" t="s">
        <v>215</v>
      </c>
      <c r="H389" s="41">
        <v>0</v>
      </c>
      <c r="I389" s="41">
        <v>10</v>
      </c>
      <c r="J389" s="41">
        <v>10</v>
      </c>
    </row>
    <row r="390" spans="1:10" ht="51">
      <c r="A390" s="1"/>
      <c r="B390" s="25"/>
      <c r="C390" s="16" t="s">
        <v>96</v>
      </c>
      <c r="D390" s="16" t="s">
        <v>94</v>
      </c>
      <c r="E390" s="21" t="s">
        <v>558</v>
      </c>
      <c r="F390" s="16"/>
      <c r="G390" s="98" t="s">
        <v>755</v>
      </c>
      <c r="H390" s="41">
        <f>H391+H393</f>
        <v>12205.6</v>
      </c>
      <c r="I390" s="41">
        <f>I391+I393</f>
        <v>4850</v>
      </c>
      <c r="J390" s="41">
        <f t="shared" ref="J390" si="155">J391+J393</f>
        <v>4850</v>
      </c>
    </row>
    <row r="391" spans="1:10" ht="38.25">
      <c r="A391" s="1"/>
      <c r="B391" s="25"/>
      <c r="C391" s="16" t="s">
        <v>96</v>
      </c>
      <c r="D391" s="16" t="s">
        <v>94</v>
      </c>
      <c r="E391" s="21" t="s">
        <v>559</v>
      </c>
      <c r="F391" s="82"/>
      <c r="G391" s="98" t="s">
        <v>562</v>
      </c>
      <c r="H391" s="41">
        <f t="shared" ref="H391:J391" si="156">H392</f>
        <v>9200</v>
      </c>
      <c r="I391" s="41">
        <f t="shared" si="156"/>
        <v>3800</v>
      </c>
      <c r="J391" s="41">
        <f t="shared" si="156"/>
        <v>3800</v>
      </c>
    </row>
    <row r="392" spans="1:10" ht="38.25">
      <c r="A392" s="1"/>
      <c r="B392" s="25"/>
      <c r="C392" s="16" t="s">
        <v>96</v>
      </c>
      <c r="D392" s="16" t="s">
        <v>94</v>
      </c>
      <c r="E392" s="21" t="s">
        <v>559</v>
      </c>
      <c r="F392" s="82" t="s">
        <v>214</v>
      </c>
      <c r="G392" s="98" t="s">
        <v>215</v>
      </c>
      <c r="H392" s="41">
        <v>9200</v>
      </c>
      <c r="I392" s="41">
        <v>3800</v>
      </c>
      <c r="J392" s="41">
        <v>3800</v>
      </c>
    </row>
    <row r="393" spans="1:10" ht="17.25" customHeight="1">
      <c r="A393" s="1"/>
      <c r="B393" s="25"/>
      <c r="C393" s="16" t="s">
        <v>96</v>
      </c>
      <c r="D393" s="16" t="s">
        <v>94</v>
      </c>
      <c r="E393" s="21" t="s">
        <v>560</v>
      </c>
      <c r="F393" s="82"/>
      <c r="G393" s="98" t="s">
        <v>561</v>
      </c>
      <c r="H393" s="41">
        <f>H394</f>
        <v>3005.6</v>
      </c>
      <c r="I393" s="41">
        <f t="shared" ref="I393:J393" si="157">I394</f>
        <v>1050</v>
      </c>
      <c r="J393" s="41">
        <f t="shared" si="157"/>
        <v>1050</v>
      </c>
    </row>
    <row r="394" spans="1:10" ht="38.25">
      <c r="A394" s="1"/>
      <c r="B394" s="25"/>
      <c r="C394" s="16" t="s">
        <v>96</v>
      </c>
      <c r="D394" s="16" t="s">
        <v>94</v>
      </c>
      <c r="E394" s="21" t="s">
        <v>560</v>
      </c>
      <c r="F394" s="82" t="s">
        <v>214</v>
      </c>
      <c r="G394" s="98" t="s">
        <v>215</v>
      </c>
      <c r="H394" s="41">
        <f>3256.7-251.1</f>
        <v>3005.6</v>
      </c>
      <c r="I394" s="41">
        <v>1050</v>
      </c>
      <c r="J394" s="41">
        <v>1050</v>
      </c>
    </row>
    <row r="395" spans="1:10" ht="89.25">
      <c r="A395" s="1"/>
      <c r="B395" s="25"/>
      <c r="C395" s="5" t="s">
        <v>96</v>
      </c>
      <c r="D395" s="5" t="s">
        <v>94</v>
      </c>
      <c r="E395" s="76">
        <v>1400000000</v>
      </c>
      <c r="F395" s="16"/>
      <c r="G395" s="142" t="s">
        <v>630</v>
      </c>
      <c r="H395" s="96">
        <f>H396</f>
        <v>23135.4</v>
      </c>
      <c r="I395" s="96">
        <f t="shared" ref="I395:J395" si="158">I396</f>
        <v>717.4</v>
      </c>
      <c r="J395" s="96">
        <f t="shared" si="158"/>
        <v>0</v>
      </c>
    </row>
    <row r="396" spans="1:10" ht="89.25">
      <c r="A396" s="1"/>
      <c r="B396" s="25"/>
      <c r="C396" s="47" t="s">
        <v>96</v>
      </c>
      <c r="D396" s="47" t="s">
        <v>94</v>
      </c>
      <c r="E396" s="75">
        <v>1410000000</v>
      </c>
      <c r="F396" s="16"/>
      <c r="G396" s="48" t="s">
        <v>219</v>
      </c>
      <c r="H396" s="93">
        <f>H397+H402</f>
        <v>23135.4</v>
      </c>
      <c r="I396" s="93">
        <f>I397+I402</f>
        <v>717.4</v>
      </c>
      <c r="J396" s="93">
        <f>J397+J402</f>
        <v>0</v>
      </c>
    </row>
    <row r="397" spans="1:10" ht="102">
      <c r="A397" s="1"/>
      <c r="B397" s="25"/>
      <c r="C397" s="16" t="s">
        <v>96</v>
      </c>
      <c r="D397" s="16" t="s">
        <v>94</v>
      </c>
      <c r="E397" s="74">
        <v>1410200000</v>
      </c>
      <c r="F397" s="16"/>
      <c r="G397" s="98" t="s">
        <v>372</v>
      </c>
      <c r="H397" s="41">
        <f>H398+H400</f>
        <v>13493.800000000001</v>
      </c>
      <c r="I397" s="41">
        <f t="shared" ref="I397:J397" si="159">I398+I400</f>
        <v>0</v>
      </c>
      <c r="J397" s="41">
        <f t="shared" si="159"/>
        <v>0</v>
      </c>
    </row>
    <row r="398" spans="1:10" ht="38.25">
      <c r="A398" s="1"/>
      <c r="B398" s="25"/>
      <c r="C398" s="82" t="s">
        <v>96</v>
      </c>
      <c r="D398" s="82" t="s">
        <v>94</v>
      </c>
      <c r="E398" s="74">
        <v>1410223125</v>
      </c>
      <c r="F398" s="82"/>
      <c r="G398" s="98" t="s">
        <v>722</v>
      </c>
      <c r="H398" s="41">
        <f>H399</f>
        <v>1295.7</v>
      </c>
      <c r="I398" s="41">
        <f>I399</f>
        <v>0</v>
      </c>
      <c r="J398" s="41">
        <f>J399</f>
        <v>0</v>
      </c>
    </row>
    <row r="399" spans="1:10" ht="38.25">
      <c r="A399" s="1"/>
      <c r="B399" s="25"/>
      <c r="C399" s="82" t="s">
        <v>96</v>
      </c>
      <c r="D399" s="82" t="s">
        <v>94</v>
      </c>
      <c r="E399" s="74">
        <v>1410223125</v>
      </c>
      <c r="F399" s="82" t="s">
        <v>214</v>
      </c>
      <c r="G399" s="98" t="s">
        <v>215</v>
      </c>
      <c r="H399" s="41">
        <f>1237.5+58.2</f>
        <v>1295.7</v>
      </c>
      <c r="I399" s="41">
        <v>0</v>
      </c>
      <c r="J399" s="41">
        <v>0</v>
      </c>
    </row>
    <row r="400" spans="1:10" ht="25.5">
      <c r="A400" s="1"/>
      <c r="B400" s="25"/>
      <c r="C400" s="82" t="s">
        <v>96</v>
      </c>
      <c r="D400" s="82" t="s">
        <v>94</v>
      </c>
      <c r="E400" s="74">
        <v>1410223130</v>
      </c>
      <c r="F400" s="82"/>
      <c r="G400" s="108" t="s">
        <v>725</v>
      </c>
      <c r="H400" s="41">
        <f>H401</f>
        <v>12198.1</v>
      </c>
      <c r="I400" s="41">
        <f t="shared" ref="I400:J400" si="160">I401</f>
        <v>0</v>
      </c>
      <c r="J400" s="41">
        <f t="shared" si="160"/>
        <v>0</v>
      </c>
    </row>
    <row r="401" spans="1:10" ht="38.25">
      <c r="A401" s="1"/>
      <c r="B401" s="25"/>
      <c r="C401" s="82" t="s">
        <v>96</v>
      </c>
      <c r="D401" s="82" t="s">
        <v>94</v>
      </c>
      <c r="E401" s="74">
        <v>1410223130</v>
      </c>
      <c r="F401" s="82" t="s">
        <v>214</v>
      </c>
      <c r="G401" s="98" t="s">
        <v>215</v>
      </c>
      <c r="H401" s="41">
        <v>12198.1</v>
      </c>
      <c r="I401" s="41">
        <v>0</v>
      </c>
      <c r="J401" s="41">
        <v>0</v>
      </c>
    </row>
    <row r="402" spans="1:10" ht="51">
      <c r="A402" s="1"/>
      <c r="B402" s="25"/>
      <c r="C402" s="16" t="s">
        <v>96</v>
      </c>
      <c r="D402" s="16" t="s">
        <v>94</v>
      </c>
      <c r="E402" s="74" t="s">
        <v>389</v>
      </c>
      <c r="F402" s="82"/>
      <c r="G402" s="98" t="s">
        <v>390</v>
      </c>
      <c r="H402" s="41">
        <f>H403</f>
        <v>9641.6</v>
      </c>
      <c r="I402" s="41">
        <f t="shared" ref="I402:J402" si="161">I403</f>
        <v>717.4</v>
      </c>
      <c r="J402" s="41">
        <f t="shared" si="161"/>
        <v>0</v>
      </c>
    </row>
    <row r="403" spans="1:10" ht="38.25">
      <c r="A403" s="1"/>
      <c r="B403" s="25"/>
      <c r="C403" s="16" t="s">
        <v>96</v>
      </c>
      <c r="D403" s="16" t="s">
        <v>94</v>
      </c>
      <c r="E403" s="74" t="s">
        <v>358</v>
      </c>
      <c r="F403" s="16"/>
      <c r="G403" s="98" t="s">
        <v>324</v>
      </c>
      <c r="H403" s="41">
        <f>H404</f>
        <v>9641.6</v>
      </c>
      <c r="I403" s="41">
        <f>I404</f>
        <v>717.4</v>
      </c>
      <c r="J403" s="41">
        <f>J404</f>
        <v>0</v>
      </c>
    </row>
    <row r="404" spans="1:10" ht="38.25">
      <c r="A404" s="1"/>
      <c r="B404" s="25"/>
      <c r="C404" s="82" t="s">
        <v>96</v>
      </c>
      <c r="D404" s="16" t="s">
        <v>94</v>
      </c>
      <c r="E404" s="74" t="s">
        <v>358</v>
      </c>
      <c r="F404" s="82" t="s">
        <v>214</v>
      </c>
      <c r="G404" s="98" t="s">
        <v>215</v>
      </c>
      <c r="H404" s="41">
        <f>717.4+8924.2</f>
        <v>9641.6</v>
      </c>
      <c r="I404" s="41">
        <v>717.4</v>
      </c>
      <c r="J404" s="41">
        <v>0</v>
      </c>
    </row>
    <row r="405" spans="1:10" ht="127.5">
      <c r="A405" s="1"/>
      <c r="B405" s="25"/>
      <c r="C405" s="5" t="s">
        <v>96</v>
      </c>
      <c r="D405" s="5" t="s">
        <v>94</v>
      </c>
      <c r="E405" s="73" t="s">
        <v>580</v>
      </c>
      <c r="F405" s="82"/>
      <c r="G405" s="142" t="s">
        <v>631</v>
      </c>
      <c r="H405" s="96">
        <f>H406</f>
        <v>2761.9</v>
      </c>
      <c r="I405" s="96">
        <f t="shared" ref="I405:J405" si="162">I406</f>
        <v>1256.3</v>
      </c>
      <c r="J405" s="96">
        <f t="shared" si="162"/>
        <v>1000</v>
      </c>
    </row>
    <row r="406" spans="1:10" ht="54.75" customHeight="1">
      <c r="A406" s="1"/>
      <c r="B406" s="25"/>
      <c r="C406" s="47" t="s">
        <v>96</v>
      </c>
      <c r="D406" s="47" t="s">
        <v>94</v>
      </c>
      <c r="E406" s="141">
        <v>1510000000</v>
      </c>
      <c r="F406" s="82"/>
      <c r="G406" s="48" t="s">
        <v>370</v>
      </c>
      <c r="H406" s="41">
        <f>H407</f>
        <v>2761.9</v>
      </c>
      <c r="I406" s="41">
        <f t="shared" ref="I406:J408" si="163">I407</f>
        <v>1256.3</v>
      </c>
      <c r="J406" s="41">
        <f t="shared" si="163"/>
        <v>1000</v>
      </c>
    </row>
    <row r="407" spans="1:10" ht="51">
      <c r="A407" s="1"/>
      <c r="B407" s="25"/>
      <c r="C407" s="82" t="s">
        <v>96</v>
      </c>
      <c r="D407" s="16" t="s">
        <v>94</v>
      </c>
      <c r="E407" s="130">
        <v>1510300000</v>
      </c>
      <c r="F407" s="82"/>
      <c r="G407" s="98" t="s">
        <v>583</v>
      </c>
      <c r="H407" s="41">
        <f>H408+H410+H412+H414+H416+H418</f>
        <v>2761.9</v>
      </c>
      <c r="I407" s="41">
        <f t="shared" ref="I407:J407" si="164">I408+I410+I412+I414+I416</f>
        <v>1256.3</v>
      </c>
      <c r="J407" s="41">
        <f t="shared" si="164"/>
        <v>1000</v>
      </c>
    </row>
    <row r="408" spans="1:10" ht="51.75" customHeight="1">
      <c r="A408" s="1"/>
      <c r="B408" s="25"/>
      <c r="C408" s="82" t="s">
        <v>96</v>
      </c>
      <c r="D408" s="16" t="s">
        <v>94</v>
      </c>
      <c r="E408" s="130" t="s">
        <v>584</v>
      </c>
      <c r="F408" s="82"/>
      <c r="G408" s="98" t="s">
        <v>581</v>
      </c>
      <c r="H408" s="41">
        <f>H409</f>
        <v>0</v>
      </c>
      <c r="I408" s="41">
        <f t="shared" si="163"/>
        <v>1256.3</v>
      </c>
      <c r="J408" s="41">
        <f t="shared" si="163"/>
        <v>1000</v>
      </c>
    </row>
    <row r="409" spans="1:10" ht="38.25">
      <c r="A409" s="1"/>
      <c r="B409" s="25"/>
      <c r="C409" s="82" t="s">
        <v>96</v>
      </c>
      <c r="D409" s="16" t="s">
        <v>94</v>
      </c>
      <c r="E409" s="130" t="s">
        <v>584</v>
      </c>
      <c r="F409" s="82" t="s">
        <v>214</v>
      </c>
      <c r="G409" s="98" t="s">
        <v>215</v>
      </c>
      <c r="H409" s="41">
        <f>3243.5-516-2727.5</f>
        <v>0</v>
      </c>
      <c r="I409" s="41">
        <v>1256.3</v>
      </c>
      <c r="J409" s="41">
        <v>1000</v>
      </c>
    </row>
    <row r="410" spans="1:10" ht="51.75" customHeight="1">
      <c r="A410" s="1"/>
      <c r="B410" s="25"/>
      <c r="C410" s="82" t="s">
        <v>96</v>
      </c>
      <c r="D410" s="16" t="s">
        <v>94</v>
      </c>
      <c r="E410" s="130" t="s">
        <v>748</v>
      </c>
      <c r="F410" s="82"/>
      <c r="G410" s="164" t="s">
        <v>721</v>
      </c>
      <c r="H410" s="41">
        <f>H411</f>
        <v>516</v>
      </c>
      <c r="I410" s="41">
        <f t="shared" ref="I410:J410" si="165">I411</f>
        <v>0</v>
      </c>
      <c r="J410" s="41">
        <f t="shared" si="165"/>
        <v>0</v>
      </c>
    </row>
    <row r="411" spans="1:10" ht="38.25">
      <c r="A411" s="1"/>
      <c r="B411" s="25"/>
      <c r="C411" s="82" t="s">
        <v>96</v>
      </c>
      <c r="D411" s="16" t="s">
        <v>94</v>
      </c>
      <c r="E411" s="130" t="s">
        <v>748</v>
      </c>
      <c r="F411" s="82" t="s">
        <v>214</v>
      </c>
      <c r="G411" s="98" t="s">
        <v>215</v>
      </c>
      <c r="H411" s="41">
        <v>516</v>
      </c>
      <c r="I411" s="41">
        <v>0</v>
      </c>
      <c r="J411" s="41">
        <v>0</v>
      </c>
    </row>
    <row r="412" spans="1:10" ht="51" customHeight="1">
      <c r="A412" s="1"/>
      <c r="B412" s="25"/>
      <c r="C412" s="82" t="s">
        <v>96</v>
      </c>
      <c r="D412" s="16" t="s">
        <v>94</v>
      </c>
      <c r="E412" s="130">
        <v>1510319022</v>
      </c>
      <c r="F412" s="82"/>
      <c r="G412" s="164" t="s">
        <v>721</v>
      </c>
      <c r="H412" s="41">
        <f>H413</f>
        <v>525.9</v>
      </c>
      <c r="I412" s="41">
        <f t="shared" ref="I412:J412" si="166">I413</f>
        <v>0</v>
      </c>
      <c r="J412" s="41">
        <f t="shared" si="166"/>
        <v>0</v>
      </c>
    </row>
    <row r="413" spans="1:10" ht="38.25">
      <c r="A413" s="1"/>
      <c r="B413" s="25"/>
      <c r="C413" s="82" t="s">
        <v>96</v>
      </c>
      <c r="D413" s="16" t="s">
        <v>94</v>
      </c>
      <c r="E413" s="130">
        <v>1510319022</v>
      </c>
      <c r="F413" s="82" t="s">
        <v>214</v>
      </c>
      <c r="G413" s="98" t="s">
        <v>215</v>
      </c>
      <c r="H413" s="41">
        <v>525.9</v>
      </c>
      <c r="I413" s="41">
        <v>0</v>
      </c>
      <c r="J413" s="41">
        <v>0</v>
      </c>
    </row>
    <row r="414" spans="1:10" ht="51" customHeight="1">
      <c r="A414" s="1"/>
      <c r="B414" s="25"/>
      <c r="C414" s="82" t="s">
        <v>96</v>
      </c>
      <c r="D414" s="16" t="s">
        <v>94</v>
      </c>
      <c r="E414" s="130">
        <v>1510319322</v>
      </c>
      <c r="F414" s="82"/>
      <c r="G414" s="164" t="s">
        <v>721</v>
      </c>
      <c r="H414" s="41">
        <f>H415</f>
        <v>10</v>
      </c>
      <c r="I414" s="41">
        <f t="shared" ref="I414:J414" si="167">I415</f>
        <v>0</v>
      </c>
      <c r="J414" s="41">
        <f t="shared" si="167"/>
        <v>0</v>
      </c>
    </row>
    <row r="415" spans="1:10" ht="38.25">
      <c r="A415" s="1"/>
      <c r="B415" s="25"/>
      <c r="C415" s="82" t="s">
        <v>96</v>
      </c>
      <c r="D415" s="16" t="s">
        <v>94</v>
      </c>
      <c r="E415" s="130">
        <v>1510319322</v>
      </c>
      <c r="F415" s="82" t="s">
        <v>214</v>
      </c>
      <c r="G415" s="98" t="s">
        <v>215</v>
      </c>
      <c r="H415" s="41">
        <v>10</v>
      </c>
      <c r="I415" s="41">
        <v>0</v>
      </c>
      <c r="J415" s="41">
        <v>0</v>
      </c>
    </row>
    <row r="416" spans="1:10" ht="63.75">
      <c r="A416" s="1"/>
      <c r="B416" s="25"/>
      <c r="C416" s="82" t="s">
        <v>96</v>
      </c>
      <c r="D416" s="16" t="s">
        <v>94</v>
      </c>
      <c r="E416" s="130" t="s">
        <v>772</v>
      </c>
      <c r="F416" s="82"/>
      <c r="G416" s="98" t="s">
        <v>771</v>
      </c>
      <c r="H416" s="41">
        <f>H417</f>
        <v>479.6</v>
      </c>
      <c r="I416" s="41">
        <f t="shared" ref="I416:J416" si="168">I417</f>
        <v>0</v>
      </c>
      <c r="J416" s="41">
        <f t="shared" si="168"/>
        <v>0</v>
      </c>
    </row>
    <row r="417" spans="1:10" ht="38.25">
      <c r="A417" s="1"/>
      <c r="B417" s="25"/>
      <c r="C417" s="82" t="s">
        <v>96</v>
      </c>
      <c r="D417" s="16" t="s">
        <v>94</v>
      </c>
      <c r="E417" s="130" t="s">
        <v>772</v>
      </c>
      <c r="F417" s="82" t="s">
        <v>214</v>
      </c>
      <c r="G417" s="98" t="s">
        <v>215</v>
      </c>
      <c r="H417" s="41">
        <v>479.6</v>
      </c>
      <c r="I417" s="41">
        <v>0</v>
      </c>
      <c r="J417" s="41">
        <v>0</v>
      </c>
    </row>
    <row r="418" spans="1:10" ht="63.75">
      <c r="A418" s="1"/>
      <c r="B418" s="25"/>
      <c r="C418" s="82" t="s">
        <v>96</v>
      </c>
      <c r="D418" s="16" t="s">
        <v>94</v>
      </c>
      <c r="E418" s="130">
        <v>1510319023</v>
      </c>
      <c r="F418" s="82"/>
      <c r="G418" s="98" t="s">
        <v>771</v>
      </c>
      <c r="H418" s="41">
        <f>H419</f>
        <v>1230.4000000000001</v>
      </c>
      <c r="I418" s="41">
        <f t="shared" ref="I418:J418" si="169">I419</f>
        <v>0</v>
      </c>
      <c r="J418" s="41">
        <f t="shared" si="169"/>
        <v>0</v>
      </c>
    </row>
    <row r="419" spans="1:10" ht="38.25">
      <c r="A419" s="1"/>
      <c r="B419" s="25"/>
      <c r="C419" s="82" t="s">
        <v>96</v>
      </c>
      <c r="D419" s="16" t="s">
        <v>94</v>
      </c>
      <c r="E419" s="130">
        <v>1510319023</v>
      </c>
      <c r="F419" s="82" t="s">
        <v>214</v>
      </c>
      <c r="G419" s="98" t="s">
        <v>215</v>
      </c>
      <c r="H419" s="41">
        <v>1230.4000000000001</v>
      </c>
      <c r="I419" s="41">
        <v>0</v>
      </c>
      <c r="J419" s="41">
        <v>0</v>
      </c>
    </row>
    <row r="420" spans="1:10" ht="42.75">
      <c r="A420" s="1"/>
      <c r="B420" s="25"/>
      <c r="C420" s="30" t="s">
        <v>96</v>
      </c>
      <c r="D420" s="30" t="s">
        <v>96</v>
      </c>
      <c r="E420" s="30"/>
      <c r="F420" s="30"/>
      <c r="G420" s="50" t="s">
        <v>501</v>
      </c>
      <c r="H420" s="93">
        <f>H421</f>
        <v>1180.9000000000001</v>
      </c>
      <c r="I420" s="93">
        <f t="shared" ref="I420:J420" si="170">I421</f>
        <v>1180.9000000000001</v>
      </c>
      <c r="J420" s="93">
        <f t="shared" si="170"/>
        <v>1180.9000000000001</v>
      </c>
    </row>
    <row r="421" spans="1:10" ht="63.75">
      <c r="A421" s="1"/>
      <c r="B421" s="25"/>
      <c r="C421" s="5" t="s">
        <v>96</v>
      </c>
      <c r="D421" s="5" t="s">
        <v>96</v>
      </c>
      <c r="E421" s="76">
        <v>400000000</v>
      </c>
      <c r="F421" s="30"/>
      <c r="G421" s="64" t="s">
        <v>388</v>
      </c>
      <c r="H421" s="96">
        <f>H422</f>
        <v>1180.9000000000001</v>
      </c>
      <c r="I421" s="96">
        <f t="shared" ref="I421:J421" si="171">I422</f>
        <v>1180.9000000000001</v>
      </c>
      <c r="J421" s="96">
        <f t="shared" si="171"/>
        <v>1180.9000000000001</v>
      </c>
    </row>
    <row r="422" spans="1:10" ht="129.75" customHeight="1">
      <c r="A422" s="1"/>
      <c r="B422" s="25"/>
      <c r="C422" s="82" t="s">
        <v>96</v>
      </c>
      <c r="D422" s="82" t="s">
        <v>96</v>
      </c>
      <c r="E422" s="75">
        <v>430000000</v>
      </c>
      <c r="F422" s="16"/>
      <c r="G422" s="46" t="s">
        <v>500</v>
      </c>
      <c r="H422" s="39">
        <f>H423</f>
        <v>1180.9000000000001</v>
      </c>
      <c r="I422" s="39">
        <f t="shared" ref="I422:J422" si="172">I423</f>
        <v>1180.9000000000001</v>
      </c>
      <c r="J422" s="39">
        <f t="shared" si="172"/>
        <v>1180.9000000000001</v>
      </c>
    </row>
    <row r="423" spans="1:10" ht="63.75">
      <c r="A423" s="1"/>
      <c r="B423" s="25"/>
      <c r="C423" s="82" t="s">
        <v>96</v>
      </c>
      <c r="D423" s="82" t="s">
        <v>96</v>
      </c>
      <c r="E423" s="74">
        <v>430100000</v>
      </c>
      <c r="F423" s="30"/>
      <c r="G423" s="97" t="s">
        <v>236</v>
      </c>
      <c r="H423" s="39">
        <f>H424+H426</f>
        <v>1180.9000000000001</v>
      </c>
      <c r="I423" s="39">
        <f t="shared" ref="I423:J423" si="173">I424+I426</f>
        <v>1180.9000000000001</v>
      </c>
      <c r="J423" s="39">
        <f t="shared" si="173"/>
        <v>1180.9000000000001</v>
      </c>
    </row>
    <row r="424" spans="1:10" ht="105.75" customHeight="1">
      <c r="A424" s="1"/>
      <c r="B424" s="25"/>
      <c r="C424" s="82" t="s">
        <v>96</v>
      </c>
      <c r="D424" s="82" t="s">
        <v>96</v>
      </c>
      <c r="E424" s="79">
        <v>430127310</v>
      </c>
      <c r="F424" s="16"/>
      <c r="G424" s="98" t="s">
        <v>638</v>
      </c>
      <c r="H424" s="41">
        <f>H425</f>
        <v>1000</v>
      </c>
      <c r="I424" s="41">
        <f>I425</f>
        <v>1000</v>
      </c>
      <c r="J424" s="41">
        <f>J425</f>
        <v>1000</v>
      </c>
    </row>
    <row r="425" spans="1:10" ht="63.75">
      <c r="A425" s="1"/>
      <c r="B425" s="25"/>
      <c r="C425" s="82" t="s">
        <v>96</v>
      </c>
      <c r="D425" s="82" t="s">
        <v>96</v>
      </c>
      <c r="E425" s="79">
        <v>430127310</v>
      </c>
      <c r="F425" s="16" t="s">
        <v>12</v>
      </c>
      <c r="G425" s="98" t="s">
        <v>326</v>
      </c>
      <c r="H425" s="41">
        <v>1000</v>
      </c>
      <c r="I425" s="41">
        <v>1000</v>
      </c>
      <c r="J425" s="41">
        <v>1000</v>
      </c>
    </row>
    <row r="426" spans="1:10" ht="102.75" customHeight="1">
      <c r="A426" s="1"/>
      <c r="B426" s="25"/>
      <c r="C426" s="82" t="s">
        <v>96</v>
      </c>
      <c r="D426" s="82" t="s">
        <v>96</v>
      </c>
      <c r="E426" s="79">
        <v>430127320</v>
      </c>
      <c r="F426" s="16"/>
      <c r="G426" s="98" t="s">
        <v>502</v>
      </c>
      <c r="H426" s="41">
        <f>H427</f>
        <v>180.9</v>
      </c>
      <c r="I426" s="41">
        <f t="shared" ref="I426:J426" si="174">I427</f>
        <v>180.9</v>
      </c>
      <c r="J426" s="41">
        <f t="shared" si="174"/>
        <v>180.9</v>
      </c>
    </row>
    <row r="427" spans="1:10" ht="63.75">
      <c r="A427" s="1"/>
      <c r="B427" s="25"/>
      <c r="C427" s="82" t="s">
        <v>96</v>
      </c>
      <c r="D427" s="82" t="s">
        <v>96</v>
      </c>
      <c r="E427" s="79">
        <v>430127320</v>
      </c>
      <c r="F427" s="16" t="s">
        <v>12</v>
      </c>
      <c r="G427" s="98" t="s">
        <v>326</v>
      </c>
      <c r="H427" s="41">
        <v>180.9</v>
      </c>
      <c r="I427" s="41">
        <v>180.9</v>
      </c>
      <c r="J427" s="41">
        <v>180.9</v>
      </c>
    </row>
    <row r="428" spans="1:10" ht="15.75">
      <c r="A428" s="3"/>
      <c r="B428" s="91"/>
      <c r="C428" s="4" t="s">
        <v>111</v>
      </c>
      <c r="D428" s="3"/>
      <c r="E428" s="3"/>
      <c r="F428" s="3"/>
      <c r="G428" s="49" t="s">
        <v>112</v>
      </c>
      <c r="H428" s="92">
        <f>H429+H435+H445</f>
        <v>42975.5</v>
      </c>
      <c r="I428" s="92">
        <f>I429+I435+I445</f>
        <v>10567.3</v>
      </c>
      <c r="J428" s="92">
        <f>J429+J435+J445</f>
        <v>13970.5</v>
      </c>
    </row>
    <row r="429" spans="1:10" ht="15.75">
      <c r="A429" s="3"/>
      <c r="B429" s="91"/>
      <c r="C429" s="35" t="s">
        <v>111</v>
      </c>
      <c r="D429" s="35" t="s">
        <v>89</v>
      </c>
      <c r="E429" s="35"/>
      <c r="F429" s="35"/>
      <c r="G429" s="45" t="s">
        <v>113</v>
      </c>
      <c r="H429" s="42">
        <f t="shared" ref="H429:J430" si="175">H430</f>
        <v>2338.3000000000002</v>
      </c>
      <c r="I429" s="42">
        <f t="shared" si="175"/>
        <v>1585.3</v>
      </c>
      <c r="J429" s="42">
        <f t="shared" si="175"/>
        <v>1585.3</v>
      </c>
    </row>
    <row r="430" spans="1:10" ht="90">
      <c r="A430" s="3"/>
      <c r="B430" s="91"/>
      <c r="C430" s="5" t="s">
        <v>111</v>
      </c>
      <c r="D430" s="5" t="s">
        <v>89</v>
      </c>
      <c r="E430" s="73" t="s">
        <v>36</v>
      </c>
      <c r="F430" s="3"/>
      <c r="G430" s="142" t="s">
        <v>629</v>
      </c>
      <c r="H430" s="96">
        <f t="shared" si="175"/>
        <v>2338.3000000000002</v>
      </c>
      <c r="I430" s="96">
        <f t="shared" si="175"/>
        <v>1585.3</v>
      </c>
      <c r="J430" s="96">
        <f t="shared" si="175"/>
        <v>1585.3</v>
      </c>
    </row>
    <row r="431" spans="1:10" ht="26.25">
      <c r="A431" s="3"/>
      <c r="B431" s="91"/>
      <c r="C431" s="16" t="s">
        <v>111</v>
      </c>
      <c r="D431" s="16" t="s">
        <v>89</v>
      </c>
      <c r="E431" s="52" t="s">
        <v>38</v>
      </c>
      <c r="F431" s="3"/>
      <c r="G431" s="46" t="s">
        <v>81</v>
      </c>
      <c r="H431" s="93">
        <f>H433</f>
        <v>2338.3000000000002</v>
      </c>
      <c r="I431" s="93">
        <f t="shared" ref="I431:J431" si="176">I433</f>
        <v>1585.3</v>
      </c>
      <c r="J431" s="93">
        <f t="shared" si="176"/>
        <v>1585.3</v>
      </c>
    </row>
    <row r="432" spans="1:10" ht="39">
      <c r="A432" s="3"/>
      <c r="B432" s="91"/>
      <c r="C432" s="16" t="s">
        <v>111</v>
      </c>
      <c r="D432" s="16" t="s">
        <v>89</v>
      </c>
      <c r="E432" s="21" t="s">
        <v>283</v>
      </c>
      <c r="F432" s="3"/>
      <c r="G432" s="104" t="s">
        <v>753</v>
      </c>
      <c r="H432" s="39">
        <f t="shared" ref="H432:J433" si="177">H433</f>
        <v>2338.3000000000002</v>
      </c>
      <c r="I432" s="39">
        <f t="shared" si="177"/>
        <v>1585.3</v>
      </c>
      <c r="J432" s="39">
        <f t="shared" si="177"/>
        <v>1585.3</v>
      </c>
    </row>
    <row r="433" spans="1:10" ht="26.25">
      <c r="A433" s="3"/>
      <c r="B433" s="91"/>
      <c r="C433" s="16" t="s">
        <v>111</v>
      </c>
      <c r="D433" s="16" t="s">
        <v>89</v>
      </c>
      <c r="E433" s="79">
        <v>1320225100</v>
      </c>
      <c r="F433" s="3"/>
      <c r="G433" s="99" t="s">
        <v>371</v>
      </c>
      <c r="H433" s="41">
        <f t="shared" si="177"/>
        <v>2338.3000000000002</v>
      </c>
      <c r="I433" s="41">
        <f t="shared" si="177"/>
        <v>1585.3</v>
      </c>
      <c r="J433" s="41">
        <f t="shared" si="177"/>
        <v>1585.3</v>
      </c>
    </row>
    <row r="434" spans="1:10" ht="25.5">
      <c r="A434" s="3"/>
      <c r="B434" s="91"/>
      <c r="C434" s="16" t="s">
        <v>111</v>
      </c>
      <c r="D434" s="16" t="s">
        <v>89</v>
      </c>
      <c r="E434" s="79">
        <v>1320225100</v>
      </c>
      <c r="F434" s="82" t="s">
        <v>284</v>
      </c>
      <c r="G434" s="98" t="s">
        <v>285</v>
      </c>
      <c r="H434" s="39">
        <f>1585.3+753</f>
        <v>2338.3000000000002</v>
      </c>
      <c r="I434" s="39">
        <v>1585.3</v>
      </c>
      <c r="J434" s="39">
        <v>1585.3</v>
      </c>
    </row>
    <row r="435" spans="1:10" ht="15.75">
      <c r="A435" s="3"/>
      <c r="B435" s="91"/>
      <c r="C435" s="35" t="s">
        <v>111</v>
      </c>
      <c r="D435" s="35" t="s">
        <v>94</v>
      </c>
      <c r="E435" s="35"/>
      <c r="F435" s="35"/>
      <c r="G435" s="45" t="s">
        <v>117</v>
      </c>
      <c r="H435" s="42">
        <f>H436+H441</f>
        <v>738</v>
      </c>
      <c r="I435" s="42">
        <f t="shared" ref="I435:J435" si="178">I436+I441</f>
        <v>638</v>
      </c>
      <c r="J435" s="42">
        <f t="shared" si="178"/>
        <v>638</v>
      </c>
    </row>
    <row r="436" spans="1:10" ht="90">
      <c r="A436" s="3"/>
      <c r="B436" s="91"/>
      <c r="C436" s="5" t="s">
        <v>111</v>
      </c>
      <c r="D436" s="5" t="s">
        <v>94</v>
      </c>
      <c r="E436" s="73" t="s">
        <v>36</v>
      </c>
      <c r="F436" s="3"/>
      <c r="G436" s="142" t="s">
        <v>629</v>
      </c>
      <c r="H436" s="59">
        <f t="shared" ref="H436:J436" si="179">H437</f>
        <v>688</v>
      </c>
      <c r="I436" s="59">
        <f t="shared" si="179"/>
        <v>638</v>
      </c>
      <c r="J436" s="59">
        <f t="shared" si="179"/>
        <v>638</v>
      </c>
    </row>
    <row r="437" spans="1:10" ht="26.25">
      <c r="A437" s="3"/>
      <c r="B437" s="91"/>
      <c r="C437" s="47" t="s">
        <v>111</v>
      </c>
      <c r="D437" s="47" t="s">
        <v>94</v>
      </c>
      <c r="E437" s="52" t="s">
        <v>38</v>
      </c>
      <c r="F437" s="16"/>
      <c r="G437" s="46" t="s">
        <v>81</v>
      </c>
      <c r="H437" s="93">
        <f>H439</f>
        <v>688</v>
      </c>
      <c r="I437" s="93">
        <f t="shared" ref="I437:J437" si="180">I439</f>
        <v>638</v>
      </c>
      <c r="J437" s="93">
        <f t="shared" si="180"/>
        <v>638</v>
      </c>
    </row>
    <row r="438" spans="1:10" ht="51.75">
      <c r="A438" s="3"/>
      <c r="B438" s="91"/>
      <c r="C438" s="16" t="s">
        <v>111</v>
      </c>
      <c r="D438" s="16" t="s">
        <v>94</v>
      </c>
      <c r="E438" s="21" t="s">
        <v>283</v>
      </c>
      <c r="F438" s="16"/>
      <c r="G438" s="104" t="s">
        <v>306</v>
      </c>
      <c r="H438" s="41">
        <f t="shared" ref="H438:J439" si="181">H439</f>
        <v>688</v>
      </c>
      <c r="I438" s="41">
        <f t="shared" si="181"/>
        <v>638</v>
      </c>
      <c r="J438" s="41">
        <f t="shared" si="181"/>
        <v>638</v>
      </c>
    </row>
    <row r="439" spans="1:10" ht="63.75">
      <c r="A439" s="3"/>
      <c r="B439" s="91"/>
      <c r="C439" s="16" t="s">
        <v>111</v>
      </c>
      <c r="D439" s="16" t="s">
        <v>94</v>
      </c>
      <c r="E439" s="79">
        <v>1320127100</v>
      </c>
      <c r="F439" s="16"/>
      <c r="G439" s="98" t="s">
        <v>3</v>
      </c>
      <c r="H439" s="41">
        <f t="shared" si="181"/>
        <v>688</v>
      </c>
      <c r="I439" s="41">
        <f t="shared" si="181"/>
        <v>638</v>
      </c>
      <c r="J439" s="41">
        <f t="shared" si="181"/>
        <v>638</v>
      </c>
    </row>
    <row r="440" spans="1:10" ht="77.25">
      <c r="A440" s="3"/>
      <c r="B440" s="91"/>
      <c r="C440" s="16" t="s">
        <v>111</v>
      </c>
      <c r="D440" s="16" t="s">
        <v>94</v>
      </c>
      <c r="E440" s="79">
        <v>1320127100</v>
      </c>
      <c r="F440" s="16" t="s">
        <v>19</v>
      </c>
      <c r="G440" s="99" t="s">
        <v>369</v>
      </c>
      <c r="H440" s="41">
        <v>688</v>
      </c>
      <c r="I440" s="41">
        <v>638</v>
      </c>
      <c r="J440" s="41">
        <v>638</v>
      </c>
    </row>
    <row r="441" spans="1:10" ht="25.5">
      <c r="A441" s="3"/>
      <c r="B441" s="91"/>
      <c r="C441" s="5" t="s">
        <v>111</v>
      </c>
      <c r="D441" s="5" t="s">
        <v>94</v>
      </c>
      <c r="E441" s="83">
        <v>9900000000</v>
      </c>
      <c r="F441" s="5"/>
      <c r="G441" s="84" t="s">
        <v>145</v>
      </c>
      <c r="H441" s="62">
        <f>H442</f>
        <v>50</v>
      </c>
      <c r="I441" s="62">
        <f t="shared" ref="I441:J441" si="182">I442</f>
        <v>0</v>
      </c>
      <c r="J441" s="62">
        <f t="shared" si="182"/>
        <v>0</v>
      </c>
    </row>
    <row r="442" spans="1:10" ht="15.75">
      <c r="A442" s="3"/>
      <c r="B442" s="91"/>
      <c r="C442" s="16" t="s">
        <v>111</v>
      </c>
      <c r="D442" s="16" t="s">
        <v>94</v>
      </c>
      <c r="E442" s="79">
        <v>9920000000</v>
      </c>
      <c r="F442" s="35"/>
      <c r="G442" s="126" t="s">
        <v>5</v>
      </c>
      <c r="H442" s="94">
        <f t="shared" ref="H442:J443" si="183">H443</f>
        <v>50</v>
      </c>
      <c r="I442" s="94">
        <f t="shared" si="183"/>
        <v>0</v>
      </c>
      <c r="J442" s="94">
        <f t="shared" si="183"/>
        <v>0</v>
      </c>
    </row>
    <row r="443" spans="1:10" ht="26.25">
      <c r="A443" s="3"/>
      <c r="B443" s="91"/>
      <c r="C443" s="16" t="s">
        <v>111</v>
      </c>
      <c r="D443" s="16" t="s">
        <v>94</v>
      </c>
      <c r="E443" s="79">
        <v>9920026100</v>
      </c>
      <c r="F443" s="21"/>
      <c r="G443" s="99" t="s">
        <v>11</v>
      </c>
      <c r="H443" s="39">
        <f t="shared" si="183"/>
        <v>50</v>
      </c>
      <c r="I443" s="39">
        <f t="shared" si="183"/>
        <v>0</v>
      </c>
      <c r="J443" s="39">
        <f t="shared" si="183"/>
        <v>0</v>
      </c>
    </row>
    <row r="444" spans="1:10" ht="15.75">
      <c r="A444" s="3"/>
      <c r="B444" s="91"/>
      <c r="C444" s="16" t="s">
        <v>111</v>
      </c>
      <c r="D444" s="16" t="s">
        <v>94</v>
      </c>
      <c r="E444" s="79">
        <v>9920026100</v>
      </c>
      <c r="F444" s="82" t="s">
        <v>82</v>
      </c>
      <c r="G444" s="98" t="s">
        <v>83</v>
      </c>
      <c r="H444" s="39">
        <v>50</v>
      </c>
      <c r="I444" s="39">
        <v>0</v>
      </c>
      <c r="J444" s="39">
        <v>0</v>
      </c>
    </row>
    <row r="445" spans="1:10" ht="14.25">
      <c r="A445" s="1"/>
      <c r="B445" s="25"/>
      <c r="C445" s="35" t="s">
        <v>111</v>
      </c>
      <c r="D445" s="35" t="s">
        <v>95</v>
      </c>
      <c r="E445" s="35"/>
      <c r="F445" s="38"/>
      <c r="G445" s="50" t="s">
        <v>13</v>
      </c>
      <c r="H445" s="40">
        <f t="shared" ref="H445:J446" si="184">H446</f>
        <v>39899.199999999997</v>
      </c>
      <c r="I445" s="40">
        <f t="shared" si="184"/>
        <v>8344</v>
      </c>
      <c r="J445" s="40">
        <f t="shared" si="184"/>
        <v>11747.199999999999</v>
      </c>
    </row>
    <row r="446" spans="1:10" ht="90">
      <c r="A446" s="1"/>
      <c r="B446" s="25"/>
      <c r="C446" s="5" t="s">
        <v>111</v>
      </c>
      <c r="D446" s="5" t="s">
        <v>95</v>
      </c>
      <c r="E446" s="73" t="s">
        <v>36</v>
      </c>
      <c r="F446" s="3"/>
      <c r="G446" s="142" t="s">
        <v>629</v>
      </c>
      <c r="H446" s="96">
        <f t="shared" si="184"/>
        <v>39899.199999999997</v>
      </c>
      <c r="I446" s="96">
        <f t="shared" si="184"/>
        <v>8344</v>
      </c>
      <c r="J446" s="96">
        <f t="shared" si="184"/>
        <v>11747.199999999999</v>
      </c>
    </row>
    <row r="447" spans="1:10" ht="25.5">
      <c r="A447" s="1"/>
      <c r="B447" s="25"/>
      <c r="C447" s="47" t="s">
        <v>111</v>
      </c>
      <c r="D447" s="47" t="s">
        <v>95</v>
      </c>
      <c r="E447" s="52" t="s">
        <v>37</v>
      </c>
      <c r="F447" s="35"/>
      <c r="G447" s="46" t="s">
        <v>84</v>
      </c>
      <c r="H447" s="93">
        <f>H448+H453+H458</f>
        <v>39899.199999999997</v>
      </c>
      <c r="I447" s="93">
        <f t="shared" ref="I447:J447" si="185">I448+I453+I458</f>
        <v>8344</v>
      </c>
      <c r="J447" s="93">
        <f t="shared" si="185"/>
        <v>11747.199999999999</v>
      </c>
    </row>
    <row r="448" spans="1:10" ht="39">
      <c r="A448" s="1"/>
      <c r="B448" s="25"/>
      <c r="C448" s="16" t="s">
        <v>111</v>
      </c>
      <c r="D448" s="16" t="s">
        <v>95</v>
      </c>
      <c r="E448" s="21" t="s">
        <v>280</v>
      </c>
      <c r="F448" s="3"/>
      <c r="G448" s="104" t="s">
        <v>281</v>
      </c>
      <c r="H448" s="41">
        <f>H449+H451</f>
        <v>3431.1000000000004</v>
      </c>
      <c r="I448" s="41">
        <f t="shared" ref="I448:J448" si="186">I449+I451</f>
        <v>686.2</v>
      </c>
      <c r="J448" s="41">
        <f t="shared" si="186"/>
        <v>857.8</v>
      </c>
    </row>
    <row r="449" spans="1:10" ht="39">
      <c r="A449" s="1"/>
      <c r="B449" s="25"/>
      <c r="C449" s="16" t="s">
        <v>111</v>
      </c>
      <c r="D449" s="16" t="s">
        <v>95</v>
      </c>
      <c r="E449" s="21" t="s">
        <v>311</v>
      </c>
      <c r="F449" s="3"/>
      <c r="G449" s="128" t="s">
        <v>204</v>
      </c>
      <c r="H449" s="41">
        <f t="shared" ref="H449:J449" si="187">H450</f>
        <v>686.2</v>
      </c>
      <c r="I449" s="41">
        <f t="shared" si="187"/>
        <v>686.2</v>
      </c>
      <c r="J449" s="41">
        <f t="shared" si="187"/>
        <v>857.8</v>
      </c>
    </row>
    <row r="450" spans="1:10">
      <c r="A450" s="1"/>
      <c r="B450" s="25"/>
      <c r="C450" s="16" t="s">
        <v>111</v>
      </c>
      <c r="D450" s="16" t="s">
        <v>95</v>
      </c>
      <c r="E450" s="21" t="s">
        <v>311</v>
      </c>
      <c r="F450" s="82" t="s">
        <v>253</v>
      </c>
      <c r="G450" s="102" t="s">
        <v>252</v>
      </c>
      <c r="H450" s="41">
        <v>686.2</v>
      </c>
      <c r="I450" s="41">
        <v>686.2</v>
      </c>
      <c r="J450" s="41">
        <v>857.8</v>
      </c>
    </row>
    <row r="451" spans="1:10" ht="38.25">
      <c r="A451" s="1"/>
      <c r="B451" s="25"/>
      <c r="C451" s="16" t="s">
        <v>111</v>
      </c>
      <c r="D451" s="16" t="s">
        <v>95</v>
      </c>
      <c r="E451" s="21" t="s">
        <v>723</v>
      </c>
      <c r="F451" s="82"/>
      <c r="G451" s="124" t="s">
        <v>724</v>
      </c>
      <c r="H451" s="41">
        <f>H452</f>
        <v>2744.9</v>
      </c>
      <c r="I451" s="41">
        <f t="shared" ref="I451:J451" si="188">I452</f>
        <v>0</v>
      </c>
      <c r="J451" s="41">
        <f t="shared" si="188"/>
        <v>0</v>
      </c>
    </row>
    <row r="452" spans="1:10">
      <c r="A452" s="1"/>
      <c r="B452" s="25"/>
      <c r="C452" s="16" t="s">
        <v>111</v>
      </c>
      <c r="D452" s="16" t="s">
        <v>95</v>
      </c>
      <c r="E452" s="21" t="s">
        <v>723</v>
      </c>
      <c r="F452" s="82" t="s">
        <v>253</v>
      </c>
      <c r="G452" s="102" t="s">
        <v>252</v>
      </c>
      <c r="H452" s="41">
        <v>2744.9</v>
      </c>
      <c r="I452" s="41">
        <v>0</v>
      </c>
      <c r="J452" s="41">
        <v>0</v>
      </c>
    </row>
    <row r="453" spans="1:10" ht="89.25">
      <c r="A453" s="1"/>
      <c r="B453" s="25"/>
      <c r="C453" s="16" t="s">
        <v>111</v>
      </c>
      <c r="D453" s="16" t="s">
        <v>95</v>
      </c>
      <c r="E453" s="21" t="s">
        <v>282</v>
      </c>
      <c r="F453" s="35"/>
      <c r="G453" s="97" t="s">
        <v>603</v>
      </c>
      <c r="H453" s="39">
        <f t="shared" ref="H453:I453" si="189">H454+H456</f>
        <v>22416.6</v>
      </c>
      <c r="I453" s="39">
        <f t="shared" si="189"/>
        <v>4803.6000000000004</v>
      </c>
      <c r="J453" s="39">
        <f t="shared" ref="J453" si="190">J454+J456</f>
        <v>8005.9</v>
      </c>
    </row>
    <row r="454" spans="1:10" ht="51">
      <c r="A454" s="1"/>
      <c r="B454" s="25"/>
      <c r="C454" s="16" t="s">
        <v>111</v>
      </c>
      <c r="D454" s="16" t="s">
        <v>95</v>
      </c>
      <c r="E454" s="79">
        <v>1310210820</v>
      </c>
      <c r="F454" s="16"/>
      <c r="G454" s="98" t="s">
        <v>169</v>
      </c>
      <c r="H454" s="39">
        <f>H455</f>
        <v>14410.7</v>
      </c>
      <c r="I454" s="39">
        <f>I455</f>
        <v>0</v>
      </c>
      <c r="J454" s="39">
        <f>J455</f>
        <v>0</v>
      </c>
    </row>
    <row r="455" spans="1:10">
      <c r="A455" s="1"/>
      <c r="B455" s="25"/>
      <c r="C455" s="16" t="s">
        <v>111</v>
      </c>
      <c r="D455" s="16" t="s">
        <v>95</v>
      </c>
      <c r="E455" s="79">
        <v>1310210820</v>
      </c>
      <c r="F455" s="82" t="s">
        <v>253</v>
      </c>
      <c r="G455" s="102" t="s">
        <v>252</v>
      </c>
      <c r="H455" s="39">
        <f>4803.6+9607.1</f>
        <v>14410.7</v>
      </c>
      <c r="I455" s="39">
        <v>0</v>
      </c>
      <c r="J455" s="39">
        <v>0</v>
      </c>
    </row>
    <row r="456" spans="1:10" ht="38.25">
      <c r="A456" s="1"/>
      <c r="B456" s="25"/>
      <c r="C456" s="16" t="s">
        <v>111</v>
      </c>
      <c r="D456" s="16" t="s">
        <v>95</v>
      </c>
      <c r="E456" s="79" t="s">
        <v>344</v>
      </c>
      <c r="F456" s="16"/>
      <c r="G456" s="98" t="s">
        <v>318</v>
      </c>
      <c r="H456" s="39">
        <f>H457</f>
        <v>8005.9</v>
      </c>
      <c r="I456" s="39">
        <f>I457</f>
        <v>4803.6000000000004</v>
      </c>
      <c r="J456" s="39">
        <f>J457</f>
        <v>8005.9</v>
      </c>
    </row>
    <row r="457" spans="1:10">
      <c r="A457" s="1"/>
      <c r="B457" s="25"/>
      <c r="C457" s="16" t="s">
        <v>111</v>
      </c>
      <c r="D457" s="16" t="s">
        <v>95</v>
      </c>
      <c r="E457" s="79" t="s">
        <v>344</v>
      </c>
      <c r="F457" s="82" t="s">
        <v>253</v>
      </c>
      <c r="G457" s="102" t="s">
        <v>252</v>
      </c>
      <c r="H457" s="39">
        <f>17613-9607.1</f>
        <v>8005.9</v>
      </c>
      <c r="I457" s="39">
        <v>4803.6000000000004</v>
      </c>
      <c r="J457" s="39">
        <v>8005.9</v>
      </c>
    </row>
    <row r="458" spans="1:10" ht="27" customHeight="1">
      <c r="A458" s="1"/>
      <c r="B458" s="25"/>
      <c r="C458" s="16" t="s">
        <v>111</v>
      </c>
      <c r="D458" s="16" t="s">
        <v>95</v>
      </c>
      <c r="E458" s="21" t="s">
        <v>305</v>
      </c>
      <c r="F458" s="82"/>
      <c r="G458" s="104" t="s">
        <v>684</v>
      </c>
      <c r="H458" s="41">
        <f t="shared" ref="H458:J459" si="191">H459</f>
        <v>14051.5</v>
      </c>
      <c r="I458" s="41">
        <f t="shared" si="191"/>
        <v>2854.2000000000003</v>
      </c>
      <c r="J458" s="41">
        <f t="shared" si="191"/>
        <v>2883.5</v>
      </c>
    </row>
    <row r="459" spans="1:10" ht="51">
      <c r="A459" s="1"/>
      <c r="B459" s="25"/>
      <c r="C459" s="16" t="s">
        <v>111</v>
      </c>
      <c r="D459" s="16" t="s">
        <v>95</v>
      </c>
      <c r="E459" s="74" t="s">
        <v>338</v>
      </c>
      <c r="F459" s="16"/>
      <c r="G459" s="98" t="s">
        <v>325</v>
      </c>
      <c r="H459" s="94">
        <f t="shared" si="191"/>
        <v>14051.5</v>
      </c>
      <c r="I459" s="94">
        <f t="shared" si="191"/>
        <v>2854.2000000000003</v>
      </c>
      <c r="J459" s="94">
        <f t="shared" si="191"/>
        <v>2883.5</v>
      </c>
    </row>
    <row r="460" spans="1:10" ht="38.25">
      <c r="A460" s="1"/>
      <c r="B460" s="25"/>
      <c r="C460" s="16" t="s">
        <v>111</v>
      </c>
      <c r="D460" s="16" t="s">
        <v>95</v>
      </c>
      <c r="E460" s="74" t="s">
        <v>338</v>
      </c>
      <c r="F460" s="82" t="s">
        <v>265</v>
      </c>
      <c r="G460" s="98" t="s">
        <v>254</v>
      </c>
      <c r="H460" s="94">
        <f>2810.3+11241.2</f>
        <v>14051.5</v>
      </c>
      <c r="I460" s="94">
        <f>2810.3+43.9</f>
        <v>2854.2000000000003</v>
      </c>
      <c r="J460" s="94">
        <v>2883.5</v>
      </c>
    </row>
    <row r="461" spans="1:10" ht="16.5" customHeight="1">
      <c r="A461" s="1"/>
      <c r="B461" s="25"/>
      <c r="C461" s="4" t="s">
        <v>123</v>
      </c>
      <c r="D461" s="3"/>
      <c r="E461" s="3"/>
      <c r="F461" s="3"/>
      <c r="G461" s="49" t="s">
        <v>8</v>
      </c>
      <c r="H461" s="92">
        <f t="shared" ref="H461:J461" si="192">H462</f>
        <v>3836.5</v>
      </c>
      <c r="I461" s="92">
        <f t="shared" si="192"/>
        <v>3536.5</v>
      </c>
      <c r="J461" s="92">
        <f t="shared" si="192"/>
        <v>3536.5</v>
      </c>
    </row>
    <row r="462" spans="1:10" ht="28.5">
      <c r="A462" s="1"/>
      <c r="B462" s="25"/>
      <c r="C462" s="35" t="s">
        <v>123</v>
      </c>
      <c r="D462" s="35" t="s">
        <v>95</v>
      </c>
      <c r="E462" s="35"/>
      <c r="F462" s="35"/>
      <c r="G462" s="50" t="s">
        <v>14</v>
      </c>
      <c r="H462" s="40">
        <f t="shared" ref="H462" si="193">H464</f>
        <v>3836.5</v>
      </c>
      <c r="I462" s="40">
        <f t="shared" ref="I462:J462" si="194">I464</f>
        <v>3536.5</v>
      </c>
      <c r="J462" s="40">
        <f t="shared" si="194"/>
        <v>3536.5</v>
      </c>
    </row>
    <row r="463" spans="1:10" ht="89.25">
      <c r="A463" s="1"/>
      <c r="B463" s="25"/>
      <c r="C463" s="16" t="s">
        <v>123</v>
      </c>
      <c r="D463" s="16" t="s">
        <v>95</v>
      </c>
      <c r="E463" s="74">
        <v>400000000</v>
      </c>
      <c r="F463" s="30"/>
      <c r="G463" s="142" t="s">
        <v>619</v>
      </c>
      <c r="H463" s="96">
        <f t="shared" ref="H463:J463" si="195">H464</f>
        <v>3836.5</v>
      </c>
      <c r="I463" s="96">
        <f t="shared" si="195"/>
        <v>3536.5</v>
      </c>
      <c r="J463" s="96">
        <f t="shared" si="195"/>
        <v>3536.5</v>
      </c>
    </row>
    <row r="464" spans="1:10" ht="51">
      <c r="A464" s="1"/>
      <c r="B464" s="25"/>
      <c r="C464" s="47" t="s">
        <v>123</v>
      </c>
      <c r="D464" s="47" t="s">
        <v>95</v>
      </c>
      <c r="E464" s="75">
        <v>420000000</v>
      </c>
      <c r="F464" s="30"/>
      <c r="G464" s="46" t="s">
        <v>235</v>
      </c>
      <c r="H464" s="93">
        <f>H465+H474</f>
        <v>3836.5</v>
      </c>
      <c r="I464" s="93">
        <f t="shared" ref="I464:J464" si="196">I465+I474</f>
        <v>3536.5</v>
      </c>
      <c r="J464" s="93">
        <f t="shared" si="196"/>
        <v>3536.5</v>
      </c>
    </row>
    <row r="465" spans="1:10" ht="117" customHeight="1">
      <c r="A465" s="1"/>
      <c r="B465" s="25"/>
      <c r="C465" s="16" t="s">
        <v>123</v>
      </c>
      <c r="D465" s="16" t="s">
        <v>95</v>
      </c>
      <c r="E465" s="74">
        <v>420100000</v>
      </c>
      <c r="F465" s="16"/>
      <c r="G465" s="97" t="s">
        <v>493</v>
      </c>
      <c r="H465" s="41">
        <f>H466+H468+H470+H472</f>
        <v>2824.4</v>
      </c>
      <c r="I465" s="41">
        <f t="shared" ref="I465:J465" si="197">I466+I468+I470+I472</f>
        <v>2524.4</v>
      </c>
      <c r="J465" s="41">
        <f t="shared" si="197"/>
        <v>2524.4</v>
      </c>
    </row>
    <row r="466" spans="1:10" ht="51">
      <c r="A466" s="1"/>
      <c r="B466" s="25"/>
      <c r="C466" s="16" t="s">
        <v>123</v>
      </c>
      <c r="D466" s="16" t="s">
        <v>95</v>
      </c>
      <c r="E466" s="74" t="s">
        <v>494</v>
      </c>
      <c r="F466" s="16"/>
      <c r="G466" s="98" t="s">
        <v>361</v>
      </c>
      <c r="H466" s="41">
        <f>H467</f>
        <v>600</v>
      </c>
      <c r="I466" s="41">
        <f t="shared" ref="I466:J466" si="198">I467</f>
        <v>300</v>
      </c>
      <c r="J466" s="41">
        <f t="shared" si="198"/>
        <v>300</v>
      </c>
    </row>
    <row r="467" spans="1:10" ht="76.5">
      <c r="A467" s="1"/>
      <c r="B467" s="25"/>
      <c r="C467" s="16" t="s">
        <v>123</v>
      </c>
      <c r="D467" s="16" t="s">
        <v>95</v>
      </c>
      <c r="E467" s="74" t="s">
        <v>494</v>
      </c>
      <c r="F467" s="16" t="s">
        <v>19</v>
      </c>
      <c r="G467" s="99" t="s">
        <v>369</v>
      </c>
      <c r="H467" s="41">
        <v>600</v>
      </c>
      <c r="I467" s="41">
        <v>300</v>
      </c>
      <c r="J467" s="41">
        <v>300</v>
      </c>
    </row>
    <row r="468" spans="1:10" ht="76.5">
      <c r="A468" s="1"/>
      <c r="B468" s="25"/>
      <c r="C468" s="16" t="s">
        <v>123</v>
      </c>
      <c r="D468" s="16" t="s">
        <v>95</v>
      </c>
      <c r="E468" s="74">
        <v>420123230</v>
      </c>
      <c r="F468" s="16"/>
      <c r="G468" s="99" t="s">
        <v>495</v>
      </c>
      <c r="H468" s="41">
        <f>H469</f>
        <v>1200</v>
      </c>
      <c r="I468" s="41">
        <f t="shared" ref="I468:J468" si="199">I469</f>
        <v>1300</v>
      </c>
      <c r="J468" s="41">
        <f t="shared" si="199"/>
        <v>1300</v>
      </c>
    </row>
    <row r="469" spans="1:10" ht="38.25">
      <c r="A469" s="1"/>
      <c r="B469" s="25"/>
      <c r="C469" s="16" t="s">
        <v>123</v>
      </c>
      <c r="D469" s="16" t="s">
        <v>95</v>
      </c>
      <c r="E469" s="74">
        <v>420123230</v>
      </c>
      <c r="F469" s="82" t="s">
        <v>214</v>
      </c>
      <c r="G469" s="98" t="s">
        <v>215</v>
      </c>
      <c r="H469" s="41">
        <v>1200</v>
      </c>
      <c r="I469" s="41">
        <v>1300</v>
      </c>
      <c r="J469" s="41">
        <v>1300</v>
      </c>
    </row>
    <row r="470" spans="1:10" ht="38.25">
      <c r="A470" s="1"/>
      <c r="B470" s="25"/>
      <c r="C470" s="16" t="s">
        <v>123</v>
      </c>
      <c r="D470" s="16" t="s">
        <v>95</v>
      </c>
      <c r="E470" s="74">
        <v>420110320</v>
      </c>
      <c r="F470" s="1"/>
      <c r="G470" s="135" t="s">
        <v>496</v>
      </c>
      <c r="H470" s="41">
        <f>H471</f>
        <v>924.4</v>
      </c>
      <c r="I470" s="41">
        <f t="shared" ref="I470:J470" si="200">I471</f>
        <v>924.4</v>
      </c>
      <c r="J470" s="41">
        <f t="shared" si="200"/>
        <v>924.4</v>
      </c>
    </row>
    <row r="471" spans="1:10" ht="76.5">
      <c r="A471" s="1"/>
      <c r="B471" s="25"/>
      <c r="C471" s="16" t="s">
        <v>123</v>
      </c>
      <c r="D471" s="16" t="s">
        <v>95</v>
      </c>
      <c r="E471" s="74">
        <v>420110320</v>
      </c>
      <c r="F471" s="16" t="s">
        <v>19</v>
      </c>
      <c r="G471" s="99" t="s">
        <v>369</v>
      </c>
      <c r="H471" s="41">
        <f>895.5+28.9</f>
        <v>924.4</v>
      </c>
      <c r="I471" s="41">
        <f t="shared" ref="I471:J471" si="201">895.5+28.9</f>
        <v>924.4</v>
      </c>
      <c r="J471" s="41">
        <f t="shared" si="201"/>
        <v>924.4</v>
      </c>
    </row>
    <row r="472" spans="1:10" ht="38.25">
      <c r="A472" s="1"/>
      <c r="B472" s="25"/>
      <c r="C472" s="16" t="s">
        <v>123</v>
      </c>
      <c r="D472" s="16" t="s">
        <v>95</v>
      </c>
      <c r="E472" s="74" t="s">
        <v>498</v>
      </c>
      <c r="F472" s="16"/>
      <c r="G472" s="99" t="s">
        <v>499</v>
      </c>
      <c r="H472" s="41">
        <f>H473</f>
        <v>100</v>
      </c>
      <c r="I472" s="41">
        <f t="shared" ref="I472:J472" si="202">I473</f>
        <v>0</v>
      </c>
      <c r="J472" s="41">
        <f t="shared" si="202"/>
        <v>0</v>
      </c>
    </row>
    <row r="473" spans="1:10" ht="76.5">
      <c r="A473" s="1"/>
      <c r="B473" s="25"/>
      <c r="C473" s="16" t="s">
        <v>123</v>
      </c>
      <c r="D473" s="16" t="s">
        <v>95</v>
      </c>
      <c r="E473" s="74" t="s">
        <v>498</v>
      </c>
      <c r="F473" s="16" t="s">
        <v>19</v>
      </c>
      <c r="G473" s="99" t="s">
        <v>369</v>
      </c>
      <c r="H473" s="41">
        <v>100</v>
      </c>
      <c r="I473" s="41">
        <v>0</v>
      </c>
      <c r="J473" s="41">
        <v>0</v>
      </c>
    </row>
    <row r="474" spans="1:10" ht="127.5">
      <c r="A474" s="1"/>
      <c r="B474" s="25"/>
      <c r="C474" s="16" t="s">
        <v>123</v>
      </c>
      <c r="D474" s="16" t="s">
        <v>95</v>
      </c>
      <c r="E474" s="74">
        <v>420200000</v>
      </c>
      <c r="F474" s="16"/>
      <c r="G474" s="97" t="s">
        <v>497</v>
      </c>
      <c r="H474" s="41">
        <f>H475+H477</f>
        <v>1012.0999999999999</v>
      </c>
      <c r="I474" s="41">
        <f t="shared" ref="I474:J474" si="203">I475+I477</f>
        <v>1012.0999999999999</v>
      </c>
      <c r="J474" s="41">
        <f t="shared" si="203"/>
        <v>1012.0999999999999</v>
      </c>
    </row>
    <row r="475" spans="1:10" ht="80.25" customHeight="1">
      <c r="A475" s="1"/>
      <c r="B475" s="25"/>
      <c r="C475" s="16" t="s">
        <v>123</v>
      </c>
      <c r="D475" s="16" t="s">
        <v>95</v>
      </c>
      <c r="E475" s="74">
        <v>420223235</v>
      </c>
      <c r="F475" s="30"/>
      <c r="G475" s="98" t="s">
        <v>171</v>
      </c>
      <c r="H475" s="41">
        <f>H476</f>
        <v>575.29999999999995</v>
      </c>
      <c r="I475" s="41">
        <f>I476</f>
        <v>575.29999999999995</v>
      </c>
      <c r="J475" s="41">
        <f>J476</f>
        <v>575.29999999999995</v>
      </c>
    </row>
    <row r="476" spans="1:10" ht="38.25">
      <c r="A476" s="1"/>
      <c r="B476" s="25"/>
      <c r="C476" s="16" t="s">
        <v>123</v>
      </c>
      <c r="D476" s="16" t="s">
        <v>95</v>
      </c>
      <c r="E476" s="74">
        <v>420223235</v>
      </c>
      <c r="F476" s="82" t="s">
        <v>214</v>
      </c>
      <c r="G476" s="98" t="s">
        <v>215</v>
      </c>
      <c r="H476" s="41">
        <v>575.29999999999995</v>
      </c>
      <c r="I476" s="41">
        <v>575.29999999999995</v>
      </c>
      <c r="J476" s="41">
        <v>575.29999999999995</v>
      </c>
    </row>
    <row r="477" spans="1:10" ht="76.5">
      <c r="A477" s="1"/>
      <c r="B477" s="25"/>
      <c r="C477" s="16" t="s">
        <v>123</v>
      </c>
      <c r="D477" s="16" t="s">
        <v>95</v>
      </c>
      <c r="E477" s="74">
        <v>420223240</v>
      </c>
      <c r="F477" s="82"/>
      <c r="G477" s="98" t="s">
        <v>207</v>
      </c>
      <c r="H477" s="41">
        <f>H478</f>
        <v>436.8</v>
      </c>
      <c r="I477" s="41">
        <f t="shared" ref="I477:J477" si="204">I478</f>
        <v>436.8</v>
      </c>
      <c r="J477" s="41">
        <f t="shared" si="204"/>
        <v>436.8</v>
      </c>
    </row>
    <row r="478" spans="1:10" ht="38.25">
      <c r="A478" s="1"/>
      <c r="B478" s="25"/>
      <c r="C478" s="16" t="s">
        <v>123</v>
      </c>
      <c r="D478" s="16" t="s">
        <v>95</v>
      </c>
      <c r="E478" s="74">
        <v>420223240</v>
      </c>
      <c r="F478" s="82" t="s">
        <v>214</v>
      </c>
      <c r="G478" s="98" t="s">
        <v>215</v>
      </c>
      <c r="H478" s="41">
        <v>436.8</v>
      </c>
      <c r="I478" s="41">
        <v>436.8</v>
      </c>
      <c r="J478" s="41">
        <v>436.8</v>
      </c>
    </row>
    <row r="479" spans="1:10" s="8" customFormat="1" ht="90">
      <c r="A479" s="3">
        <v>4</v>
      </c>
      <c r="B479" s="91">
        <v>929</v>
      </c>
      <c r="C479" s="13"/>
      <c r="D479" s="13"/>
      <c r="E479" s="13"/>
      <c r="F479" s="13"/>
      <c r="G479" s="14" t="s">
        <v>210</v>
      </c>
      <c r="H479" s="59">
        <f>H480+H609</f>
        <v>608290.89999999991</v>
      </c>
      <c r="I479" s="59">
        <f>I480+I609</f>
        <v>613999.89999999991</v>
      </c>
      <c r="J479" s="59">
        <f>J480+J609</f>
        <v>603835.5</v>
      </c>
    </row>
    <row r="480" spans="1:10" ht="15.75">
      <c r="A480" s="3"/>
      <c r="B480" s="91"/>
      <c r="C480" s="4" t="s">
        <v>105</v>
      </c>
      <c r="D480" s="3"/>
      <c r="E480" s="3"/>
      <c r="F480" s="3"/>
      <c r="G480" s="49" t="s">
        <v>106</v>
      </c>
      <c r="H480" s="59">
        <f>H481+H494+H536+H565+H571</f>
        <v>594070.79999999993</v>
      </c>
      <c r="I480" s="59">
        <f>I481+I494+I536+I565+I571</f>
        <v>599779.79999999993</v>
      </c>
      <c r="J480" s="59">
        <f>J481+J494+J536+J565+J571</f>
        <v>589615.4</v>
      </c>
    </row>
    <row r="481" spans="1:10" s="37" customFormat="1" ht="14.25">
      <c r="A481" s="27"/>
      <c r="B481" s="70"/>
      <c r="C481" s="35" t="s">
        <v>105</v>
      </c>
      <c r="D481" s="35" t="s">
        <v>89</v>
      </c>
      <c r="E481" s="35"/>
      <c r="F481" s="35"/>
      <c r="G481" s="45" t="s">
        <v>108</v>
      </c>
      <c r="H481" s="58">
        <f>H482</f>
        <v>159631.79999999999</v>
      </c>
      <c r="I481" s="58">
        <f t="shared" ref="I481:J481" si="205">I482</f>
        <v>159972.80000000002</v>
      </c>
      <c r="J481" s="58">
        <f t="shared" si="205"/>
        <v>159595.70000000001</v>
      </c>
    </row>
    <row r="482" spans="1:10" s="37" customFormat="1" ht="76.5">
      <c r="A482" s="27"/>
      <c r="B482" s="70"/>
      <c r="C482" s="16" t="s">
        <v>105</v>
      </c>
      <c r="D482" s="16" t="s">
        <v>89</v>
      </c>
      <c r="E482" s="21" t="s">
        <v>74</v>
      </c>
      <c r="F482" s="35"/>
      <c r="G482" s="64" t="s">
        <v>615</v>
      </c>
      <c r="H482" s="62">
        <f t="shared" ref="H482:J482" si="206">H483</f>
        <v>159631.79999999999</v>
      </c>
      <c r="I482" s="62">
        <f t="shared" si="206"/>
        <v>159972.80000000002</v>
      </c>
      <c r="J482" s="62">
        <f t="shared" si="206"/>
        <v>159595.70000000001</v>
      </c>
    </row>
    <row r="483" spans="1:10" s="37" customFormat="1" ht="25.5">
      <c r="A483" s="27"/>
      <c r="B483" s="70"/>
      <c r="C483" s="16" t="s">
        <v>105</v>
      </c>
      <c r="D483" s="16" t="s">
        <v>89</v>
      </c>
      <c r="E483" s="52" t="s">
        <v>75</v>
      </c>
      <c r="F483" s="35"/>
      <c r="G483" s="46" t="s">
        <v>402</v>
      </c>
      <c r="H483" s="94">
        <f>H484+H489</f>
        <v>159631.79999999999</v>
      </c>
      <c r="I483" s="94">
        <f t="shared" ref="I483:J483" si="207">I484+I489</f>
        <v>159972.80000000002</v>
      </c>
      <c r="J483" s="94">
        <f t="shared" si="207"/>
        <v>159595.70000000001</v>
      </c>
    </row>
    <row r="484" spans="1:10" s="37" customFormat="1" ht="51">
      <c r="A484" s="27"/>
      <c r="B484" s="70"/>
      <c r="C484" s="56" t="s">
        <v>105</v>
      </c>
      <c r="D484" s="56" t="s">
        <v>89</v>
      </c>
      <c r="E484" s="21" t="s">
        <v>340</v>
      </c>
      <c r="F484" s="35"/>
      <c r="G484" s="97" t="s">
        <v>403</v>
      </c>
      <c r="H484" s="94">
        <f>H485+H487</f>
        <v>159129.09999999998</v>
      </c>
      <c r="I484" s="94">
        <f>I485+I487</f>
        <v>159595.70000000001</v>
      </c>
      <c r="J484" s="94">
        <f>J485+J487</f>
        <v>159595.70000000001</v>
      </c>
    </row>
    <row r="485" spans="1:10" s="37" customFormat="1" ht="54" customHeight="1">
      <c r="A485" s="27"/>
      <c r="B485" s="70"/>
      <c r="C485" s="56" t="s">
        <v>105</v>
      </c>
      <c r="D485" s="56" t="s">
        <v>89</v>
      </c>
      <c r="E485" s="21" t="s">
        <v>392</v>
      </c>
      <c r="F485" s="21"/>
      <c r="G485" s="98" t="s">
        <v>391</v>
      </c>
      <c r="H485" s="94">
        <f>H486</f>
        <v>88408.6</v>
      </c>
      <c r="I485" s="94">
        <f t="shared" ref="I485:J485" si="208">I486</f>
        <v>88408.6</v>
      </c>
      <c r="J485" s="94">
        <f t="shared" si="208"/>
        <v>88408.6</v>
      </c>
    </row>
    <row r="486" spans="1:10" s="37" customFormat="1" ht="14.25">
      <c r="A486" s="27"/>
      <c r="B486" s="70"/>
      <c r="C486" s="56" t="s">
        <v>105</v>
      </c>
      <c r="D486" s="56" t="s">
        <v>89</v>
      </c>
      <c r="E486" s="21" t="s">
        <v>392</v>
      </c>
      <c r="F486" s="21" t="s">
        <v>228</v>
      </c>
      <c r="G486" s="98" t="s">
        <v>227</v>
      </c>
      <c r="H486" s="1">
        <v>88408.6</v>
      </c>
      <c r="I486" s="1">
        <v>88408.6</v>
      </c>
      <c r="J486" s="1">
        <v>88408.6</v>
      </c>
    </row>
    <row r="487" spans="1:10" s="37" customFormat="1" ht="76.5">
      <c r="A487" s="27"/>
      <c r="B487" s="70"/>
      <c r="C487" s="56" t="s">
        <v>105</v>
      </c>
      <c r="D487" s="56" t="s">
        <v>89</v>
      </c>
      <c r="E487" s="132" t="s">
        <v>394</v>
      </c>
      <c r="F487" s="21"/>
      <c r="G487" s="98" t="s">
        <v>393</v>
      </c>
      <c r="H487" s="94">
        <f>H488</f>
        <v>70720.499999999985</v>
      </c>
      <c r="I487" s="94">
        <f t="shared" ref="I487:J487" si="209">I488</f>
        <v>71187.099999999991</v>
      </c>
      <c r="J487" s="94">
        <f t="shared" si="209"/>
        <v>71187.099999999991</v>
      </c>
    </row>
    <row r="488" spans="1:10" s="37" customFormat="1" ht="15">
      <c r="A488" s="27"/>
      <c r="B488" s="70"/>
      <c r="C488" s="56" t="s">
        <v>105</v>
      </c>
      <c r="D488" s="56" t="s">
        <v>89</v>
      </c>
      <c r="E488" s="132" t="s">
        <v>394</v>
      </c>
      <c r="F488" s="21" t="s">
        <v>228</v>
      </c>
      <c r="G488" s="98" t="s">
        <v>227</v>
      </c>
      <c r="H488" s="94">
        <f>68790.2+2396.9-466.6</f>
        <v>70720.499999999985</v>
      </c>
      <c r="I488" s="94">
        <f>68790.2+2396.9</f>
        <v>71187.099999999991</v>
      </c>
      <c r="J488" s="94">
        <f>68790.2+2396.9</f>
        <v>71187.099999999991</v>
      </c>
    </row>
    <row r="489" spans="1:10" s="37" customFormat="1" ht="38.25">
      <c r="A489" s="27"/>
      <c r="B489" s="70"/>
      <c r="C489" s="56" t="s">
        <v>105</v>
      </c>
      <c r="D489" s="56" t="s">
        <v>89</v>
      </c>
      <c r="E489" s="21" t="s">
        <v>287</v>
      </c>
      <c r="F489" s="35"/>
      <c r="G489" s="97" t="s">
        <v>395</v>
      </c>
      <c r="H489" s="94">
        <f>H490+H492</f>
        <v>502.70000000000005</v>
      </c>
      <c r="I489" s="94">
        <f t="shared" ref="I489:J489" si="210">I490+I492</f>
        <v>377.1</v>
      </c>
      <c r="J489" s="94">
        <f t="shared" si="210"/>
        <v>0</v>
      </c>
    </row>
    <row r="490" spans="1:10" s="37" customFormat="1" ht="51">
      <c r="A490" s="27"/>
      <c r="B490" s="70"/>
      <c r="C490" s="56" t="s">
        <v>105</v>
      </c>
      <c r="D490" s="56" t="s">
        <v>89</v>
      </c>
      <c r="E490" s="21" t="s">
        <v>397</v>
      </c>
      <c r="F490" s="57"/>
      <c r="G490" s="97" t="s">
        <v>396</v>
      </c>
      <c r="H490" s="94">
        <f>H491</f>
        <v>502.70000000000005</v>
      </c>
      <c r="I490" s="94">
        <f t="shared" ref="I490:J490" si="211">I491</f>
        <v>227.1</v>
      </c>
      <c r="J490" s="94">
        <f t="shared" si="211"/>
        <v>0</v>
      </c>
    </row>
    <row r="491" spans="1:10" s="37" customFormat="1" ht="14.25">
      <c r="A491" s="27"/>
      <c r="B491" s="70"/>
      <c r="C491" s="56" t="s">
        <v>105</v>
      </c>
      <c r="D491" s="56" t="s">
        <v>89</v>
      </c>
      <c r="E491" s="21" t="s">
        <v>397</v>
      </c>
      <c r="F491" s="21" t="s">
        <v>228</v>
      </c>
      <c r="G491" s="98" t="s">
        <v>227</v>
      </c>
      <c r="H491" s="94">
        <f>227.1+275.6</f>
        <v>502.70000000000005</v>
      </c>
      <c r="I491" s="94">
        <v>227.1</v>
      </c>
      <c r="J491" s="94">
        <v>0</v>
      </c>
    </row>
    <row r="492" spans="1:10" s="37" customFormat="1" ht="63.75">
      <c r="A492" s="27"/>
      <c r="B492" s="70"/>
      <c r="C492" s="56" t="s">
        <v>105</v>
      </c>
      <c r="D492" s="56" t="s">
        <v>89</v>
      </c>
      <c r="E492" s="57" t="s">
        <v>398</v>
      </c>
      <c r="F492" s="21"/>
      <c r="G492" s="98" t="s">
        <v>381</v>
      </c>
      <c r="H492" s="94">
        <f>H493</f>
        <v>0</v>
      </c>
      <c r="I492" s="94">
        <f t="shared" ref="I492:J492" si="212">I493</f>
        <v>150</v>
      </c>
      <c r="J492" s="94">
        <f t="shared" si="212"/>
        <v>0</v>
      </c>
    </row>
    <row r="493" spans="1:10" s="37" customFormat="1" ht="14.25">
      <c r="A493" s="27"/>
      <c r="B493" s="70"/>
      <c r="C493" s="56" t="s">
        <v>105</v>
      </c>
      <c r="D493" s="56" t="s">
        <v>89</v>
      </c>
      <c r="E493" s="57" t="s">
        <v>398</v>
      </c>
      <c r="F493" s="21" t="s">
        <v>228</v>
      </c>
      <c r="G493" s="98" t="s">
        <v>227</v>
      </c>
      <c r="H493" s="94">
        <f>150-150</f>
        <v>0</v>
      </c>
      <c r="I493" s="94">
        <v>150</v>
      </c>
      <c r="J493" s="94">
        <v>0</v>
      </c>
    </row>
    <row r="494" spans="1:10" s="37" customFormat="1" ht="14.25">
      <c r="A494" s="27"/>
      <c r="B494" s="70"/>
      <c r="C494" s="35" t="s">
        <v>105</v>
      </c>
      <c r="D494" s="35" t="s">
        <v>90</v>
      </c>
      <c r="E494" s="35"/>
      <c r="F494" s="35"/>
      <c r="G494" s="45" t="s">
        <v>109</v>
      </c>
      <c r="H494" s="42">
        <f>H495+H533</f>
        <v>373397.4</v>
      </c>
      <c r="I494" s="42">
        <f>I495+I533</f>
        <v>379678.49999999994</v>
      </c>
      <c r="J494" s="42">
        <f>J495+J533</f>
        <v>370095.7</v>
      </c>
    </row>
    <row r="495" spans="1:10" s="37" customFormat="1" ht="77.25">
      <c r="A495" s="27"/>
      <c r="B495" s="70"/>
      <c r="C495" s="16" t="s">
        <v>105</v>
      </c>
      <c r="D495" s="16" t="s">
        <v>90</v>
      </c>
      <c r="E495" s="21" t="s">
        <v>74</v>
      </c>
      <c r="F495" s="35"/>
      <c r="G495" s="64" t="s">
        <v>615</v>
      </c>
      <c r="H495" s="65">
        <f>H496</f>
        <v>373282.4</v>
      </c>
      <c r="I495" s="65">
        <f t="shared" ref="I495:J495" si="213">I496</f>
        <v>379678.49999999994</v>
      </c>
      <c r="J495" s="65">
        <f t="shared" si="213"/>
        <v>370095.7</v>
      </c>
    </row>
    <row r="496" spans="1:10" s="37" customFormat="1" ht="39.75" customHeight="1">
      <c r="A496" s="27"/>
      <c r="B496" s="70"/>
      <c r="C496" s="47" t="s">
        <v>105</v>
      </c>
      <c r="D496" s="47" t="s">
        <v>90</v>
      </c>
      <c r="E496" s="52" t="s">
        <v>76</v>
      </c>
      <c r="F496" s="21"/>
      <c r="G496" s="46" t="s">
        <v>602</v>
      </c>
      <c r="H496" s="94">
        <f>H497+H504+H513+H520+H525+H530</f>
        <v>373282.4</v>
      </c>
      <c r="I496" s="94">
        <f t="shared" ref="I496:J496" si="214">I497+I504+I513+I520+I525+I530</f>
        <v>379678.49999999994</v>
      </c>
      <c r="J496" s="94">
        <f t="shared" si="214"/>
        <v>370095.7</v>
      </c>
    </row>
    <row r="497" spans="1:10" s="37" customFormat="1" ht="65.25" customHeight="1">
      <c r="A497" s="27"/>
      <c r="B497" s="70"/>
      <c r="C497" s="56" t="s">
        <v>105</v>
      </c>
      <c r="D497" s="90" t="s">
        <v>90</v>
      </c>
      <c r="E497" s="21" t="s">
        <v>292</v>
      </c>
      <c r="F497" s="35"/>
      <c r="G497" s="97" t="s">
        <v>404</v>
      </c>
      <c r="H497" s="94">
        <f>H498+H500+H502</f>
        <v>325062.3</v>
      </c>
      <c r="I497" s="94">
        <f>I498+I500+I502</f>
        <v>325062.3</v>
      </c>
      <c r="J497" s="94">
        <f t="shared" ref="J497" si="215">J498+J500+J502</f>
        <v>325062.3</v>
      </c>
    </row>
    <row r="498" spans="1:10" s="37" customFormat="1" ht="76.5">
      <c r="A498" s="27"/>
      <c r="B498" s="70"/>
      <c r="C498" s="56" t="s">
        <v>105</v>
      </c>
      <c r="D498" s="90" t="s">
        <v>90</v>
      </c>
      <c r="E498" s="82" t="s">
        <v>406</v>
      </c>
      <c r="F498" s="82"/>
      <c r="G498" s="98" t="s">
        <v>405</v>
      </c>
      <c r="H498" s="94">
        <f>H499</f>
        <v>222855.8</v>
      </c>
      <c r="I498" s="94">
        <f>I499</f>
        <v>222855.8</v>
      </c>
      <c r="J498" s="94">
        <f>J499</f>
        <v>222855.8</v>
      </c>
    </row>
    <row r="499" spans="1:10" s="37" customFormat="1" ht="14.25">
      <c r="A499" s="27"/>
      <c r="B499" s="70"/>
      <c r="C499" s="56" t="s">
        <v>105</v>
      </c>
      <c r="D499" s="90" t="s">
        <v>90</v>
      </c>
      <c r="E499" s="57" t="s">
        <v>406</v>
      </c>
      <c r="F499" s="21" t="s">
        <v>228</v>
      </c>
      <c r="G499" s="98" t="s">
        <v>227</v>
      </c>
      <c r="H499" s="39">
        <v>222855.8</v>
      </c>
      <c r="I499" s="39">
        <v>222855.8</v>
      </c>
      <c r="J499" s="39">
        <v>222855.8</v>
      </c>
    </row>
    <row r="500" spans="1:10" s="37" customFormat="1" ht="63.75">
      <c r="A500" s="27"/>
      <c r="B500" s="70"/>
      <c r="C500" s="16" t="s">
        <v>105</v>
      </c>
      <c r="D500" s="16" t="s">
        <v>90</v>
      </c>
      <c r="E500" s="57" t="s">
        <v>407</v>
      </c>
      <c r="F500" s="21"/>
      <c r="G500" s="98" t="s">
        <v>291</v>
      </c>
      <c r="H500" s="94">
        <f>H501</f>
        <v>86324</v>
      </c>
      <c r="I500" s="94">
        <f>I501</f>
        <v>86324</v>
      </c>
      <c r="J500" s="94">
        <f>J501</f>
        <v>86324</v>
      </c>
    </row>
    <row r="501" spans="1:10" s="37" customFormat="1" ht="14.25">
      <c r="A501" s="27"/>
      <c r="B501" s="70"/>
      <c r="C501" s="56" t="s">
        <v>105</v>
      </c>
      <c r="D501" s="90" t="s">
        <v>90</v>
      </c>
      <c r="E501" s="57" t="s">
        <v>407</v>
      </c>
      <c r="F501" s="21" t="s">
        <v>228</v>
      </c>
      <c r="G501" s="98" t="s">
        <v>227</v>
      </c>
      <c r="H501" s="94">
        <f>82839.4+3484.6</f>
        <v>86324</v>
      </c>
      <c r="I501" s="94">
        <f>82839.4+3484.6</f>
        <v>86324</v>
      </c>
      <c r="J501" s="94">
        <f>82839.4+3484.6</f>
        <v>86324</v>
      </c>
    </row>
    <row r="502" spans="1:10" s="37" customFormat="1" ht="63.75">
      <c r="A502" s="27"/>
      <c r="B502" s="70"/>
      <c r="C502" s="56" t="s">
        <v>105</v>
      </c>
      <c r="D502" s="90" t="s">
        <v>90</v>
      </c>
      <c r="E502" s="57" t="s">
        <v>409</v>
      </c>
      <c r="F502" s="21"/>
      <c r="G502" s="98" t="s">
        <v>408</v>
      </c>
      <c r="H502" s="94">
        <f>H503</f>
        <v>15882.5</v>
      </c>
      <c r="I502" s="94">
        <f>I503</f>
        <v>15882.5</v>
      </c>
      <c r="J502" s="94">
        <f>J503</f>
        <v>15882.5</v>
      </c>
    </row>
    <row r="503" spans="1:10" s="37" customFormat="1" ht="14.25">
      <c r="A503" s="27"/>
      <c r="B503" s="70"/>
      <c r="C503" s="16" t="s">
        <v>105</v>
      </c>
      <c r="D503" s="16" t="s">
        <v>90</v>
      </c>
      <c r="E503" s="21" t="s">
        <v>409</v>
      </c>
      <c r="F503" s="21" t="s">
        <v>228</v>
      </c>
      <c r="G503" s="98" t="s">
        <v>227</v>
      </c>
      <c r="H503" s="1">
        <v>15882.5</v>
      </c>
      <c r="I503" s="1">
        <v>15882.5</v>
      </c>
      <c r="J503" s="1">
        <v>15882.5</v>
      </c>
    </row>
    <row r="504" spans="1:10" s="37" customFormat="1" ht="38.25">
      <c r="A504" s="27"/>
      <c r="B504" s="70"/>
      <c r="C504" s="16" t="s">
        <v>105</v>
      </c>
      <c r="D504" s="16" t="s">
        <v>90</v>
      </c>
      <c r="E504" s="21" t="s">
        <v>411</v>
      </c>
      <c r="F504" s="82"/>
      <c r="G504" s="97" t="s">
        <v>410</v>
      </c>
      <c r="H504" s="94">
        <f>H505+H507+H509+H511</f>
        <v>845.7</v>
      </c>
      <c r="I504" s="94">
        <f t="shared" ref="I504:J504" si="216">I505+I507+I509+I511</f>
        <v>6215.5</v>
      </c>
      <c r="J504" s="94">
        <f t="shared" si="216"/>
        <v>1642.9</v>
      </c>
    </row>
    <row r="505" spans="1:10" s="37" customFormat="1" ht="51">
      <c r="A505" s="27"/>
      <c r="B505" s="70"/>
      <c r="C505" s="16" t="s">
        <v>105</v>
      </c>
      <c r="D505" s="16" t="s">
        <v>90</v>
      </c>
      <c r="E505" s="57" t="s">
        <v>412</v>
      </c>
      <c r="F505" s="21"/>
      <c r="G505" s="98" t="s">
        <v>413</v>
      </c>
      <c r="H505" s="94">
        <f>H506</f>
        <v>245.7</v>
      </c>
      <c r="I505" s="94">
        <f>I506</f>
        <v>470</v>
      </c>
      <c r="J505" s="94">
        <f>J506</f>
        <v>0</v>
      </c>
    </row>
    <row r="506" spans="1:10" s="37" customFormat="1" ht="14.25">
      <c r="A506" s="27"/>
      <c r="B506" s="70"/>
      <c r="C506" s="16" t="s">
        <v>105</v>
      </c>
      <c r="D506" s="16" t="s">
        <v>90</v>
      </c>
      <c r="E506" s="57" t="s">
        <v>412</v>
      </c>
      <c r="F506" s="21" t="s">
        <v>228</v>
      </c>
      <c r="G506" s="98" t="s">
        <v>227</v>
      </c>
      <c r="H506" s="94">
        <f>273-27.3</f>
        <v>245.7</v>
      </c>
      <c r="I506" s="94">
        <v>470</v>
      </c>
      <c r="J506" s="94">
        <v>0</v>
      </c>
    </row>
    <row r="507" spans="1:10" s="37" customFormat="1" ht="63.75">
      <c r="A507" s="27"/>
      <c r="B507" s="70"/>
      <c r="C507" s="16" t="s">
        <v>105</v>
      </c>
      <c r="D507" s="16" t="s">
        <v>90</v>
      </c>
      <c r="E507" s="57" t="s">
        <v>414</v>
      </c>
      <c r="F507" s="57"/>
      <c r="G507" s="124" t="s">
        <v>415</v>
      </c>
      <c r="H507" s="94">
        <f>H508</f>
        <v>0</v>
      </c>
      <c r="I507" s="94">
        <f>I508</f>
        <v>5245.5</v>
      </c>
      <c r="J507" s="94">
        <f>J508</f>
        <v>1142.9000000000001</v>
      </c>
    </row>
    <row r="508" spans="1:10" s="37" customFormat="1" ht="14.25">
      <c r="A508" s="27"/>
      <c r="B508" s="70"/>
      <c r="C508" s="16" t="s">
        <v>105</v>
      </c>
      <c r="D508" s="16" t="s">
        <v>90</v>
      </c>
      <c r="E508" s="57" t="s">
        <v>414</v>
      </c>
      <c r="F508" s="21" t="s">
        <v>228</v>
      </c>
      <c r="G508" s="98" t="s">
        <v>227</v>
      </c>
      <c r="H508" s="94">
        <v>0</v>
      </c>
      <c r="I508" s="94">
        <v>5245.5</v>
      </c>
      <c r="J508" s="94">
        <v>1142.9000000000001</v>
      </c>
    </row>
    <row r="509" spans="1:10" s="37" customFormat="1" ht="51">
      <c r="A509" s="27"/>
      <c r="B509" s="70"/>
      <c r="C509" s="16" t="s">
        <v>105</v>
      </c>
      <c r="D509" s="16" t="s">
        <v>90</v>
      </c>
      <c r="E509" s="57" t="s">
        <v>666</v>
      </c>
      <c r="F509" s="21"/>
      <c r="G509" s="98" t="s">
        <v>667</v>
      </c>
      <c r="H509" s="94">
        <f>H510</f>
        <v>500</v>
      </c>
      <c r="I509" s="94">
        <f t="shared" ref="I509:J509" si="217">I510</f>
        <v>500</v>
      </c>
      <c r="J509" s="94">
        <f t="shared" si="217"/>
        <v>500</v>
      </c>
    </row>
    <row r="510" spans="1:10" s="37" customFormat="1" ht="14.25">
      <c r="A510" s="27"/>
      <c r="B510" s="70"/>
      <c r="C510" s="16" t="s">
        <v>105</v>
      </c>
      <c r="D510" s="16" t="s">
        <v>90</v>
      </c>
      <c r="E510" s="57" t="s">
        <v>666</v>
      </c>
      <c r="F510" s="21" t="s">
        <v>228</v>
      </c>
      <c r="G510" s="98" t="s">
        <v>227</v>
      </c>
      <c r="H510" s="94">
        <v>500</v>
      </c>
      <c r="I510" s="94">
        <v>500</v>
      </c>
      <c r="J510" s="94">
        <v>500</v>
      </c>
    </row>
    <row r="511" spans="1:10" s="37" customFormat="1" ht="38.25">
      <c r="A511" s="27"/>
      <c r="B511" s="70"/>
      <c r="C511" s="16" t="s">
        <v>105</v>
      </c>
      <c r="D511" s="16" t="s">
        <v>90</v>
      </c>
      <c r="E511" s="165" t="s">
        <v>760</v>
      </c>
      <c r="F511" s="21"/>
      <c r="G511" s="124" t="s">
        <v>761</v>
      </c>
      <c r="H511" s="94">
        <f>H512</f>
        <v>100</v>
      </c>
      <c r="I511" s="94">
        <f t="shared" ref="I511:J511" si="218">I512</f>
        <v>0</v>
      </c>
      <c r="J511" s="94">
        <f t="shared" si="218"/>
        <v>0</v>
      </c>
    </row>
    <row r="512" spans="1:10" s="37" customFormat="1" ht="14.25">
      <c r="A512" s="27"/>
      <c r="B512" s="70"/>
      <c r="C512" s="16" t="s">
        <v>105</v>
      </c>
      <c r="D512" s="16" t="s">
        <v>90</v>
      </c>
      <c r="E512" s="165" t="s">
        <v>760</v>
      </c>
      <c r="F512" s="21" t="s">
        <v>228</v>
      </c>
      <c r="G512" s="98" t="s">
        <v>227</v>
      </c>
      <c r="H512" s="94">
        <v>100</v>
      </c>
      <c r="I512" s="94">
        <v>0</v>
      </c>
      <c r="J512" s="94">
        <v>0</v>
      </c>
    </row>
    <row r="513" spans="1:10" s="37" customFormat="1" ht="63.75">
      <c r="A513" s="27"/>
      <c r="B513" s="70"/>
      <c r="C513" s="16" t="s">
        <v>105</v>
      </c>
      <c r="D513" s="16" t="s">
        <v>90</v>
      </c>
      <c r="E513" s="21" t="s">
        <v>416</v>
      </c>
      <c r="F513" s="21"/>
      <c r="G513" s="97" t="s">
        <v>418</v>
      </c>
      <c r="H513" s="94">
        <f>H514+H516+H518</f>
        <v>22975</v>
      </c>
      <c r="I513" s="94">
        <f t="shared" ref="I513:J513" si="219">I514+I516+I518</f>
        <v>22975</v>
      </c>
      <c r="J513" s="94">
        <f t="shared" si="219"/>
        <v>22800</v>
      </c>
    </row>
    <row r="514" spans="1:10" s="37" customFormat="1" ht="38.25">
      <c r="A514" s="27"/>
      <c r="B514" s="70"/>
      <c r="C514" s="16" t="s">
        <v>105</v>
      </c>
      <c r="D514" s="16" t="s">
        <v>90</v>
      </c>
      <c r="E514" s="57" t="s">
        <v>417</v>
      </c>
      <c r="F514" s="21"/>
      <c r="G514" s="98" t="s">
        <v>313</v>
      </c>
      <c r="H514" s="94">
        <f>H515</f>
        <v>5249.9</v>
      </c>
      <c r="I514" s="94">
        <f>I515</f>
        <v>5249.9</v>
      </c>
      <c r="J514" s="94">
        <f>J515</f>
        <v>5249.9</v>
      </c>
    </row>
    <row r="515" spans="1:10" s="37" customFormat="1" ht="14.25">
      <c r="A515" s="27"/>
      <c r="B515" s="70"/>
      <c r="C515" s="16" t="s">
        <v>105</v>
      </c>
      <c r="D515" s="16" t="s">
        <v>90</v>
      </c>
      <c r="E515" s="57" t="s">
        <v>417</v>
      </c>
      <c r="F515" s="21" t="s">
        <v>228</v>
      </c>
      <c r="G515" s="98" t="s">
        <v>227</v>
      </c>
      <c r="H515" s="39">
        <v>5249.9</v>
      </c>
      <c r="I515" s="39">
        <v>5249.9</v>
      </c>
      <c r="J515" s="39">
        <v>5249.9</v>
      </c>
    </row>
    <row r="516" spans="1:10" s="37" customFormat="1" ht="76.5">
      <c r="A516" s="27"/>
      <c r="B516" s="70"/>
      <c r="C516" s="16" t="s">
        <v>105</v>
      </c>
      <c r="D516" s="16" t="s">
        <v>90</v>
      </c>
      <c r="E516" s="21" t="s">
        <v>419</v>
      </c>
      <c r="F516" s="21"/>
      <c r="G516" s="98" t="s">
        <v>136</v>
      </c>
      <c r="H516" s="94">
        <f>H517</f>
        <v>17550.099999999999</v>
      </c>
      <c r="I516" s="94">
        <f>I517</f>
        <v>17550.099999999999</v>
      </c>
      <c r="J516" s="94">
        <f>J517</f>
        <v>17550.099999999999</v>
      </c>
    </row>
    <row r="517" spans="1:10" s="37" customFormat="1" ht="14.25">
      <c r="A517" s="27"/>
      <c r="B517" s="70"/>
      <c r="C517" s="82" t="s">
        <v>105</v>
      </c>
      <c r="D517" s="16" t="s">
        <v>90</v>
      </c>
      <c r="E517" s="21" t="s">
        <v>419</v>
      </c>
      <c r="F517" s="21" t="s">
        <v>228</v>
      </c>
      <c r="G517" s="98" t="s">
        <v>227</v>
      </c>
      <c r="H517" s="94">
        <v>17550.099999999999</v>
      </c>
      <c r="I517" s="94">
        <v>17550.099999999999</v>
      </c>
      <c r="J517" s="94">
        <v>17550.099999999999</v>
      </c>
    </row>
    <row r="518" spans="1:10" s="37" customFormat="1" ht="76.5">
      <c r="A518" s="27"/>
      <c r="B518" s="70"/>
      <c r="C518" s="16" t="s">
        <v>105</v>
      </c>
      <c r="D518" s="16" t="s">
        <v>90</v>
      </c>
      <c r="E518" s="21" t="s">
        <v>420</v>
      </c>
      <c r="F518" s="21"/>
      <c r="G518" s="98" t="s">
        <v>613</v>
      </c>
      <c r="H518" s="94">
        <f>H519</f>
        <v>175</v>
      </c>
      <c r="I518" s="94">
        <f>I519</f>
        <v>175</v>
      </c>
      <c r="J518" s="94">
        <f>J519</f>
        <v>0</v>
      </c>
    </row>
    <row r="519" spans="1:10" s="37" customFormat="1" ht="14.25">
      <c r="A519" s="27"/>
      <c r="B519" s="70"/>
      <c r="C519" s="16" t="s">
        <v>105</v>
      </c>
      <c r="D519" s="16" t="s">
        <v>90</v>
      </c>
      <c r="E519" s="21" t="s">
        <v>420</v>
      </c>
      <c r="F519" s="21" t="s">
        <v>228</v>
      </c>
      <c r="G519" s="98" t="s">
        <v>227</v>
      </c>
      <c r="H519" s="41">
        <v>175</v>
      </c>
      <c r="I519" s="41">
        <v>175</v>
      </c>
      <c r="J519" s="41">
        <v>0</v>
      </c>
    </row>
    <row r="520" spans="1:10" s="37" customFormat="1" ht="51">
      <c r="A520" s="27"/>
      <c r="B520" s="70"/>
      <c r="C520" s="82" t="s">
        <v>105</v>
      </c>
      <c r="D520" s="82" t="s">
        <v>90</v>
      </c>
      <c r="E520" s="21" t="s">
        <v>421</v>
      </c>
      <c r="F520" s="21"/>
      <c r="G520" s="97" t="s">
        <v>422</v>
      </c>
      <c r="H520" s="41">
        <f>H521+H523</f>
        <v>23074.7</v>
      </c>
      <c r="I520" s="41">
        <f t="shared" ref="I520:J520" si="220">I521+I523</f>
        <v>22608.1</v>
      </c>
      <c r="J520" s="41">
        <f t="shared" si="220"/>
        <v>18022.900000000001</v>
      </c>
    </row>
    <row r="521" spans="1:10" s="37" customFormat="1" ht="63.75">
      <c r="A521" s="27"/>
      <c r="B521" s="70"/>
      <c r="C521" s="16" t="s">
        <v>105</v>
      </c>
      <c r="D521" s="16" t="s">
        <v>90</v>
      </c>
      <c r="E521" s="21" t="s">
        <v>747</v>
      </c>
      <c r="F521" s="82"/>
      <c r="G521" s="55" t="s">
        <v>383</v>
      </c>
      <c r="H521" s="41">
        <f>H522</f>
        <v>18640</v>
      </c>
      <c r="I521" s="41">
        <f t="shared" ref="I521:J521" si="221">I522</f>
        <v>18640</v>
      </c>
      <c r="J521" s="41">
        <f t="shared" si="221"/>
        <v>18022.900000000001</v>
      </c>
    </row>
    <row r="522" spans="1:10" s="37" customFormat="1" ht="14.25">
      <c r="A522" s="27"/>
      <c r="B522" s="70"/>
      <c r="C522" s="16" t="s">
        <v>105</v>
      </c>
      <c r="D522" s="16" t="s">
        <v>90</v>
      </c>
      <c r="E522" s="21" t="s">
        <v>747</v>
      </c>
      <c r="F522" s="21" t="s">
        <v>228</v>
      </c>
      <c r="G522" s="98" t="s">
        <v>227</v>
      </c>
      <c r="H522" s="39">
        <v>18640</v>
      </c>
      <c r="I522" s="39">
        <v>18640</v>
      </c>
      <c r="J522" s="39">
        <v>18022.900000000001</v>
      </c>
    </row>
    <row r="523" spans="1:10" s="37" customFormat="1" ht="63.75">
      <c r="A523" s="27"/>
      <c r="B523" s="70"/>
      <c r="C523" s="16" t="s">
        <v>105</v>
      </c>
      <c r="D523" s="16" t="s">
        <v>90</v>
      </c>
      <c r="E523" s="57" t="s">
        <v>593</v>
      </c>
      <c r="F523" s="16"/>
      <c r="G523" s="98" t="s">
        <v>594</v>
      </c>
      <c r="H523" s="41">
        <f>H524</f>
        <v>4434.7</v>
      </c>
      <c r="I523" s="41">
        <f t="shared" ref="I523:J523" si="222">I524</f>
        <v>3968.1</v>
      </c>
      <c r="J523" s="41">
        <f t="shared" si="222"/>
        <v>0</v>
      </c>
    </row>
    <row r="524" spans="1:10" s="37" customFormat="1" ht="14.25">
      <c r="A524" s="27"/>
      <c r="B524" s="70"/>
      <c r="C524" s="16" t="s">
        <v>105</v>
      </c>
      <c r="D524" s="16" t="s">
        <v>90</v>
      </c>
      <c r="E524" s="57" t="s">
        <v>593</v>
      </c>
      <c r="F524" s="21" t="s">
        <v>228</v>
      </c>
      <c r="G524" s="98" t="s">
        <v>227</v>
      </c>
      <c r="H524" s="41">
        <f>3968.1+466.6</f>
        <v>4434.7</v>
      </c>
      <c r="I524" s="41">
        <v>3968.1</v>
      </c>
      <c r="J524" s="41">
        <v>0</v>
      </c>
    </row>
    <row r="525" spans="1:10" s="37" customFormat="1" ht="38.25">
      <c r="A525" s="27"/>
      <c r="B525" s="70"/>
      <c r="C525" s="16" t="s">
        <v>105</v>
      </c>
      <c r="D525" s="16" t="s">
        <v>90</v>
      </c>
      <c r="E525" s="57" t="s">
        <v>668</v>
      </c>
      <c r="F525" s="21"/>
      <c r="G525" s="150" t="s">
        <v>669</v>
      </c>
      <c r="H525" s="41">
        <f>H526+H528</f>
        <v>639.29999999999995</v>
      </c>
      <c r="I525" s="41">
        <f t="shared" ref="I525:J525" si="223">I526+I528</f>
        <v>250</v>
      </c>
      <c r="J525" s="41">
        <f t="shared" si="223"/>
        <v>0</v>
      </c>
    </row>
    <row r="526" spans="1:10" s="37" customFormat="1" ht="63.75">
      <c r="A526" s="27"/>
      <c r="B526" s="70"/>
      <c r="C526" s="16" t="s">
        <v>105</v>
      </c>
      <c r="D526" s="16" t="s">
        <v>90</v>
      </c>
      <c r="E526" s="57" t="s">
        <v>746</v>
      </c>
      <c r="F526" s="21"/>
      <c r="G526" s="97" t="s">
        <v>745</v>
      </c>
      <c r="H526" s="41">
        <f>H527</f>
        <v>250</v>
      </c>
      <c r="I526" s="41">
        <f t="shared" ref="I526:J526" si="224">I527</f>
        <v>250</v>
      </c>
      <c r="J526" s="41">
        <f t="shared" si="224"/>
        <v>0</v>
      </c>
    </row>
    <row r="527" spans="1:10" s="37" customFormat="1" ht="14.25">
      <c r="A527" s="27"/>
      <c r="B527" s="70"/>
      <c r="C527" s="16" t="s">
        <v>105</v>
      </c>
      <c r="D527" s="16" t="s">
        <v>90</v>
      </c>
      <c r="E527" s="57" t="s">
        <v>746</v>
      </c>
      <c r="F527" s="21" t="s">
        <v>228</v>
      </c>
      <c r="G527" s="98" t="s">
        <v>227</v>
      </c>
      <c r="H527" s="41">
        <v>250</v>
      </c>
      <c r="I527" s="41">
        <v>250</v>
      </c>
      <c r="J527" s="41">
        <v>0</v>
      </c>
    </row>
    <row r="528" spans="1:10" s="37" customFormat="1" ht="51">
      <c r="A528" s="27"/>
      <c r="B528" s="70"/>
      <c r="C528" s="16" t="s">
        <v>105</v>
      </c>
      <c r="D528" s="16" t="s">
        <v>90</v>
      </c>
      <c r="E528" s="57" t="s">
        <v>756</v>
      </c>
      <c r="F528" s="21"/>
      <c r="G528" s="97" t="s">
        <v>757</v>
      </c>
      <c r="H528" s="41">
        <f>H529</f>
        <v>389.3</v>
      </c>
      <c r="I528" s="41">
        <f t="shared" ref="I528:J528" si="225">I529</f>
        <v>0</v>
      </c>
      <c r="J528" s="41">
        <f t="shared" si="225"/>
        <v>0</v>
      </c>
    </row>
    <row r="529" spans="1:10" s="37" customFormat="1" ht="14.25">
      <c r="A529" s="27"/>
      <c r="B529" s="70"/>
      <c r="C529" s="16" t="s">
        <v>105</v>
      </c>
      <c r="D529" s="16" t="s">
        <v>90</v>
      </c>
      <c r="E529" s="57" t="s">
        <v>756</v>
      </c>
      <c r="F529" s="21" t="s">
        <v>228</v>
      </c>
      <c r="G529" s="98" t="s">
        <v>227</v>
      </c>
      <c r="H529" s="41">
        <v>389.3</v>
      </c>
      <c r="I529" s="41">
        <v>0</v>
      </c>
      <c r="J529" s="41">
        <v>0</v>
      </c>
    </row>
    <row r="530" spans="1:10" s="37" customFormat="1" ht="51">
      <c r="A530" s="27"/>
      <c r="B530" s="70"/>
      <c r="C530" s="56" t="s">
        <v>105</v>
      </c>
      <c r="D530" s="90" t="s">
        <v>90</v>
      </c>
      <c r="E530" s="57" t="s">
        <v>777</v>
      </c>
      <c r="F530" s="21"/>
      <c r="G530" s="98" t="s">
        <v>778</v>
      </c>
      <c r="H530" s="41">
        <f>H531</f>
        <v>685.4</v>
      </c>
      <c r="I530" s="41">
        <f t="shared" ref="I530:J530" si="226">I531</f>
        <v>2567.6</v>
      </c>
      <c r="J530" s="41">
        <f t="shared" si="226"/>
        <v>2567.6</v>
      </c>
    </row>
    <row r="531" spans="1:10" s="37" customFormat="1" ht="63.75">
      <c r="A531" s="27"/>
      <c r="B531" s="70"/>
      <c r="C531" s="56" t="s">
        <v>105</v>
      </c>
      <c r="D531" s="90" t="s">
        <v>90</v>
      </c>
      <c r="E531" s="57" t="s">
        <v>775</v>
      </c>
      <c r="F531" s="21"/>
      <c r="G531" s="98" t="s">
        <v>776</v>
      </c>
      <c r="H531" s="1">
        <f>H532</f>
        <v>685.4</v>
      </c>
      <c r="I531" s="1">
        <f t="shared" ref="I531:J531" si="227">I532</f>
        <v>2567.6</v>
      </c>
      <c r="J531" s="1">
        <f t="shared" si="227"/>
        <v>2567.6</v>
      </c>
    </row>
    <row r="532" spans="1:10" s="37" customFormat="1" ht="14.25">
      <c r="A532" s="27"/>
      <c r="B532" s="70"/>
      <c r="C532" s="16" t="s">
        <v>105</v>
      </c>
      <c r="D532" s="16" t="s">
        <v>90</v>
      </c>
      <c r="E532" s="57" t="s">
        <v>775</v>
      </c>
      <c r="F532" s="21" t="s">
        <v>228</v>
      </c>
      <c r="G532" s="98" t="s">
        <v>227</v>
      </c>
      <c r="H532" s="1">
        <v>685.4</v>
      </c>
      <c r="I532" s="1">
        <v>2567.6</v>
      </c>
      <c r="J532" s="1">
        <v>2567.6</v>
      </c>
    </row>
    <row r="533" spans="1:10" s="37" customFormat="1" ht="38.25">
      <c r="A533" s="27"/>
      <c r="B533" s="70"/>
      <c r="C533" s="16" t="s">
        <v>105</v>
      </c>
      <c r="D533" s="16" t="s">
        <v>90</v>
      </c>
      <c r="E533" s="82" t="s">
        <v>25</v>
      </c>
      <c r="F533" s="82"/>
      <c r="G533" s="99" t="s">
        <v>39</v>
      </c>
      <c r="H533" s="41">
        <f>H534</f>
        <v>115</v>
      </c>
      <c r="I533" s="41">
        <f t="shared" ref="I533:J533" si="228">I534</f>
        <v>0</v>
      </c>
      <c r="J533" s="41">
        <f t="shared" si="228"/>
        <v>0</v>
      </c>
    </row>
    <row r="534" spans="1:10" s="37" customFormat="1" ht="51">
      <c r="A534" s="27"/>
      <c r="B534" s="70"/>
      <c r="C534" s="16" t="s">
        <v>105</v>
      </c>
      <c r="D534" s="16" t="s">
        <v>90</v>
      </c>
      <c r="E534" s="82" t="s">
        <v>612</v>
      </c>
      <c r="F534" s="16"/>
      <c r="G534" s="54" t="s">
        <v>610</v>
      </c>
      <c r="H534" s="41">
        <f>SUM(H535:H535)</f>
        <v>115</v>
      </c>
      <c r="I534" s="41">
        <f>SUM(I535:I535)</f>
        <v>0</v>
      </c>
      <c r="J534" s="41">
        <f>SUM(J535:J535)</f>
        <v>0</v>
      </c>
    </row>
    <row r="535" spans="1:10" s="37" customFormat="1" ht="14.25">
      <c r="A535" s="27"/>
      <c r="B535" s="70"/>
      <c r="C535" s="16" t="s">
        <v>105</v>
      </c>
      <c r="D535" s="16" t="s">
        <v>90</v>
      </c>
      <c r="E535" s="82" t="s">
        <v>612</v>
      </c>
      <c r="F535" s="21" t="s">
        <v>228</v>
      </c>
      <c r="G535" s="98" t="s">
        <v>227</v>
      </c>
      <c r="H535" s="39">
        <f>70+45</f>
        <v>115</v>
      </c>
      <c r="I535" s="39">
        <v>0</v>
      </c>
      <c r="J535" s="39">
        <v>0</v>
      </c>
    </row>
    <row r="536" spans="1:10" s="37" customFormat="1" ht="14.25">
      <c r="A536" s="27"/>
      <c r="B536" s="70"/>
      <c r="C536" s="35" t="s">
        <v>105</v>
      </c>
      <c r="D536" s="35" t="s">
        <v>94</v>
      </c>
      <c r="E536" s="35"/>
      <c r="F536" s="35"/>
      <c r="G536" s="46" t="s">
        <v>157</v>
      </c>
      <c r="H536" s="42">
        <f>H537+H562</f>
        <v>47152.9</v>
      </c>
      <c r="I536" s="42">
        <f>I537+I562</f>
        <v>46673.200000000004</v>
      </c>
      <c r="J536" s="42">
        <f>J537+J562</f>
        <v>46468.700000000004</v>
      </c>
    </row>
    <row r="537" spans="1:10" s="37" customFormat="1" ht="76.5">
      <c r="A537" s="27"/>
      <c r="B537" s="70"/>
      <c r="C537" s="5" t="s">
        <v>105</v>
      </c>
      <c r="D537" s="5" t="s">
        <v>94</v>
      </c>
      <c r="E537" s="73" t="s">
        <v>74</v>
      </c>
      <c r="F537" s="21"/>
      <c r="G537" s="64" t="s">
        <v>615</v>
      </c>
      <c r="H537" s="62">
        <f>H538+H558</f>
        <v>47002.9</v>
      </c>
      <c r="I537" s="62">
        <f>I538+I558</f>
        <v>46673.200000000004</v>
      </c>
      <c r="J537" s="62">
        <f>J538+J558</f>
        <v>46468.700000000004</v>
      </c>
    </row>
    <row r="538" spans="1:10" s="37" customFormat="1" ht="38.25">
      <c r="A538" s="27"/>
      <c r="B538" s="70"/>
      <c r="C538" s="16" t="s">
        <v>105</v>
      </c>
      <c r="D538" s="82" t="s">
        <v>94</v>
      </c>
      <c r="E538" s="52" t="s">
        <v>426</v>
      </c>
      <c r="F538" s="35"/>
      <c r="G538" s="46" t="s">
        <v>427</v>
      </c>
      <c r="H538" s="94">
        <f>H539+H551</f>
        <v>46952.9</v>
      </c>
      <c r="I538" s="94">
        <f t="shared" ref="I538:J538" si="229">I539+I551</f>
        <v>46623.200000000004</v>
      </c>
      <c r="J538" s="94">
        <f t="shared" si="229"/>
        <v>46468.700000000004</v>
      </c>
    </row>
    <row r="539" spans="1:10" s="37" customFormat="1" ht="51">
      <c r="A539" s="27"/>
      <c r="B539" s="70"/>
      <c r="C539" s="16" t="s">
        <v>105</v>
      </c>
      <c r="D539" s="82" t="s">
        <v>94</v>
      </c>
      <c r="E539" s="21" t="s">
        <v>431</v>
      </c>
      <c r="F539" s="21"/>
      <c r="G539" s="97" t="s">
        <v>428</v>
      </c>
      <c r="H539" s="41">
        <f>H540+H542+H547+H549</f>
        <v>45757.9</v>
      </c>
      <c r="I539" s="41">
        <f t="shared" ref="I539:J539" si="230">I540+I542+I547+I549</f>
        <v>45428.200000000004</v>
      </c>
      <c r="J539" s="41">
        <f t="shared" si="230"/>
        <v>45428.200000000004</v>
      </c>
    </row>
    <row r="540" spans="1:10" s="37" customFormat="1" ht="76.5">
      <c r="A540" s="27"/>
      <c r="B540" s="70"/>
      <c r="C540" s="16" t="s">
        <v>105</v>
      </c>
      <c r="D540" s="82" t="s">
        <v>94</v>
      </c>
      <c r="E540" s="57" t="s">
        <v>430</v>
      </c>
      <c r="F540" s="16"/>
      <c r="G540" s="98" t="s">
        <v>429</v>
      </c>
      <c r="H540" s="94">
        <f>H541</f>
        <v>24633.4</v>
      </c>
      <c r="I540" s="94">
        <f t="shared" ref="I540:J540" si="231">SUM(I541:I546)</f>
        <v>36073.800000000003</v>
      </c>
      <c r="J540" s="94">
        <f t="shared" si="231"/>
        <v>36073.800000000003</v>
      </c>
    </row>
    <row r="541" spans="1:10" s="37" customFormat="1" ht="14.25">
      <c r="A541" s="27"/>
      <c r="B541" s="70"/>
      <c r="C541" s="16" t="s">
        <v>105</v>
      </c>
      <c r="D541" s="82" t="s">
        <v>94</v>
      </c>
      <c r="E541" s="57" t="s">
        <v>430</v>
      </c>
      <c r="F541" s="21" t="s">
        <v>228</v>
      </c>
      <c r="G541" s="98" t="s">
        <v>227</v>
      </c>
      <c r="H541" s="94">
        <f>35352.5+721.3-11440.4</f>
        <v>24633.4</v>
      </c>
      <c r="I541" s="94">
        <f>35352.5+721.3</f>
        <v>36073.800000000003</v>
      </c>
      <c r="J541" s="94">
        <f>35352.5+721.3</f>
        <v>36073.800000000003</v>
      </c>
    </row>
    <row r="542" spans="1:10" s="37" customFormat="1" ht="39" customHeight="1">
      <c r="A542" s="27"/>
      <c r="B542" s="70"/>
      <c r="C542" s="16" t="s">
        <v>105</v>
      </c>
      <c r="D542" s="82" t="s">
        <v>94</v>
      </c>
      <c r="E542" s="57" t="s">
        <v>731</v>
      </c>
      <c r="F542" s="21"/>
      <c r="G542" s="98" t="s">
        <v>732</v>
      </c>
      <c r="H542" s="94">
        <f>SUM(H543:H546)</f>
        <v>11770.1</v>
      </c>
      <c r="I542" s="94">
        <f t="shared" ref="I542:J542" si="232">SUM(I543:I546)</f>
        <v>0</v>
      </c>
      <c r="J542" s="94">
        <f t="shared" si="232"/>
        <v>0</v>
      </c>
    </row>
    <row r="543" spans="1:10" s="37" customFormat="1" ht="14.25">
      <c r="A543" s="27"/>
      <c r="B543" s="70"/>
      <c r="C543" s="16" t="s">
        <v>105</v>
      </c>
      <c r="D543" s="82" t="s">
        <v>94</v>
      </c>
      <c r="E543" s="57" t="s">
        <v>731</v>
      </c>
      <c r="F543" s="21" t="s">
        <v>228</v>
      </c>
      <c r="G543" s="98" t="s">
        <v>227</v>
      </c>
      <c r="H543" s="94">
        <f>329.7+10817.4+155.7</f>
        <v>11302.800000000001</v>
      </c>
      <c r="I543" s="94">
        <v>0</v>
      </c>
      <c r="J543" s="94">
        <v>0</v>
      </c>
    </row>
    <row r="544" spans="1:10" s="37" customFormat="1" ht="14.25">
      <c r="A544" s="27"/>
      <c r="B544" s="70"/>
      <c r="C544" s="16" t="s">
        <v>105</v>
      </c>
      <c r="D544" s="82" t="s">
        <v>94</v>
      </c>
      <c r="E544" s="57" t="s">
        <v>731</v>
      </c>
      <c r="F544" s="21" t="s">
        <v>743</v>
      </c>
      <c r="G544" s="98" t="s">
        <v>744</v>
      </c>
      <c r="H544" s="94">
        <v>155.69999999999999</v>
      </c>
      <c r="I544" s="94">
        <v>0</v>
      </c>
      <c r="J544" s="94">
        <v>0</v>
      </c>
    </row>
    <row r="545" spans="1:10" s="37" customFormat="1" ht="76.5">
      <c r="A545" s="27"/>
      <c r="B545" s="70"/>
      <c r="C545" s="16" t="s">
        <v>105</v>
      </c>
      <c r="D545" s="82" t="s">
        <v>94</v>
      </c>
      <c r="E545" s="57" t="s">
        <v>731</v>
      </c>
      <c r="F545" s="21" t="s">
        <v>19</v>
      </c>
      <c r="G545" s="98" t="s">
        <v>369</v>
      </c>
      <c r="H545" s="94">
        <v>155.80000000000001</v>
      </c>
      <c r="I545" s="94">
        <v>0</v>
      </c>
      <c r="J545" s="94">
        <v>0</v>
      </c>
    </row>
    <row r="546" spans="1:10" s="37" customFormat="1" ht="63.75">
      <c r="A546" s="27"/>
      <c r="B546" s="70"/>
      <c r="C546" s="16" t="s">
        <v>105</v>
      </c>
      <c r="D546" s="82" t="s">
        <v>94</v>
      </c>
      <c r="E546" s="57" t="s">
        <v>731</v>
      </c>
      <c r="F546" s="21" t="s">
        <v>12</v>
      </c>
      <c r="G546" s="98" t="s">
        <v>374</v>
      </c>
      <c r="H546" s="94">
        <v>155.80000000000001</v>
      </c>
      <c r="I546" s="94">
        <v>0</v>
      </c>
      <c r="J546" s="94">
        <v>0</v>
      </c>
    </row>
    <row r="547" spans="1:10" s="37" customFormat="1" ht="76.5">
      <c r="A547" s="27"/>
      <c r="B547" s="70"/>
      <c r="C547" s="16" t="s">
        <v>105</v>
      </c>
      <c r="D547" s="82" t="s">
        <v>94</v>
      </c>
      <c r="E547" s="57" t="s">
        <v>432</v>
      </c>
      <c r="F547" s="21"/>
      <c r="G547" s="98" t="s">
        <v>433</v>
      </c>
      <c r="H547" s="94">
        <f>H548</f>
        <v>9260.7999999999993</v>
      </c>
      <c r="I547" s="94">
        <f>I548</f>
        <v>9260.7999999999993</v>
      </c>
      <c r="J547" s="94">
        <f>J548</f>
        <v>9260.7999999999993</v>
      </c>
    </row>
    <row r="548" spans="1:10" s="37" customFormat="1" ht="14.25">
      <c r="A548" s="27"/>
      <c r="B548" s="70"/>
      <c r="C548" s="16" t="s">
        <v>105</v>
      </c>
      <c r="D548" s="82" t="s">
        <v>94</v>
      </c>
      <c r="E548" s="57" t="s">
        <v>432</v>
      </c>
      <c r="F548" s="21" t="s">
        <v>228</v>
      </c>
      <c r="G548" s="98" t="s">
        <v>227</v>
      </c>
      <c r="H548" s="133">
        <f>9259.8+1</f>
        <v>9260.7999999999993</v>
      </c>
      <c r="I548" s="133">
        <f t="shared" ref="I548:J548" si="233">9259.8+1</f>
        <v>9260.7999999999993</v>
      </c>
      <c r="J548" s="133">
        <f t="shared" si="233"/>
        <v>9260.7999999999993</v>
      </c>
    </row>
    <row r="549" spans="1:10" s="37" customFormat="1" ht="76.5">
      <c r="A549" s="27"/>
      <c r="B549" s="70"/>
      <c r="C549" s="16" t="s">
        <v>105</v>
      </c>
      <c r="D549" s="82" t="s">
        <v>94</v>
      </c>
      <c r="E549" s="57" t="s">
        <v>434</v>
      </c>
      <c r="F549" s="57"/>
      <c r="G549" s="98" t="s">
        <v>435</v>
      </c>
      <c r="H549" s="39">
        <f>H550</f>
        <v>93.6</v>
      </c>
      <c r="I549" s="39">
        <f>I550</f>
        <v>93.6</v>
      </c>
      <c r="J549" s="39">
        <f>J550</f>
        <v>93.6</v>
      </c>
    </row>
    <row r="550" spans="1:10" s="37" customFormat="1" ht="14.25">
      <c r="A550" s="27"/>
      <c r="B550" s="70"/>
      <c r="C550" s="16" t="s">
        <v>105</v>
      </c>
      <c r="D550" s="82" t="s">
        <v>94</v>
      </c>
      <c r="E550" s="21" t="s">
        <v>434</v>
      </c>
      <c r="F550" s="21" t="s">
        <v>228</v>
      </c>
      <c r="G550" s="98" t="s">
        <v>227</v>
      </c>
      <c r="H550" s="41">
        <v>93.6</v>
      </c>
      <c r="I550" s="41">
        <v>93.6</v>
      </c>
      <c r="J550" s="41">
        <v>93.6</v>
      </c>
    </row>
    <row r="551" spans="1:10" s="37" customFormat="1" ht="38.25">
      <c r="A551" s="27"/>
      <c r="B551" s="70"/>
      <c r="C551" s="16" t="s">
        <v>105</v>
      </c>
      <c r="D551" s="82" t="s">
        <v>94</v>
      </c>
      <c r="E551" s="21" t="s">
        <v>437</v>
      </c>
      <c r="F551" s="82"/>
      <c r="G551" s="97" t="s">
        <v>436</v>
      </c>
      <c r="H551" s="41">
        <f>H552+H554+H556</f>
        <v>1195</v>
      </c>
      <c r="I551" s="41">
        <f t="shared" ref="I551:J551" si="234">I552+I554+I556</f>
        <v>1195</v>
      </c>
      <c r="J551" s="41">
        <f t="shared" si="234"/>
        <v>1040.5</v>
      </c>
    </row>
    <row r="552" spans="1:10" s="37" customFormat="1" ht="51">
      <c r="A552" s="27"/>
      <c r="B552" s="70"/>
      <c r="C552" s="16" t="s">
        <v>105</v>
      </c>
      <c r="D552" s="82" t="s">
        <v>94</v>
      </c>
      <c r="E552" s="57" t="s">
        <v>601</v>
      </c>
      <c r="F552" s="21"/>
      <c r="G552" s="108" t="s">
        <v>438</v>
      </c>
      <c r="H552" s="94">
        <f>H553</f>
        <v>795</v>
      </c>
      <c r="I552" s="94">
        <f t="shared" ref="I552:J552" si="235">I553</f>
        <v>795</v>
      </c>
      <c r="J552" s="94">
        <f t="shared" si="235"/>
        <v>790.5</v>
      </c>
    </row>
    <row r="553" spans="1:10" s="37" customFormat="1" ht="14.25">
      <c r="A553" s="27"/>
      <c r="B553" s="70"/>
      <c r="C553" s="16" t="s">
        <v>105</v>
      </c>
      <c r="D553" s="82" t="s">
        <v>94</v>
      </c>
      <c r="E553" s="57" t="s">
        <v>601</v>
      </c>
      <c r="F553" s="21" t="s">
        <v>228</v>
      </c>
      <c r="G553" s="98" t="s">
        <v>227</v>
      </c>
      <c r="H553" s="94">
        <v>795</v>
      </c>
      <c r="I553" s="94">
        <v>795</v>
      </c>
      <c r="J553" s="94">
        <f>695.5+25+70.2-0.2</f>
        <v>790.5</v>
      </c>
    </row>
    <row r="554" spans="1:10" s="37" customFormat="1" ht="38.25">
      <c r="A554" s="27"/>
      <c r="B554" s="70"/>
      <c r="C554" s="16" t="s">
        <v>105</v>
      </c>
      <c r="D554" s="82" t="s">
        <v>94</v>
      </c>
      <c r="E554" s="57" t="s">
        <v>439</v>
      </c>
      <c r="F554" s="21"/>
      <c r="G554" s="98" t="s">
        <v>185</v>
      </c>
      <c r="H554" s="41">
        <f>H555</f>
        <v>250</v>
      </c>
      <c r="I554" s="41">
        <f t="shared" ref="I554:J554" si="236">I555</f>
        <v>250</v>
      </c>
      <c r="J554" s="41">
        <f t="shared" si="236"/>
        <v>250</v>
      </c>
    </row>
    <row r="555" spans="1:10" s="37" customFormat="1" ht="14.25">
      <c r="A555" s="27"/>
      <c r="B555" s="70"/>
      <c r="C555" s="16" t="s">
        <v>105</v>
      </c>
      <c r="D555" s="82" t="s">
        <v>94</v>
      </c>
      <c r="E555" s="57" t="s">
        <v>439</v>
      </c>
      <c r="F555" s="21" t="s">
        <v>228</v>
      </c>
      <c r="G555" s="98" t="s">
        <v>227</v>
      </c>
      <c r="H555" s="41">
        <v>250</v>
      </c>
      <c r="I555" s="41">
        <v>250</v>
      </c>
      <c r="J555" s="41">
        <v>250</v>
      </c>
    </row>
    <row r="556" spans="1:10" s="37" customFormat="1" ht="38.25">
      <c r="A556" s="27"/>
      <c r="B556" s="70"/>
      <c r="C556" s="16" t="s">
        <v>105</v>
      </c>
      <c r="D556" s="82" t="s">
        <v>94</v>
      </c>
      <c r="E556" s="57" t="s">
        <v>440</v>
      </c>
      <c r="F556" s="21"/>
      <c r="G556" s="98" t="s">
        <v>441</v>
      </c>
      <c r="H556" s="41">
        <f>H557</f>
        <v>150</v>
      </c>
      <c r="I556" s="41">
        <f t="shared" ref="I556:J556" si="237">I557</f>
        <v>150</v>
      </c>
      <c r="J556" s="41">
        <f t="shared" si="237"/>
        <v>0</v>
      </c>
    </row>
    <row r="557" spans="1:10" s="37" customFormat="1" ht="14.25">
      <c r="A557" s="27"/>
      <c r="B557" s="70"/>
      <c r="C557" s="16" t="s">
        <v>105</v>
      </c>
      <c r="D557" s="82" t="s">
        <v>94</v>
      </c>
      <c r="E557" s="57" t="s">
        <v>440</v>
      </c>
      <c r="F557" s="21" t="s">
        <v>228</v>
      </c>
      <c r="G557" s="98" t="s">
        <v>227</v>
      </c>
      <c r="H557" s="41">
        <v>150</v>
      </c>
      <c r="I557" s="41">
        <v>150</v>
      </c>
      <c r="J557" s="41">
        <v>0</v>
      </c>
    </row>
    <row r="558" spans="1:10" s="37" customFormat="1" ht="28.5" customHeight="1">
      <c r="A558" s="27"/>
      <c r="B558" s="70"/>
      <c r="C558" s="47" t="s">
        <v>105</v>
      </c>
      <c r="D558" s="47" t="s">
        <v>94</v>
      </c>
      <c r="E558" s="52" t="s">
        <v>443</v>
      </c>
      <c r="F558" s="82"/>
      <c r="G558" s="46" t="s">
        <v>442</v>
      </c>
      <c r="H558" s="93">
        <f>H559</f>
        <v>50</v>
      </c>
      <c r="I558" s="93">
        <f t="shared" ref="I558:J558" si="238">I559</f>
        <v>50</v>
      </c>
      <c r="J558" s="93">
        <f t="shared" si="238"/>
        <v>0</v>
      </c>
    </row>
    <row r="559" spans="1:10" s="37" customFormat="1" ht="25.5">
      <c r="A559" s="27"/>
      <c r="B559" s="70"/>
      <c r="C559" s="16" t="s">
        <v>105</v>
      </c>
      <c r="D559" s="82" t="s">
        <v>94</v>
      </c>
      <c r="E559" s="21" t="s">
        <v>444</v>
      </c>
      <c r="F559" s="21"/>
      <c r="G559" s="97" t="s">
        <v>486</v>
      </c>
      <c r="H559" s="41">
        <f>H560</f>
        <v>50</v>
      </c>
      <c r="I559" s="41">
        <f t="shared" ref="I559:J559" si="239">I560</f>
        <v>50</v>
      </c>
      <c r="J559" s="41">
        <f t="shared" si="239"/>
        <v>0</v>
      </c>
    </row>
    <row r="560" spans="1:10" s="37" customFormat="1" ht="76.5">
      <c r="A560" s="27"/>
      <c r="B560" s="70"/>
      <c r="C560" s="16" t="s">
        <v>105</v>
      </c>
      <c r="D560" s="82" t="s">
        <v>94</v>
      </c>
      <c r="E560" s="57" t="s">
        <v>595</v>
      </c>
      <c r="F560" s="16"/>
      <c r="G560" s="98" t="s">
        <v>446</v>
      </c>
      <c r="H560" s="41">
        <f>H561</f>
        <v>50</v>
      </c>
      <c r="I560" s="41">
        <f>I561</f>
        <v>50</v>
      </c>
      <c r="J560" s="41">
        <f>J561</f>
        <v>0</v>
      </c>
    </row>
    <row r="561" spans="1:10" s="37" customFormat="1" ht="14.25">
      <c r="A561" s="27"/>
      <c r="B561" s="70"/>
      <c r="C561" s="16" t="s">
        <v>105</v>
      </c>
      <c r="D561" s="82" t="s">
        <v>94</v>
      </c>
      <c r="E561" s="57" t="s">
        <v>595</v>
      </c>
      <c r="F561" s="21" t="s">
        <v>228</v>
      </c>
      <c r="G561" s="98" t="s">
        <v>227</v>
      </c>
      <c r="H561" s="41">
        <v>50</v>
      </c>
      <c r="I561" s="41">
        <v>50</v>
      </c>
      <c r="J561" s="41">
        <v>0</v>
      </c>
    </row>
    <row r="562" spans="1:10" s="37" customFormat="1" ht="38.25">
      <c r="A562" s="27"/>
      <c r="B562" s="70"/>
      <c r="C562" s="82" t="s">
        <v>105</v>
      </c>
      <c r="D562" s="82" t="s">
        <v>94</v>
      </c>
      <c r="E562" s="82" t="s">
        <v>25</v>
      </c>
      <c r="F562" s="82"/>
      <c r="G562" s="99" t="s">
        <v>39</v>
      </c>
      <c r="H562" s="41">
        <f>H563</f>
        <v>150</v>
      </c>
      <c r="I562" s="41">
        <f t="shared" ref="I562:J562" si="240">I563</f>
        <v>0</v>
      </c>
      <c r="J562" s="41">
        <f t="shared" si="240"/>
        <v>0</v>
      </c>
    </row>
    <row r="563" spans="1:10" s="37" customFormat="1" ht="51">
      <c r="A563" s="27"/>
      <c r="B563" s="70"/>
      <c r="C563" s="16" t="s">
        <v>105</v>
      </c>
      <c r="D563" s="82" t="s">
        <v>94</v>
      </c>
      <c r="E563" s="82" t="s">
        <v>612</v>
      </c>
      <c r="F563" s="16"/>
      <c r="G563" s="54" t="s">
        <v>610</v>
      </c>
      <c r="H563" s="41">
        <f>SUM(H564:H564)</f>
        <v>150</v>
      </c>
      <c r="I563" s="41">
        <f>SUM(I564:I564)</f>
        <v>0</v>
      </c>
      <c r="J563" s="41">
        <f>SUM(J564:J564)</f>
        <v>0</v>
      </c>
    </row>
    <row r="564" spans="1:10" s="37" customFormat="1" ht="14.25">
      <c r="A564" s="27"/>
      <c r="B564" s="70"/>
      <c r="C564" s="16" t="s">
        <v>105</v>
      </c>
      <c r="D564" s="82" t="s">
        <v>94</v>
      </c>
      <c r="E564" s="82" t="s">
        <v>612</v>
      </c>
      <c r="F564" s="21" t="s">
        <v>228</v>
      </c>
      <c r="G564" s="98" t="s">
        <v>227</v>
      </c>
      <c r="H564" s="39">
        <v>150</v>
      </c>
      <c r="I564" s="39">
        <v>0</v>
      </c>
      <c r="J564" s="39">
        <v>0</v>
      </c>
    </row>
    <row r="565" spans="1:10" s="36" customFormat="1" ht="38.25">
      <c r="A565" s="27"/>
      <c r="B565" s="70"/>
      <c r="C565" s="35" t="s">
        <v>105</v>
      </c>
      <c r="D565" s="35" t="s">
        <v>96</v>
      </c>
      <c r="E565" s="35"/>
      <c r="F565" s="35"/>
      <c r="G565" s="46" t="s">
        <v>2</v>
      </c>
      <c r="H565" s="42">
        <f t="shared" ref="H565:J566" si="241">H566</f>
        <v>250</v>
      </c>
      <c r="I565" s="42">
        <f t="shared" si="241"/>
        <v>250</v>
      </c>
      <c r="J565" s="42">
        <f t="shared" si="241"/>
        <v>250</v>
      </c>
    </row>
    <row r="566" spans="1:10" s="36" customFormat="1" ht="76.5">
      <c r="A566" s="27"/>
      <c r="B566" s="70"/>
      <c r="C566" s="16" t="s">
        <v>105</v>
      </c>
      <c r="D566" s="16" t="s">
        <v>96</v>
      </c>
      <c r="E566" s="21" t="s">
        <v>74</v>
      </c>
      <c r="F566" s="35"/>
      <c r="G566" s="64" t="s">
        <v>615</v>
      </c>
      <c r="H566" s="62">
        <f t="shared" si="241"/>
        <v>250</v>
      </c>
      <c r="I566" s="62">
        <f t="shared" si="241"/>
        <v>250</v>
      </c>
      <c r="J566" s="62">
        <f t="shared" si="241"/>
        <v>250</v>
      </c>
    </row>
    <row r="567" spans="1:10" s="36" customFormat="1" ht="28.5" customHeight="1">
      <c r="A567" s="27"/>
      <c r="B567" s="70"/>
      <c r="C567" s="16" t="s">
        <v>105</v>
      </c>
      <c r="D567" s="16" t="s">
        <v>96</v>
      </c>
      <c r="E567" s="52" t="s">
        <v>443</v>
      </c>
      <c r="F567" s="35"/>
      <c r="G567" s="46" t="s">
        <v>442</v>
      </c>
      <c r="H567" s="58">
        <f>H569</f>
        <v>250</v>
      </c>
      <c r="I567" s="58">
        <f>I569</f>
        <v>250</v>
      </c>
      <c r="J567" s="58">
        <f>J569</f>
        <v>250</v>
      </c>
    </row>
    <row r="568" spans="1:10" s="36" customFormat="1" ht="38.25">
      <c r="A568" s="27"/>
      <c r="B568" s="70"/>
      <c r="C568" s="16" t="s">
        <v>105</v>
      </c>
      <c r="D568" s="16" t="s">
        <v>96</v>
      </c>
      <c r="E568" s="21" t="s">
        <v>447</v>
      </c>
      <c r="F568" s="21"/>
      <c r="G568" s="97" t="s">
        <v>448</v>
      </c>
      <c r="H568" s="39">
        <f>H569</f>
        <v>250</v>
      </c>
      <c r="I568" s="39">
        <f t="shared" ref="I568:J568" si="242">I569</f>
        <v>250</v>
      </c>
      <c r="J568" s="39">
        <f t="shared" si="242"/>
        <v>250</v>
      </c>
    </row>
    <row r="569" spans="1:10" s="36" customFormat="1" ht="38.25">
      <c r="A569" s="27"/>
      <c r="B569" s="70"/>
      <c r="C569" s="16" t="s">
        <v>105</v>
      </c>
      <c r="D569" s="16" t="s">
        <v>96</v>
      </c>
      <c r="E569" s="57" t="s">
        <v>596</v>
      </c>
      <c r="F569" s="16"/>
      <c r="G569" s="98" t="s">
        <v>45</v>
      </c>
      <c r="H569" s="41">
        <f>H570</f>
        <v>250</v>
      </c>
      <c r="I569" s="41">
        <f>I570</f>
        <v>250</v>
      </c>
      <c r="J569" s="41">
        <f>J570</f>
        <v>250</v>
      </c>
    </row>
    <row r="570" spans="1:10">
      <c r="A570" s="1"/>
      <c r="B570" s="25"/>
      <c r="C570" s="16" t="s">
        <v>105</v>
      </c>
      <c r="D570" s="16" t="s">
        <v>96</v>
      </c>
      <c r="E570" s="57" t="s">
        <v>596</v>
      </c>
      <c r="F570" s="21" t="s">
        <v>228</v>
      </c>
      <c r="G570" s="98" t="s">
        <v>227</v>
      </c>
      <c r="H570" s="94">
        <v>250</v>
      </c>
      <c r="I570" s="94">
        <v>250</v>
      </c>
      <c r="J570" s="94">
        <v>250</v>
      </c>
    </row>
    <row r="571" spans="1:10" s="37" customFormat="1" ht="14.25">
      <c r="A571" s="27"/>
      <c r="B571" s="70"/>
      <c r="C571" s="35" t="s">
        <v>105</v>
      </c>
      <c r="D571" s="35" t="s">
        <v>100</v>
      </c>
      <c r="E571" s="35"/>
      <c r="F571" s="35"/>
      <c r="G571" s="45" t="s">
        <v>110</v>
      </c>
      <c r="H571" s="42">
        <f t="shared" ref="H571:J571" si="243">H572</f>
        <v>13638.7</v>
      </c>
      <c r="I571" s="42">
        <f t="shared" si="243"/>
        <v>13205.300000000001</v>
      </c>
      <c r="J571" s="42">
        <f t="shared" si="243"/>
        <v>13205.300000000001</v>
      </c>
    </row>
    <row r="572" spans="1:10" s="37" customFormat="1" ht="76.5">
      <c r="A572" s="27"/>
      <c r="B572" s="70"/>
      <c r="C572" s="16" t="s">
        <v>105</v>
      </c>
      <c r="D572" s="16" t="s">
        <v>100</v>
      </c>
      <c r="E572" s="21" t="s">
        <v>74</v>
      </c>
      <c r="F572" s="35"/>
      <c r="G572" s="64" t="s">
        <v>615</v>
      </c>
      <c r="H572" s="62">
        <f>H573+H583+H605</f>
        <v>13638.7</v>
      </c>
      <c r="I572" s="62">
        <f t="shared" ref="I572:J572" si="244">I573+I583+I605</f>
        <v>13205.300000000001</v>
      </c>
      <c r="J572" s="62">
        <f t="shared" si="244"/>
        <v>13205.300000000001</v>
      </c>
    </row>
    <row r="573" spans="1:10" s="37" customFormat="1" ht="40.5" customHeight="1">
      <c r="A573" s="27"/>
      <c r="B573" s="70"/>
      <c r="C573" s="16" t="s">
        <v>105</v>
      </c>
      <c r="D573" s="16" t="s">
        <v>100</v>
      </c>
      <c r="E573" s="52" t="s">
        <v>76</v>
      </c>
      <c r="F573" s="21"/>
      <c r="G573" s="46" t="s">
        <v>602</v>
      </c>
      <c r="H573" s="58">
        <f>H574</f>
        <v>4025.9</v>
      </c>
      <c r="I573" s="58">
        <f t="shared" ref="I573:J573" si="245">I574</f>
        <v>3725.4</v>
      </c>
      <c r="J573" s="58">
        <f t="shared" si="245"/>
        <v>3725.4</v>
      </c>
    </row>
    <row r="574" spans="1:10" s="37" customFormat="1" ht="51">
      <c r="A574" s="27"/>
      <c r="B574" s="70"/>
      <c r="C574" s="16" t="s">
        <v>105</v>
      </c>
      <c r="D574" s="16" t="s">
        <v>100</v>
      </c>
      <c r="E574" s="21" t="s">
        <v>421</v>
      </c>
      <c r="F574" s="21"/>
      <c r="G574" s="97" t="s">
        <v>422</v>
      </c>
      <c r="H574" s="94">
        <f>H575+H577+H580</f>
        <v>4025.9</v>
      </c>
      <c r="I574" s="94">
        <f t="shared" ref="I574:J574" si="246">I575+I577+I580</f>
        <v>3725.4</v>
      </c>
      <c r="J574" s="94">
        <f t="shared" si="246"/>
        <v>3725.4</v>
      </c>
    </row>
    <row r="575" spans="1:10" s="37" customFormat="1" ht="14.25">
      <c r="A575" s="27"/>
      <c r="B575" s="70"/>
      <c r="C575" s="16" t="s">
        <v>105</v>
      </c>
      <c r="D575" s="16" t="s">
        <v>100</v>
      </c>
      <c r="E575" s="57" t="s">
        <v>423</v>
      </c>
      <c r="F575" s="21"/>
      <c r="G575" s="98" t="s">
        <v>46</v>
      </c>
      <c r="H575" s="41">
        <f>H576</f>
        <v>1506.9</v>
      </c>
      <c r="I575" s="41">
        <f>I576</f>
        <v>1200.2</v>
      </c>
      <c r="J575" s="41">
        <f>J576</f>
        <v>1200.2</v>
      </c>
    </row>
    <row r="576" spans="1:10" s="37" customFormat="1" ht="14.25">
      <c r="A576" s="27"/>
      <c r="B576" s="70"/>
      <c r="C576" s="16" t="s">
        <v>105</v>
      </c>
      <c r="D576" s="16" t="s">
        <v>100</v>
      </c>
      <c r="E576" s="57" t="s">
        <v>423</v>
      </c>
      <c r="F576" s="21" t="s">
        <v>228</v>
      </c>
      <c r="G576" s="98" t="s">
        <v>227</v>
      </c>
      <c r="H576" s="41">
        <f>1200.2+306.7</f>
        <v>1506.9</v>
      </c>
      <c r="I576" s="41">
        <v>1200.2</v>
      </c>
      <c r="J576" s="41">
        <v>1200.2</v>
      </c>
    </row>
    <row r="577" spans="1:10" s="37" customFormat="1" ht="38.25">
      <c r="A577" s="27"/>
      <c r="B577" s="70"/>
      <c r="C577" s="16" t="s">
        <v>105</v>
      </c>
      <c r="D577" s="16" t="s">
        <v>100</v>
      </c>
      <c r="E577" s="57" t="s">
        <v>425</v>
      </c>
      <c r="F577" s="21"/>
      <c r="G577" s="98" t="s">
        <v>424</v>
      </c>
      <c r="H577" s="41">
        <f>SUM(H578:H579)</f>
        <v>2341.8000000000002</v>
      </c>
      <c r="I577" s="41">
        <f>SUM(I578:I579)</f>
        <v>2341.8000000000002</v>
      </c>
      <c r="J577" s="41">
        <f>SUM(J578:J579)</f>
        <v>2341.8000000000002</v>
      </c>
    </row>
    <row r="578" spans="1:10" s="37" customFormat="1" ht="14.25">
      <c r="A578" s="27"/>
      <c r="B578" s="70"/>
      <c r="C578" s="16" t="s">
        <v>105</v>
      </c>
      <c r="D578" s="16" t="s">
        <v>100</v>
      </c>
      <c r="E578" s="57" t="s">
        <v>425</v>
      </c>
      <c r="F578" s="21" t="s">
        <v>228</v>
      </c>
      <c r="G578" s="98" t="s">
        <v>227</v>
      </c>
      <c r="H578" s="39">
        <v>2141.8000000000002</v>
      </c>
      <c r="I578" s="39">
        <v>2141.8000000000002</v>
      </c>
      <c r="J578" s="39">
        <v>2141.8000000000002</v>
      </c>
    </row>
    <row r="579" spans="1:10" s="37" customFormat="1" ht="63.75">
      <c r="A579" s="27"/>
      <c r="B579" s="70"/>
      <c r="C579" s="16" t="s">
        <v>105</v>
      </c>
      <c r="D579" s="16" t="s">
        <v>100</v>
      </c>
      <c r="E579" s="57" t="s">
        <v>425</v>
      </c>
      <c r="F579" s="16" t="s">
        <v>12</v>
      </c>
      <c r="G579" s="98" t="s">
        <v>374</v>
      </c>
      <c r="H579" s="41">
        <v>200</v>
      </c>
      <c r="I579" s="41">
        <v>200</v>
      </c>
      <c r="J579" s="41">
        <v>200</v>
      </c>
    </row>
    <row r="580" spans="1:10" s="37" customFormat="1" ht="38.25">
      <c r="A580" s="27"/>
      <c r="B580" s="70"/>
      <c r="C580" s="16" t="s">
        <v>105</v>
      </c>
      <c r="D580" s="16" t="s">
        <v>100</v>
      </c>
      <c r="E580" s="57" t="s">
        <v>598</v>
      </c>
      <c r="F580" s="21"/>
      <c r="G580" s="98" t="s">
        <v>135</v>
      </c>
      <c r="H580" s="41">
        <f>SUM(H581:H582)</f>
        <v>177.2</v>
      </c>
      <c r="I580" s="41">
        <f>SUM(I581:I582)</f>
        <v>183.4</v>
      </c>
      <c r="J580" s="41">
        <f>SUM(J581:J582)</f>
        <v>183.4</v>
      </c>
    </row>
    <row r="581" spans="1:10" s="37" customFormat="1" ht="25.5">
      <c r="A581" s="27"/>
      <c r="B581" s="70"/>
      <c r="C581" s="16" t="s">
        <v>105</v>
      </c>
      <c r="D581" s="16" t="s">
        <v>100</v>
      </c>
      <c r="E581" s="57" t="s">
        <v>598</v>
      </c>
      <c r="F581" s="82" t="s">
        <v>65</v>
      </c>
      <c r="G581" s="55" t="s">
        <v>131</v>
      </c>
      <c r="H581" s="41">
        <v>88.5</v>
      </c>
      <c r="I581" s="41">
        <v>88.5</v>
      </c>
      <c r="J581" s="41">
        <v>88.5</v>
      </c>
    </row>
    <row r="582" spans="1:10" s="37" customFormat="1" ht="38.25">
      <c r="A582" s="27"/>
      <c r="B582" s="70"/>
      <c r="C582" s="16" t="s">
        <v>105</v>
      </c>
      <c r="D582" s="16" t="s">
        <v>100</v>
      </c>
      <c r="E582" s="57" t="s">
        <v>598</v>
      </c>
      <c r="F582" s="82" t="s">
        <v>214</v>
      </c>
      <c r="G582" s="98" t="s">
        <v>215</v>
      </c>
      <c r="H582" s="41">
        <f>94.9-6.2</f>
        <v>88.7</v>
      </c>
      <c r="I582" s="41">
        <v>94.9</v>
      </c>
      <c r="J582" s="41">
        <v>94.9</v>
      </c>
    </row>
    <row r="583" spans="1:10" s="37" customFormat="1" ht="28.5" customHeight="1">
      <c r="A583" s="27"/>
      <c r="B583" s="70"/>
      <c r="C583" s="16" t="s">
        <v>105</v>
      </c>
      <c r="D583" s="16" t="s">
        <v>100</v>
      </c>
      <c r="E583" s="52" t="s">
        <v>443</v>
      </c>
      <c r="F583" s="82"/>
      <c r="G583" s="46" t="s">
        <v>442</v>
      </c>
      <c r="H583" s="41">
        <f>H584+H589+H592+H602</f>
        <v>1329.2</v>
      </c>
      <c r="I583" s="41">
        <f t="shared" ref="I583:J583" si="247">I584+I589+I592+I602</f>
        <v>1196.2000000000003</v>
      </c>
      <c r="J583" s="41">
        <f t="shared" si="247"/>
        <v>1196.2000000000003</v>
      </c>
    </row>
    <row r="584" spans="1:10" s="37" customFormat="1" ht="25.5">
      <c r="A584" s="27"/>
      <c r="B584" s="70"/>
      <c r="C584" s="16" t="s">
        <v>105</v>
      </c>
      <c r="D584" s="16" t="s">
        <v>100</v>
      </c>
      <c r="E584" s="21" t="s">
        <v>444</v>
      </c>
      <c r="F584" s="21"/>
      <c r="G584" s="97" t="s">
        <v>486</v>
      </c>
      <c r="H584" s="41">
        <f>H585+H587</f>
        <v>264.39999999999998</v>
      </c>
      <c r="I584" s="41">
        <f t="shared" ref="I584:J584" si="248">I585+I587</f>
        <v>258.20000000000005</v>
      </c>
      <c r="J584" s="41">
        <f t="shared" si="248"/>
        <v>258.20000000000005</v>
      </c>
    </row>
    <row r="585" spans="1:10" s="37" customFormat="1" ht="40.5" customHeight="1">
      <c r="A585" s="27"/>
      <c r="B585" s="70"/>
      <c r="C585" s="16" t="s">
        <v>105</v>
      </c>
      <c r="D585" s="16" t="s">
        <v>100</v>
      </c>
      <c r="E585" s="21" t="s">
        <v>599</v>
      </c>
      <c r="F585" s="16"/>
      <c r="G585" s="97" t="s">
        <v>445</v>
      </c>
      <c r="H585" s="39">
        <f>H586</f>
        <v>134.30000000000001</v>
      </c>
      <c r="I585" s="39">
        <f>I586</f>
        <v>134.30000000000001</v>
      </c>
      <c r="J585" s="39">
        <f>J586</f>
        <v>134.30000000000001</v>
      </c>
    </row>
    <row r="586" spans="1:10" s="37" customFormat="1" ht="14.25">
      <c r="A586" s="27"/>
      <c r="B586" s="70"/>
      <c r="C586" s="16" t="s">
        <v>105</v>
      </c>
      <c r="D586" s="16" t="s">
        <v>100</v>
      </c>
      <c r="E586" s="21" t="s">
        <v>599</v>
      </c>
      <c r="F586" s="82" t="s">
        <v>364</v>
      </c>
      <c r="G586" s="98" t="s">
        <v>365</v>
      </c>
      <c r="H586" s="41">
        <v>134.30000000000001</v>
      </c>
      <c r="I586" s="41">
        <v>134.30000000000001</v>
      </c>
      <c r="J586" s="41">
        <v>134.30000000000001</v>
      </c>
    </row>
    <row r="587" spans="1:10" s="37" customFormat="1" ht="38.25">
      <c r="A587" s="27"/>
      <c r="B587" s="70"/>
      <c r="C587" s="16" t="s">
        <v>105</v>
      </c>
      <c r="D587" s="16" t="s">
        <v>100</v>
      </c>
      <c r="E587" s="57" t="s">
        <v>600</v>
      </c>
      <c r="F587" s="16"/>
      <c r="G587" s="98" t="s">
        <v>50</v>
      </c>
      <c r="H587" s="41">
        <f>H588</f>
        <v>130.1</v>
      </c>
      <c r="I587" s="41">
        <f>I588</f>
        <v>123.9</v>
      </c>
      <c r="J587" s="41">
        <f>J588</f>
        <v>123.9</v>
      </c>
    </row>
    <row r="588" spans="1:10" s="37" customFormat="1" ht="38.25">
      <c r="A588" s="27"/>
      <c r="B588" s="70"/>
      <c r="C588" s="16" t="s">
        <v>105</v>
      </c>
      <c r="D588" s="16" t="s">
        <v>100</v>
      </c>
      <c r="E588" s="57" t="s">
        <v>600</v>
      </c>
      <c r="F588" s="82" t="s">
        <v>214</v>
      </c>
      <c r="G588" s="98" t="s">
        <v>215</v>
      </c>
      <c r="H588" s="41">
        <f>123.9+6.2</f>
        <v>130.1</v>
      </c>
      <c r="I588" s="41">
        <v>123.9</v>
      </c>
      <c r="J588" s="41">
        <v>123.9</v>
      </c>
    </row>
    <row r="589" spans="1:10" s="37" customFormat="1" ht="38.25">
      <c r="A589" s="27"/>
      <c r="B589" s="70"/>
      <c r="C589" s="16" t="s">
        <v>105</v>
      </c>
      <c r="D589" s="16" t="s">
        <v>100</v>
      </c>
      <c r="E589" s="21" t="s">
        <v>447</v>
      </c>
      <c r="F589" s="21"/>
      <c r="G589" s="97" t="s">
        <v>448</v>
      </c>
      <c r="H589" s="39">
        <f>H590</f>
        <v>55.999999999999993</v>
      </c>
      <c r="I589" s="39">
        <f t="shared" ref="I589:J589" si="249">I590</f>
        <v>71.099999999999994</v>
      </c>
      <c r="J589" s="39">
        <f t="shared" si="249"/>
        <v>71.099999999999994</v>
      </c>
    </row>
    <row r="590" spans="1:10" s="37" customFormat="1" ht="38.25">
      <c r="A590" s="27"/>
      <c r="B590" s="70"/>
      <c r="C590" s="16" t="s">
        <v>105</v>
      </c>
      <c r="D590" s="16" t="s">
        <v>100</v>
      </c>
      <c r="E590" s="57" t="s">
        <v>597</v>
      </c>
      <c r="F590" s="16"/>
      <c r="G590" s="54" t="s">
        <v>537</v>
      </c>
      <c r="H590" s="94">
        <f>H591</f>
        <v>55.999999999999993</v>
      </c>
      <c r="I590" s="94">
        <f>I591</f>
        <v>71.099999999999994</v>
      </c>
      <c r="J590" s="94">
        <f>J591</f>
        <v>71.099999999999994</v>
      </c>
    </row>
    <row r="591" spans="1:10" s="37" customFormat="1" ht="14.25">
      <c r="A591" s="27"/>
      <c r="B591" s="70"/>
      <c r="C591" s="16" t="s">
        <v>105</v>
      </c>
      <c r="D591" s="16" t="s">
        <v>100</v>
      </c>
      <c r="E591" s="57" t="s">
        <v>597</v>
      </c>
      <c r="F591" s="21" t="s">
        <v>228</v>
      </c>
      <c r="G591" s="98" t="s">
        <v>227</v>
      </c>
      <c r="H591" s="94">
        <f>71.1-15.1</f>
        <v>55.999999999999993</v>
      </c>
      <c r="I591" s="94">
        <v>71.099999999999994</v>
      </c>
      <c r="J591" s="94">
        <v>71.099999999999994</v>
      </c>
    </row>
    <row r="592" spans="1:10" s="37" customFormat="1" ht="38.25">
      <c r="A592" s="27"/>
      <c r="B592" s="70"/>
      <c r="C592" s="16" t="s">
        <v>105</v>
      </c>
      <c r="D592" s="16" t="s">
        <v>100</v>
      </c>
      <c r="E592" s="21" t="s">
        <v>449</v>
      </c>
      <c r="F592" s="21"/>
      <c r="G592" s="97" t="s">
        <v>450</v>
      </c>
      <c r="H592" s="41">
        <f>H593+H595+H598+H600</f>
        <v>882</v>
      </c>
      <c r="I592" s="41">
        <f>I593+I595+I598+I600</f>
        <v>866.90000000000009</v>
      </c>
      <c r="J592" s="41">
        <f>J593+J595+J598+J600</f>
        <v>866.90000000000009</v>
      </c>
    </row>
    <row r="593" spans="1:10" s="37" customFormat="1" ht="63.75">
      <c r="A593" s="27"/>
      <c r="B593" s="70"/>
      <c r="C593" s="16" t="s">
        <v>105</v>
      </c>
      <c r="D593" s="16" t="s">
        <v>100</v>
      </c>
      <c r="E593" s="80">
        <v>140323020</v>
      </c>
      <c r="F593" s="82"/>
      <c r="G593" s="98" t="s">
        <v>134</v>
      </c>
      <c r="H593" s="41">
        <f>H594</f>
        <v>311.70000000000005</v>
      </c>
      <c r="I593" s="41">
        <f>I594</f>
        <v>296.60000000000002</v>
      </c>
      <c r="J593" s="41">
        <f>J594</f>
        <v>296.60000000000002</v>
      </c>
    </row>
    <row r="594" spans="1:10" s="37" customFormat="1" ht="38.25">
      <c r="A594" s="27"/>
      <c r="B594" s="70"/>
      <c r="C594" s="16" t="s">
        <v>105</v>
      </c>
      <c r="D594" s="16" t="s">
        <v>100</v>
      </c>
      <c r="E594" s="80">
        <v>140323020</v>
      </c>
      <c r="F594" s="82" t="s">
        <v>214</v>
      </c>
      <c r="G594" s="98" t="s">
        <v>215</v>
      </c>
      <c r="H594" s="41">
        <f>112+140.5+44.1+15.1</f>
        <v>311.70000000000005</v>
      </c>
      <c r="I594" s="41">
        <f t="shared" ref="I594:J594" si="250">112+140.5+44.1</f>
        <v>296.60000000000002</v>
      </c>
      <c r="J594" s="41">
        <f t="shared" si="250"/>
        <v>296.60000000000002</v>
      </c>
    </row>
    <row r="595" spans="1:10" s="37" customFormat="1" ht="80.25" customHeight="1">
      <c r="A595" s="27"/>
      <c r="B595" s="70"/>
      <c r="C595" s="16" t="s">
        <v>105</v>
      </c>
      <c r="D595" s="16" t="s">
        <v>100</v>
      </c>
      <c r="E595" s="80">
        <v>140323025</v>
      </c>
      <c r="F595" s="82"/>
      <c r="G595" s="98" t="s">
        <v>451</v>
      </c>
      <c r="H595" s="41">
        <f>SUM(H596:H597)</f>
        <v>322.3</v>
      </c>
      <c r="I595" s="41">
        <f t="shared" ref="I595:J595" si="251">SUM(I596:I597)</f>
        <v>322.3</v>
      </c>
      <c r="J595" s="41">
        <f t="shared" si="251"/>
        <v>322.3</v>
      </c>
    </row>
    <row r="596" spans="1:10" s="37" customFormat="1" ht="38.25">
      <c r="A596" s="27"/>
      <c r="B596" s="70"/>
      <c r="C596" s="16" t="s">
        <v>105</v>
      </c>
      <c r="D596" s="16" t="s">
        <v>100</v>
      </c>
      <c r="E596" s="80">
        <v>140323025</v>
      </c>
      <c r="F596" s="82" t="s">
        <v>214</v>
      </c>
      <c r="G596" s="98" t="s">
        <v>215</v>
      </c>
      <c r="H596" s="41">
        <f>322.3-35-5</f>
        <v>282.3</v>
      </c>
      <c r="I596" s="41">
        <f t="shared" ref="I596:J596" si="252">322.3-35</f>
        <v>287.3</v>
      </c>
      <c r="J596" s="41">
        <f t="shared" si="252"/>
        <v>287.3</v>
      </c>
    </row>
    <row r="597" spans="1:10" s="37" customFormat="1" ht="14.25">
      <c r="A597" s="27"/>
      <c r="B597" s="70"/>
      <c r="C597" s="16" t="s">
        <v>105</v>
      </c>
      <c r="D597" s="16" t="s">
        <v>100</v>
      </c>
      <c r="E597" s="80">
        <v>140323025</v>
      </c>
      <c r="F597" s="82" t="s">
        <v>709</v>
      </c>
      <c r="G597" s="98" t="s">
        <v>710</v>
      </c>
      <c r="H597" s="41">
        <f>35+5</f>
        <v>40</v>
      </c>
      <c r="I597" s="41">
        <v>35</v>
      </c>
      <c r="J597" s="41">
        <v>35</v>
      </c>
    </row>
    <row r="598" spans="1:10" s="37" customFormat="1" ht="53.25" customHeight="1">
      <c r="A598" s="27"/>
      <c r="B598" s="70"/>
      <c r="C598" s="16" t="s">
        <v>105</v>
      </c>
      <c r="D598" s="16" t="s">
        <v>100</v>
      </c>
      <c r="E598" s="80" t="s">
        <v>452</v>
      </c>
      <c r="F598" s="82"/>
      <c r="G598" s="98" t="s">
        <v>453</v>
      </c>
      <c r="H598" s="41">
        <f>H599</f>
        <v>45.9</v>
      </c>
      <c r="I598" s="41">
        <f>I599</f>
        <v>45.9</v>
      </c>
      <c r="J598" s="41">
        <f>J599</f>
        <v>45.9</v>
      </c>
    </row>
    <row r="599" spans="1:10" s="37" customFormat="1" ht="38.25">
      <c r="A599" s="27"/>
      <c r="B599" s="70"/>
      <c r="C599" s="16" t="s">
        <v>105</v>
      </c>
      <c r="D599" s="16" t="s">
        <v>100</v>
      </c>
      <c r="E599" s="80" t="s">
        <v>452</v>
      </c>
      <c r="F599" s="82" t="s">
        <v>214</v>
      </c>
      <c r="G599" s="98" t="s">
        <v>215</v>
      </c>
      <c r="H599" s="41">
        <f>90-44.1</f>
        <v>45.9</v>
      </c>
      <c r="I599" s="41">
        <f t="shared" ref="I599:J599" si="253">90-44.1</f>
        <v>45.9</v>
      </c>
      <c r="J599" s="41">
        <f t="shared" si="253"/>
        <v>45.9</v>
      </c>
    </row>
    <row r="600" spans="1:10" s="37" customFormat="1" ht="38.25">
      <c r="A600" s="27"/>
      <c r="B600" s="70"/>
      <c r="C600" s="16" t="s">
        <v>105</v>
      </c>
      <c r="D600" s="16" t="s">
        <v>100</v>
      </c>
      <c r="E600" s="80">
        <v>140311080</v>
      </c>
      <c r="F600" s="82"/>
      <c r="G600" s="98" t="s">
        <v>454</v>
      </c>
      <c r="H600" s="41">
        <f>H601</f>
        <v>202.1</v>
      </c>
      <c r="I600" s="41">
        <f>I601</f>
        <v>202.1</v>
      </c>
      <c r="J600" s="41">
        <f>J601</f>
        <v>202.1</v>
      </c>
    </row>
    <row r="601" spans="1:10" s="37" customFormat="1" ht="38.25">
      <c r="A601" s="27"/>
      <c r="B601" s="70"/>
      <c r="C601" s="16" t="s">
        <v>105</v>
      </c>
      <c r="D601" s="16" t="s">
        <v>100</v>
      </c>
      <c r="E601" s="80">
        <v>140311080</v>
      </c>
      <c r="F601" s="82" t="s">
        <v>214</v>
      </c>
      <c r="G601" s="98" t="s">
        <v>215</v>
      </c>
      <c r="H601" s="39">
        <v>202.1</v>
      </c>
      <c r="I601" s="39">
        <v>202.1</v>
      </c>
      <c r="J601" s="39">
        <v>202.1</v>
      </c>
    </row>
    <row r="602" spans="1:10" s="37" customFormat="1" ht="25.5">
      <c r="A602" s="27"/>
      <c r="B602" s="70"/>
      <c r="C602" s="16" t="s">
        <v>105</v>
      </c>
      <c r="D602" s="16" t="s">
        <v>100</v>
      </c>
      <c r="E602" s="21" t="s">
        <v>764</v>
      </c>
      <c r="F602" s="82"/>
      <c r="G602" s="166" t="s">
        <v>765</v>
      </c>
      <c r="H602" s="39">
        <f>H603</f>
        <v>126.8</v>
      </c>
      <c r="I602" s="39">
        <f t="shared" ref="I602:J602" si="254">I603</f>
        <v>0</v>
      </c>
      <c r="J602" s="39">
        <f t="shared" si="254"/>
        <v>0</v>
      </c>
    </row>
    <row r="603" spans="1:10" s="37" customFormat="1" ht="63.75">
      <c r="A603" s="27"/>
      <c r="B603" s="70"/>
      <c r="C603" s="16" t="s">
        <v>105</v>
      </c>
      <c r="D603" s="16" t="s">
        <v>100</v>
      </c>
      <c r="E603" s="21" t="s">
        <v>762</v>
      </c>
      <c r="F603" s="82"/>
      <c r="G603" s="131" t="s">
        <v>763</v>
      </c>
      <c r="H603" s="39">
        <f>H604</f>
        <v>126.8</v>
      </c>
      <c r="I603" s="39">
        <v>0</v>
      </c>
      <c r="J603" s="39">
        <v>0</v>
      </c>
    </row>
    <row r="604" spans="1:10" s="37" customFormat="1" ht="38.25">
      <c r="A604" s="27"/>
      <c r="B604" s="70"/>
      <c r="C604" s="16" t="s">
        <v>105</v>
      </c>
      <c r="D604" s="16" t="s">
        <v>100</v>
      </c>
      <c r="E604" s="21" t="s">
        <v>762</v>
      </c>
      <c r="F604" s="82" t="s">
        <v>214</v>
      </c>
      <c r="G604" s="98" t="s">
        <v>215</v>
      </c>
      <c r="H604" s="39">
        <f>120+6.8</f>
        <v>126.8</v>
      </c>
      <c r="I604" s="39">
        <v>0</v>
      </c>
      <c r="J604" s="39">
        <v>0</v>
      </c>
    </row>
    <row r="605" spans="1:10" s="37" customFormat="1" ht="14.25">
      <c r="A605" s="27"/>
      <c r="B605" s="70"/>
      <c r="C605" s="16" t="s">
        <v>105</v>
      </c>
      <c r="D605" s="16" t="s">
        <v>100</v>
      </c>
      <c r="E605" s="52" t="s">
        <v>77</v>
      </c>
      <c r="F605" s="16"/>
      <c r="G605" s="66" t="s">
        <v>47</v>
      </c>
      <c r="H605" s="41">
        <f>H606</f>
        <v>8283.6</v>
      </c>
      <c r="I605" s="41">
        <f>I606</f>
        <v>8283.7000000000007</v>
      </c>
      <c r="J605" s="41">
        <f>J606</f>
        <v>8283.7000000000007</v>
      </c>
    </row>
    <row r="606" spans="1:10" s="37" customFormat="1" ht="63.75">
      <c r="A606" s="27"/>
      <c r="B606" s="70"/>
      <c r="C606" s="16" t="s">
        <v>105</v>
      </c>
      <c r="D606" s="16" t="s">
        <v>100</v>
      </c>
      <c r="E606" s="80">
        <v>190022200</v>
      </c>
      <c r="F606" s="82"/>
      <c r="G606" s="98" t="s">
        <v>455</v>
      </c>
      <c r="H606" s="41">
        <f>SUM(H607:H608)</f>
        <v>8283.6</v>
      </c>
      <c r="I606" s="41">
        <f>SUM(I607:I608)</f>
        <v>8283.7000000000007</v>
      </c>
      <c r="J606" s="41">
        <f>SUM(J607:J608)</f>
        <v>8283.7000000000007</v>
      </c>
    </row>
    <row r="607" spans="1:10" s="37" customFormat="1" ht="38.25">
      <c r="A607" s="27"/>
      <c r="B607" s="70"/>
      <c r="C607" s="16" t="s">
        <v>105</v>
      </c>
      <c r="D607" s="16" t="s">
        <v>100</v>
      </c>
      <c r="E607" s="80">
        <v>190022200</v>
      </c>
      <c r="F607" s="16" t="s">
        <v>63</v>
      </c>
      <c r="G607" s="55" t="s">
        <v>64</v>
      </c>
      <c r="H607" s="41">
        <f>4887.2+592.5+1638.9+711.9</f>
        <v>7830.5</v>
      </c>
      <c r="I607" s="41">
        <f>4887.2+592.5+1638.9+712</f>
        <v>7830.6</v>
      </c>
      <c r="J607" s="41">
        <f>4887.2+592.5+1638.9+712</f>
        <v>7830.6</v>
      </c>
    </row>
    <row r="608" spans="1:10" s="37" customFormat="1" ht="38.25">
      <c r="A608" s="27"/>
      <c r="B608" s="70"/>
      <c r="C608" s="16" t="s">
        <v>105</v>
      </c>
      <c r="D608" s="16" t="s">
        <v>100</v>
      </c>
      <c r="E608" s="80">
        <v>190022200</v>
      </c>
      <c r="F608" s="82" t="s">
        <v>214</v>
      </c>
      <c r="G608" s="98" t="s">
        <v>215</v>
      </c>
      <c r="H608" s="41">
        <f>453.1</f>
        <v>453.1</v>
      </c>
      <c r="I608" s="41">
        <f t="shared" ref="I608:J608" si="255">453.1</f>
        <v>453.1</v>
      </c>
      <c r="J608" s="41">
        <f t="shared" si="255"/>
        <v>453.1</v>
      </c>
    </row>
    <row r="609" spans="1:10" ht="15.75">
      <c r="A609" s="3"/>
      <c r="B609" s="91"/>
      <c r="C609" s="4" t="s">
        <v>111</v>
      </c>
      <c r="D609" s="3"/>
      <c r="E609" s="3"/>
      <c r="F609" s="3"/>
      <c r="G609" s="49" t="s">
        <v>112</v>
      </c>
      <c r="H609" s="92">
        <f>H610+H616</f>
        <v>14220.1</v>
      </c>
      <c r="I609" s="92">
        <f>I610+I616</f>
        <v>14220.1</v>
      </c>
      <c r="J609" s="92">
        <f>J610+J616</f>
        <v>14220.1</v>
      </c>
    </row>
    <row r="610" spans="1:10" ht="15.75">
      <c r="A610" s="3"/>
      <c r="B610" s="91"/>
      <c r="C610" s="35" t="s">
        <v>111</v>
      </c>
      <c r="D610" s="35" t="s">
        <v>94</v>
      </c>
      <c r="E610" s="35"/>
      <c r="F610" s="35"/>
      <c r="G610" s="45" t="s">
        <v>117</v>
      </c>
      <c r="H610" s="93">
        <f t="shared" ref="H610:J612" si="256">H611</f>
        <v>1152</v>
      </c>
      <c r="I610" s="93">
        <f t="shared" si="256"/>
        <v>1152</v>
      </c>
      <c r="J610" s="93">
        <f t="shared" si="256"/>
        <v>1152</v>
      </c>
    </row>
    <row r="611" spans="1:10" ht="77.25">
      <c r="A611" s="3"/>
      <c r="B611" s="91"/>
      <c r="C611" s="82" t="s">
        <v>111</v>
      </c>
      <c r="D611" s="82" t="s">
        <v>94</v>
      </c>
      <c r="E611" s="21" t="s">
        <v>74</v>
      </c>
      <c r="F611" s="35"/>
      <c r="G611" s="64" t="s">
        <v>615</v>
      </c>
      <c r="H611" s="96">
        <f t="shared" si="256"/>
        <v>1152</v>
      </c>
      <c r="I611" s="96">
        <f t="shared" si="256"/>
        <v>1152</v>
      </c>
      <c r="J611" s="96">
        <f t="shared" si="256"/>
        <v>1152</v>
      </c>
    </row>
    <row r="612" spans="1:10" ht="27.75" customHeight="1">
      <c r="A612" s="3"/>
      <c r="B612" s="91"/>
      <c r="C612" s="47" t="s">
        <v>111</v>
      </c>
      <c r="D612" s="47" t="s">
        <v>94</v>
      </c>
      <c r="E612" s="52" t="s">
        <v>443</v>
      </c>
      <c r="F612" s="82"/>
      <c r="G612" s="46" t="s">
        <v>442</v>
      </c>
      <c r="H612" s="41">
        <f>H613</f>
        <v>1152</v>
      </c>
      <c r="I612" s="41">
        <f t="shared" si="256"/>
        <v>1152</v>
      </c>
      <c r="J612" s="41">
        <f t="shared" si="256"/>
        <v>1152</v>
      </c>
    </row>
    <row r="613" spans="1:10" ht="26.25">
      <c r="A613" s="3"/>
      <c r="B613" s="91"/>
      <c r="C613" s="16" t="s">
        <v>111</v>
      </c>
      <c r="D613" s="16" t="s">
        <v>94</v>
      </c>
      <c r="E613" s="21" t="s">
        <v>444</v>
      </c>
      <c r="F613" s="21"/>
      <c r="G613" s="97" t="s">
        <v>486</v>
      </c>
      <c r="H613" s="41">
        <f>H614</f>
        <v>1152</v>
      </c>
      <c r="I613" s="41">
        <f t="shared" ref="I613:J613" si="257">I614</f>
        <v>1152</v>
      </c>
      <c r="J613" s="41">
        <f t="shared" si="257"/>
        <v>1152</v>
      </c>
    </row>
    <row r="614" spans="1:10" ht="102">
      <c r="A614" s="3"/>
      <c r="B614" s="91"/>
      <c r="C614" s="16" t="s">
        <v>111</v>
      </c>
      <c r="D614" s="16" t="s">
        <v>94</v>
      </c>
      <c r="E614" s="80">
        <v>140210560</v>
      </c>
      <c r="F614" s="82"/>
      <c r="G614" s="98" t="s">
        <v>184</v>
      </c>
      <c r="H614" s="41">
        <f>H615</f>
        <v>1152</v>
      </c>
      <c r="I614" s="41">
        <f>I615</f>
        <v>1152</v>
      </c>
      <c r="J614" s="41">
        <f>J615</f>
        <v>1152</v>
      </c>
    </row>
    <row r="615" spans="1:10" ht="25.5">
      <c r="A615" s="3"/>
      <c r="B615" s="91"/>
      <c r="C615" s="16" t="s">
        <v>111</v>
      </c>
      <c r="D615" s="16" t="s">
        <v>94</v>
      </c>
      <c r="E615" s="80">
        <v>140210560</v>
      </c>
      <c r="F615" s="82" t="s">
        <v>284</v>
      </c>
      <c r="G615" s="98" t="s">
        <v>285</v>
      </c>
      <c r="H615" s="39">
        <v>1152</v>
      </c>
      <c r="I615" s="39">
        <v>1152</v>
      </c>
      <c r="J615" s="39">
        <v>1152</v>
      </c>
    </row>
    <row r="616" spans="1:10" ht="14.25">
      <c r="A616" s="1"/>
      <c r="B616" s="25"/>
      <c r="C616" s="35" t="s">
        <v>111</v>
      </c>
      <c r="D616" s="35" t="s">
        <v>95</v>
      </c>
      <c r="E616" s="35"/>
      <c r="F616" s="38"/>
      <c r="G616" s="50" t="s">
        <v>13</v>
      </c>
      <c r="H616" s="42">
        <f t="shared" ref="H616:J619" si="258">H617</f>
        <v>13068.1</v>
      </c>
      <c r="I616" s="42">
        <f t="shared" si="258"/>
        <v>13068.1</v>
      </c>
      <c r="J616" s="42">
        <f t="shared" si="258"/>
        <v>13068.1</v>
      </c>
    </row>
    <row r="617" spans="1:10" ht="76.5">
      <c r="A617" s="1"/>
      <c r="B617" s="25"/>
      <c r="C617" s="16" t="s">
        <v>111</v>
      </c>
      <c r="D617" s="16" t="s">
        <v>95</v>
      </c>
      <c r="E617" s="21" t="s">
        <v>74</v>
      </c>
      <c r="F617" s="35"/>
      <c r="G617" s="64" t="s">
        <v>615</v>
      </c>
      <c r="H617" s="96">
        <f t="shared" si="258"/>
        <v>13068.1</v>
      </c>
      <c r="I617" s="96">
        <f t="shared" si="258"/>
        <v>13068.1</v>
      </c>
      <c r="J617" s="96">
        <f t="shared" si="258"/>
        <v>13068.1</v>
      </c>
    </row>
    <row r="618" spans="1:10" ht="25.5">
      <c r="A618" s="1"/>
      <c r="B618" s="25"/>
      <c r="C618" s="16" t="s">
        <v>111</v>
      </c>
      <c r="D618" s="16" t="s">
        <v>95</v>
      </c>
      <c r="E618" s="52" t="s">
        <v>75</v>
      </c>
      <c r="F618" s="35"/>
      <c r="G618" s="46" t="s">
        <v>402</v>
      </c>
      <c r="H618" s="93">
        <f t="shared" si="258"/>
        <v>13068.1</v>
      </c>
      <c r="I618" s="93">
        <f t="shared" si="258"/>
        <v>13068.1</v>
      </c>
      <c r="J618" s="93">
        <f t="shared" si="258"/>
        <v>13068.1</v>
      </c>
    </row>
    <row r="619" spans="1:10" ht="25.5">
      <c r="A619" s="1"/>
      <c r="B619" s="25"/>
      <c r="C619" s="16" t="s">
        <v>111</v>
      </c>
      <c r="D619" s="16" t="s">
        <v>95</v>
      </c>
      <c r="E619" s="21" t="s">
        <v>288</v>
      </c>
      <c r="F619" s="21"/>
      <c r="G619" s="97" t="s">
        <v>399</v>
      </c>
      <c r="H619" s="39">
        <f t="shared" si="258"/>
        <v>13068.1</v>
      </c>
      <c r="I619" s="39">
        <f t="shared" si="258"/>
        <v>13068.1</v>
      </c>
      <c r="J619" s="39">
        <f t="shared" si="258"/>
        <v>13068.1</v>
      </c>
    </row>
    <row r="620" spans="1:10" ht="76.5">
      <c r="A620" s="1"/>
      <c r="B620" s="25"/>
      <c r="C620" s="16" t="s">
        <v>111</v>
      </c>
      <c r="D620" s="16" t="s">
        <v>95</v>
      </c>
      <c r="E620" s="57" t="s">
        <v>401</v>
      </c>
      <c r="F620" s="21"/>
      <c r="G620" s="98" t="s">
        <v>400</v>
      </c>
      <c r="H620" s="94">
        <f>H621+H622</f>
        <v>13068.1</v>
      </c>
      <c r="I620" s="94">
        <f>I621+I622</f>
        <v>13068.1</v>
      </c>
      <c r="J620" s="94">
        <f>J621+J622</f>
        <v>13068.1</v>
      </c>
    </row>
    <row r="621" spans="1:10" ht="38.25">
      <c r="A621" s="1"/>
      <c r="B621" s="25"/>
      <c r="C621" s="16" t="s">
        <v>111</v>
      </c>
      <c r="D621" s="16" t="s">
        <v>95</v>
      </c>
      <c r="E621" s="57" t="s">
        <v>401</v>
      </c>
      <c r="F621" s="82" t="s">
        <v>214</v>
      </c>
      <c r="G621" s="98" t="s">
        <v>215</v>
      </c>
      <c r="H621" s="94">
        <v>330</v>
      </c>
      <c r="I621" s="94">
        <v>330</v>
      </c>
      <c r="J621" s="94">
        <v>330</v>
      </c>
    </row>
    <row r="622" spans="1:10" ht="38.25">
      <c r="A622" s="1"/>
      <c r="B622" s="25"/>
      <c r="C622" s="16" t="s">
        <v>111</v>
      </c>
      <c r="D622" s="16" t="s">
        <v>95</v>
      </c>
      <c r="E622" s="57" t="s">
        <v>401</v>
      </c>
      <c r="F622" s="82" t="s">
        <v>265</v>
      </c>
      <c r="G622" s="98" t="s">
        <v>254</v>
      </c>
      <c r="H622" s="94">
        <v>12738.1</v>
      </c>
      <c r="I622" s="94">
        <v>12738.1</v>
      </c>
      <c r="J622" s="94">
        <v>12738.1</v>
      </c>
    </row>
    <row r="623" spans="1:10" s="8" customFormat="1" ht="108">
      <c r="A623" s="3">
        <v>5</v>
      </c>
      <c r="B623" s="91">
        <v>938</v>
      </c>
      <c r="C623" s="13"/>
      <c r="D623" s="13"/>
      <c r="E623" s="13"/>
      <c r="F623" s="13"/>
      <c r="G623" s="14" t="s">
        <v>177</v>
      </c>
      <c r="H623" s="92">
        <f>H624+H631+H681+H729</f>
        <v>109404.1</v>
      </c>
      <c r="I623" s="92">
        <f>I624+I631+I681+I729</f>
        <v>87240.3</v>
      </c>
      <c r="J623" s="92">
        <f>J624+J631+J681+J729</f>
        <v>87240.3</v>
      </c>
    </row>
    <row r="624" spans="1:10" s="8" customFormat="1" ht="45">
      <c r="A624" s="3"/>
      <c r="B624" s="91"/>
      <c r="C624" s="4" t="s">
        <v>94</v>
      </c>
      <c r="D624" s="3"/>
      <c r="E624" s="3"/>
      <c r="F624" s="3"/>
      <c r="G624" s="49" t="s">
        <v>99</v>
      </c>
      <c r="H624" s="92">
        <f>H625</f>
        <v>34</v>
      </c>
      <c r="I624" s="92">
        <f t="shared" ref="I624:J625" si="259">I625</f>
        <v>34</v>
      </c>
      <c r="J624" s="92">
        <f t="shared" si="259"/>
        <v>34</v>
      </c>
    </row>
    <row r="625" spans="1:10" s="8" customFormat="1" ht="39">
      <c r="A625" s="3"/>
      <c r="B625" s="91"/>
      <c r="C625" s="28" t="s">
        <v>94</v>
      </c>
      <c r="D625" s="28" t="s">
        <v>122</v>
      </c>
      <c r="E625" s="28"/>
      <c r="F625" s="34"/>
      <c r="G625" s="46" t="s">
        <v>22</v>
      </c>
      <c r="H625" s="40">
        <f>H626</f>
        <v>34</v>
      </c>
      <c r="I625" s="40">
        <f t="shared" si="259"/>
        <v>34</v>
      </c>
      <c r="J625" s="40">
        <f t="shared" si="259"/>
        <v>34</v>
      </c>
    </row>
    <row r="626" spans="1:10" s="8" customFormat="1" ht="90">
      <c r="A626" s="3"/>
      <c r="B626" s="91"/>
      <c r="C626" s="21" t="s">
        <v>94</v>
      </c>
      <c r="D626" s="21" t="s">
        <v>122</v>
      </c>
      <c r="E626" s="73" t="s">
        <v>72</v>
      </c>
      <c r="F626" s="16"/>
      <c r="G626" s="53" t="s">
        <v>626</v>
      </c>
      <c r="H626" s="96">
        <f t="shared" ref="H626:J629" si="260">H627</f>
        <v>34</v>
      </c>
      <c r="I626" s="96">
        <f t="shared" si="260"/>
        <v>34</v>
      </c>
      <c r="J626" s="96">
        <f t="shared" si="260"/>
        <v>34</v>
      </c>
    </row>
    <row r="627" spans="1:10" s="8" customFormat="1" ht="51">
      <c r="A627" s="3"/>
      <c r="B627" s="91"/>
      <c r="C627" s="21" t="s">
        <v>94</v>
      </c>
      <c r="D627" s="21" t="s">
        <v>122</v>
      </c>
      <c r="E627" s="52" t="s">
        <v>73</v>
      </c>
      <c r="F627" s="16"/>
      <c r="G627" s="60" t="s">
        <v>189</v>
      </c>
      <c r="H627" s="58">
        <f t="shared" si="260"/>
        <v>34</v>
      </c>
      <c r="I627" s="58">
        <f t="shared" si="260"/>
        <v>34</v>
      </c>
      <c r="J627" s="58">
        <f t="shared" si="260"/>
        <v>34</v>
      </c>
    </row>
    <row r="628" spans="1:10" s="8" customFormat="1" ht="38.25">
      <c r="A628" s="3"/>
      <c r="B628" s="91"/>
      <c r="C628" s="21" t="s">
        <v>94</v>
      </c>
      <c r="D628" s="21" t="s">
        <v>122</v>
      </c>
      <c r="E628" s="21" t="s">
        <v>229</v>
      </c>
      <c r="F628" s="82"/>
      <c r="G628" s="98" t="s">
        <v>346</v>
      </c>
      <c r="H628" s="41">
        <f t="shared" si="260"/>
        <v>34</v>
      </c>
      <c r="I628" s="41">
        <f t="shared" si="260"/>
        <v>34</v>
      </c>
      <c r="J628" s="41">
        <f t="shared" si="260"/>
        <v>34</v>
      </c>
    </row>
    <row r="629" spans="1:10" s="8" customFormat="1" ht="63.75">
      <c r="A629" s="3"/>
      <c r="B629" s="91"/>
      <c r="C629" s="21" t="s">
        <v>94</v>
      </c>
      <c r="D629" s="21" t="s">
        <v>122</v>
      </c>
      <c r="E629" s="21" t="s">
        <v>539</v>
      </c>
      <c r="F629" s="16"/>
      <c r="G629" s="98" t="s">
        <v>347</v>
      </c>
      <c r="H629" s="41">
        <f t="shared" si="260"/>
        <v>34</v>
      </c>
      <c r="I629" s="41">
        <f t="shared" si="260"/>
        <v>34</v>
      </c>
      <c r="J629" s="41">
        <f t="shared" si="260"/>
        <v>34</v>
      </c>
    </row>
    <row r="630" spans="1:10" s="8" customFormat="1" ht="25.5">
      <c r="A630" s="3"/>
      <c r="B630" s="91"/>
      <c r="C630" s="21" t="s">
        <v>94</v>
      </c>
      <c r="D630" s="21" t="s">
        <v>122</v>
      </c>
      <c r="E630" s="21" t="s">
        <v>539</v>
      </c>
      <c r="F630" s="82" t="s">
        <v>65</v>
      </c>
      <c r="G630" s="55" t="s">
        <v>131</v>
      </c>
      <c r="H630" s="41">
        <v>34</v>
      </c>
      <c r="I630" s="41">
        <v>34</v>
      </c>
      <c r="J630" s="41">
        <v>34</v>
      </c>
    </row>
    <row r="631" spans="1:10" ht="15.75">
      <c r="A631" s="3"/>
      <c r="B631" s="91"/>
      <c r="C631" s="4" t="s">
        <v>105</v>
      </c>
      <c r="D631" s="3"/>
      <c r="E631" s="3"/>
      <c r="F631" s="3"/>
      <c r="G631" s="49" t="s">
        <v>106</v>
      </c>
      <c r="H631" s="92">
        <f>H632+H648</f>
        <v>25695.4</v>
      </c>
      <c r="I631" s="92">
        <f>I632+I648</f>
        <v>22982.199999999997</v>
      </c>
      <c r="J631" s="92">
        <f>J632+J648</f>
        <v>22982.199999999997</v>
      </c>
    </row>
    <row r="632" spans="1:10" s="37" customFormat="1" ht="14.25">
      <c r="A632" s="27"/>
      <c r="B632" s="70"/>
      <c r="C632" s="35" t="s">
        <v>105</v>
      </c>
      <c r="D632" s="35" t="s">
        <v>94</v>
      </c>
      <c r="E632" s="35"/>
      <c r="F632" s="35"/>
      <c r="G632" s="45" t="s">
        <v>157</v>
      </c>
      <c r="H632" s="42">
        <f>H633+H645</f>
        <v>14881.1</v>
      </c>
      <c r="I632" s="42">
        <f>I633+I645</f>
        <v>15144.999999999998</v>
      </c>
      <c r="J632" s="42">
        <f>J633+J645</f>
        <v>15144.999999999998</v>
      </c>
    </row>
    <row r="633" spans="1:10" s="37" customFormat="1" ht="90">
      <c r="A633" s="27"/>
      <c r="B633" s="70"/>
      <c r="C633" s="16" t="s">
        <v>105</v>
      </c>
      <c r="D633" s="82" t="s">
        <v>94</v>
      </c>
      <c r="E633" s="73" t="s">
        <v>60</v>
      </c>
      <c r="F633" s="35"/>
      <c r="G633" s="53" t="s">
        <v>616</v>
      </c>
      <c r="H633" s="65">
        <f t="shared" ref="H633:J633" si="261">H634</f>
        <v>14686.1</v>
      </c>
      <c r="I633" s="65">
        <f t="shared" si="261"/>
        <v>15144.999999999998</v>
      </c>
      <c r="J633" s="65">
        <f t="shared" si="261"/>
        <v>15144.999999999998</v>
      </c>
    </row>
    <row r="634" spans="1:10" s="37" customFormat="1" ht="25.5">
      <c r="A634" s="27"/>
      <c r="B634" s="70"/>
      <c r="C634" s="16" t="s">
        <v>105</v>
      </c>
      <c r="D634" s="82" t="s">
        <v>94</v>
      </c>
      <c r="E634" s="52" t="s">
        <v>61</v>
      </c>
      <c r="F634" s="35"/>
      <c r="G634" s="48" t="s">
        <v>173</v>
      </c>
      <c r="H634" s="58">
        <f>H635+H642</f>
        <v>14686.1</v>
      </c>
      <c r="I634" s="58">
        <f t="shared" ref="I634:J634" si="262">I635+I642</f>
        <v>15144.999999999998</v>
      </c>
      <c r="J634" s="58">
        <f t="shared" si="262"/>
        <v>15144.999999999998</v>
      </c>
    </row>
    <row r="635" spans="1:10" s="37" customFormat="1" ht="25.5">
      <c r="A635" s="27"/>
      <c r="B635" s="70"/>
      <c r="C635" s="16" t="s">
        <v>105</v>
      </c>
      <c r="D635" s="82" t="s">
        <v>94</v>
      </c>
      <c r="E635" s="21" t="s">
        <v>257</v>
      </c>
      <c r="F635" s="21"/>
      <c r="G635" s="101" t="s">
        <v>457</v>
      </c>
      <c r="H635" s="39">
        <f>H636+H638+H640</f>
        <v>14448.9</v>
      </c>
      <c r="I635" s="39">
        <f t="shared" ref="I635:J635" si="263">I636+I638+I640</f>
        <v>15144.999999999998</v>
      </c>
      <c r="J635" s="39">
        <f t="shared" si="263"/>
        <v>15144.999999999998</v>
      </c>
    </row>
    <row r="636" spans="1:10" s="20" customFormat="1" ht="25.5" customHeight="1">
      <c r="A636" s="18"/>
      <c r="B636" s="71"/>
      <c r="C636" s="16" t="s">
        <v>105</v>
      </c>
      <c r="D636" s="82" t="s">
        <v>94</v>
      </c>
      <c r="E636" s="74">
        <v>210221100</v>
      </c>
      <c r="F636" s="16"/>
      <c r="G636" s="99" t="s">
        <v>175</v>
      </c>
      <c r="H636" s="39">
        <f>H637</f>
        <v>10657.1</v>
      </c>
      <c r="I636" s="39">
        <f>I637</f>
        <v>11353.199999999999</v>
      </c>
      <c r="J636" s="39">
        <f>J637</f>
        <v>11353.199999999999</v>
      </c>
    </row>
    <row r="637" spans="1:10">
      <c r="A637" s="1"/>
      <c r="B637" s="25"/>
      <c r="C637" s="16" t="s">
        <v>105</v>
      </c>
      <c r="D637" s="82" t="s">
        <v>94</v>
      </c>
      <c r="E637" s="74">
        <v>210221100</v>
      </c>
      <c r="F637" s="21" t="s">
        <v>228</v>
      </c>
      <c r="G637" s="98" t="s">
        <v>227</v>
      </c>
      <c r="H637" s="1">
        <f>10427.2-6.1+236</f>
        <v>10657.1</v>
      </c>
      <c r="I637" s="1">
        <f>11359.3-6.1</f>
        <v>11353.199999999999</v>
      </c>
      <c r="J637" s="1">
        <f>11359.3-6.1</f>
        <v>11353.199999999999</v>
      </c>
    </row>
    <row r="638" spans="1:10" ht="76.5">
      <c r="A638" s="1"/>
      <c r="B638" s="25"/>
      <c r="C638" s="16" t="s">
        <v>105</v>
      </c>
      <c r="D638" s="82" t="s">
        <v>94</v>
      </c>
      <c r="E638" s="74">
        <v>210210690</v>
      </c>
      <c r="F638" s="21"/>
      <c r="G638" s="98" t="s">
        <v>322</v>
      </c>
      <c r="H638" s="39">
        <f>H639</f>
        <v>3753.9</v>
      </c>
      <c r="I638" s="39">
        <f>I639</f>
        <v>3753.9</v>
      </c>
      <c r="J638" s="39">
        <f>J639</f>
        <v>3753.9</v>
      </c>
    </row>
    <row r="639" spans="1:10">
      <c r="A639" s="1"/>
      <c r="B639" s="25"/>
      <c r="C639" s="16" t="s">
        <v>105</v>
      </c>
      <c r="D639" s="82" t="s">
        <v>94</v>
      </c>
      <c r="E639" s="74">
        <v>210210690</v>
      </c>
      <c r="F639" s="21" t="s">
        <v>228</v>
      </c>
      <c r="G639" s="98" t="s">
        <v>227</v>
      </c>
      <c r="H639" s="133">
        <v>3753.9</v>
      </c>
      <c r="I639" s="133">
        <v>3753.9</v>
      </c>
      <c r="J639" s="133">
        <v>3753.9</v>
      </c>
    </row>
    <row r="640" spans="1:10" ht="63.75">
      <c r="A640" s="1"/>
      <c r="B640" s="25"/>
      <c r="C640" s="16" t="s">
        <v>105</v>
      </c>
      <c r="D640" s="82" t="s">
        <v>94</v>
      </c>
      <c r="E640" s="74" t="s">
        <v>458</v>
      </c>
      <c r="F640" s="82"/>
      <c r="G640" s="98" t="s">
        <v>323</v>
      </c>
      <c r="H640" s="39">
        <f>SUM(H641:H641)</f>
        <v>37.9</v>
      </c>
      <c r="I640" s="39">
        <f>SUM(I641:I641)</f>
        <v>37.9</v>
      </c>
      <c r="J640" s="39">
        <f>SUM(J641:J641)</f>
        <v>37.9</v>
      </c>
    </row>
    <row r="641" spans="1:10">
      <c r="A641" s="1"/>
      <c r="B641" s="25"/>
      <c r="C641" s="16" t="s">
        <v>105</v>
      </c>
      <c r="D641" s="82" t="s">
        <v>94</v>
      </c>
      <c r="E641" s="74" t="s">
        <v>458</v>
      </c>
      <c r="F641" s="21" t="s">
        <v>228</v>
      </c>
      <c r="G641" s="98" t="s">
        <v>227</v>
      </c>
      <c r="H641" s="39">
        <f>31.8+6.1</f>
        <v>37.9</v>
      </c>
      <c r="I641" s="39">
        <f t="shared" ref="I641:J641" si="264">31.8+6.1</f>
        <v>37.9</v>
      </c>
      <c r="J641" s="39">
        <f t="shared" si="264"/>
        <v>37.9</v>
      </c>
    </row>
    <row r="642" spans="1:10" ht="42" customHeight="1">
      <c r="A642" s="1"/>
      <c r="B642" s="25"/>
      <c r="C642" s="16" t="s">
        <v>105</v>
      </c>
      <c r="D642" s="82" t="s">
        <v>94</v>
      </c>
      <c r="E642" s="21" t="s">
        <v>678</v>
      </c>
      <c r="F642" s="82"/>
      <c r="G642" s="101" t="s">
        <v>679</v>
      </c>
      <c r="H642" s="41">
        <f>H643</f>
        <v>237.2</v>
      </c>
      <c r="I642" s="41">
        <f t="shared" ref="I642:J643" si="265">I643</f>
        <v>0</v>
      </c>
      <c r="J642" s="41">
        <f t="shared" si="265"/>
        <v>0</v>
      </c>
    </row>
    <row r="643" spans="1:10" ht="25.5">
      <c r="A643" s="1"/>
      <c r="B643" s="25"/>
      <c r="C643" s="16" t="s">
        <v>105</v>
      </c>
      <c r="D643" s="82" t="s">
        <v>94</v>
      </c>
      <c r="E643" s="21" t="s">
        <v>711</v>
      </c>
      <c r="F643" s="82"/>
      <c r="G643" s="98" t="s">
        <v>676</v>
      </c>
      <c r="H643" s="41">
        <f>H644</f>
        <v>237.2</v>
      </c>
      <c r="I643" s="41">
        <f t="shared" si="265"/>
        <v>0</v>
      </c>
      <c r="J643" s="41">
        <f t="shared" si="265"/>
        <v>0</v>
      </c>
    </row>
    <row r="644" spans="1:10">
      <c r="A644" s="1"/>
      <c r="B644" s="25"/>
      <c r="C644" s="16" t="s">
        <v>105</v>
      </c>
      <c r="D644" s="82" t="s">
        <v>94</v>
      </c>
      <c r="E644" s="21" t="s">
        <v>711</v>
      </c>
      <c r="F644" s="21" t="s">
        <v>228</v>
      </c>
      <c r="G644" s="98" t="s">
        <v>227</v>
      </c>
      <c r="H644" s="41">
        <v>237.2</v>
      </c>
      <c r="I644" s="41">
        <v>0</v>
      </c>
      <c r="J644" s="41">
        <v>0</v>
      </c>
    </row>
    <row r="645" spans="1:10" ht="38.25">
      <c r="A645" s="1"/>
      <c r="B645" s="25"/>
      <c r="C645" s="82" t="s">
        <v>105</v>
      </c>
      <c r="D645" s="82" t="s">
        <v>94</v>
      </c>
      <c r="E645" s="82" t="s">
        <v>25</v>
      </c>
      <c r="F645" s="82"/>
      <c r="G645" s="99" t="s">
        <v>39</v>
      </c>
      <c r="H645" s="41">
        <f>H646</f>
        <v>195</v>
      </c>
      <c r="I645" s="41">
        <f t="shared" ref="I645:J645" si="266">I646</f>
        <v>0</v>
      </c>
      <c r="J645" s="41">
        <f t="shared" si="266"/>
        <v>0</v>
      </c>
    </row>
    <row r="646" spans="1:10" ht="51">
      <c r="A646" s="1"/>
      <c r="B646" s="25"/>
      <c r="C646" s="16" t="s">
        <v>105</v>
      </c>
      <c r="D646" s="82" t="s">
        <v>94</v>
      </c>
      <c r="E646" s="82" t="s">
        <v>612</v>
      </c>
      <c r="F646" s="16"/>
      <c r="G646" s="54" t="s">
        <v>610</v>
      </c>
      <c r="H646" s="41">
        <f>SUM(H647:H647)</f>
        <v>195</v>
      </c>
      <c r="I646" s="41">
        <f>SUM(I647:I647)</f>
        <v>0</v>
      </c>
      <c r="J646" s="41">
        <f>SUM(J647:J647)</f>
        <v>0</v>
      </c>
    </row>
    <row r="647" spans="1:10">
      <c r="A647" s="1"/>
      <c r="B647" s="25"/>
      <c r="C647" s="16" t="s">
        <v>105</v>
      </c>
      <c r="D647" s="82" t="s">
        <v>94</v>
      </c>
      <c r="E647" s="82" t="s">
        <v>612</v>
      </c>
      <c r="F647" s="21" t="s">
        <v>228</v>
      </c>
      <c r="G647" s="98" t="s">
        <v>227</v>
      </c>
      <c r="H647" s="39">
        <v>195</v>
      </c>
      <c r="I647" s="39">
        <v>0</v>
      </c>
      <c r="J647" s="39">
        <v>0</v>
      </c>
    </row>
    <row r="648" spans="1:10" s="37" customFormat="1" ht="14.25">
      <c r="A648" s="27"/>
      <c r="B648" s="70"/>
      <c r="C648" s="35" t="s">
        <v>105</v>
      </c>
      <c r="D648" s="35" t="s">
        <v>105</v>
      </c>
      <c r="E648" s="35"/>
      <c r="F648" s="35"/>
      <c r="G648" s="46" t="s">
        <v>156</v>
      </c>
      <c r="H648" s="42">
        <f>H649+H666</f>
        <v>10814.300000000001</v>
      </c>
      <c r="I648" s="42">
        <f t="shared" ref="I648:J648" si="267">I649+I666</f>
        <v>7837.2</v>
      </c>
      <c r="J648" s="42">
        <f t="shared" si="267"/>
        <v>7837.2</v>
      </c>
    </row>
    <row r="649" spans="1:10" s="37" customFormat="1" ht="90">
      <c r="A649" s="27"/>
      <c r="B649" s="70"/>
      <c r="C649" s="16" t="s">
        <v>105</v>
      </c>
      <c r="D649" s="16" t="s">
        <v>105</v>
      </c>
      <c r="E649" s="73" t="s">
        <v>60</v>
      </c>
      <c r="F649" s="35"/>
      <c r="G649" s="53" t="s">
        <v>616</v>
      </c>
      <c r="H649" s="65">
        <f>H650</f>
        <v>10604.300000000001</v>
      </c>
      <c r="I649" s="65">
        <f t="shared" ref="I649:J649" si="268">I650</f>
        <v>7787.2</v>
      </c>
      <c r="J649" s="65">
        <f t="shared" si="268"/>
        <v>7787.2</v>
      </c>
    </row>
    <row r="650" spans="1:10" ht="25.5">
      <c r="A650" s="1"/>
      <c r="B650" s="25"/>
      <c r="C650" s="16" t="s">
        <v>105</v>
      </c>
      <c r="D650" s="16" t="s">
        <v>105</v>
      </c>
      <c r="E650" s="52" t="s">
        <v>31</v>
      </c>
      <c r="F650" s="21"/>
      <c r="G650" s="48" t="s">
        <v>179</v>
      </c>
      <c r="H650" s="41">
        <f>H651+H660+H663</f>
        <v>10604.300000000001</v>
      </c>
      <c r="I650" s="41">
        <f t="shared" ref="I650:J650" si="269">I651+I660+I663</f>
        <v>7787.2</v>
      </c>
      <c r="J650" s="41">
        <f t="shared" si="269"/>
        <v>7787.2</v>
      </c>
    </row>
    <row r="651" spans="1:10" ht="38.25">
      <c r="A651" s="1"/>
      <c r="B651" s="25"/>
      <c r="C651" s="16" t="s">
        <v>105</v>
      </c>
      <c r="D651" s="16" t="s">
        <v>105</v>
      </c>
      <c r="E651" s="21" t="s">
        <v>212</v>
      </c>
      <c r="F651" s="16"/>
      <c r="G651" s="101" t="s">
        <v>314</v>
      </c>
      <c r="H651" s="41">
        <f>H652+H654+H656+H658</f>
        <v>357.20000000000005</v>
      </c>
      <c r="I651" s="41">
        <f>I652+I654+I656+I658</f>
        <v>361.20000000000005</v>
      </c>
      <c r="J651" s="41">
        <f>J652+J654+J656+J658</f>
        <v>361.20000000000005</v>
      </c>
    </row>
    <row r="652" spans="1:10" ht="51">
      <c r="A652" s="1"/>
      <c r="B652" s="25"/>
      <c r="C652" s="16" t="s">
        <v>105</v>
      </c>
      <c r="D652" s="16" t="s">
        <v>105</v>
      </c>
      <c r="E652" s="136" t="s">
        <v>470</v>
      </c>
      <c r="F652" s="16"/>
      <c r="G652" s="100" t="s">
        <v>209</v>
      </c>
      <c r="H652" s="39">
        <f>H653</f>
        <v>6.6</v>
      </c>
      <c r="I652" s="39">
        <f>I653</f>
        <v>6.6</v>
      </c>
      <c r="J652" s="39">
        <f>J653</f>
        <v>6.6</v>
      </c>
    </row>
    <row r="653" spans="1:10" ht="38.25">
      <c r="A653" s="1"/>
      <c r="B653" s="25"/>
      <c r="C653" s="16" t="s">
        <v>105</v>
      </c>
      <c r="D653" s="16" t="s">
        <v>105</v>
      </c>
      <c r="E653" s="136" t="s">
        <v>470</v>
      </c>
      <c r="F653" s="82" t="s">
        <v>214</v>
      </c>
      <c r="G653" s="98" t="s">
        <v>215</v>
      </c>
      <c r="H653" s="41">
        <v>6.6</v>
      </c>
      <c r="I653" s="41">
        <v>6.6</v>
      </c>
      <c r="J653" s="41">
        <v>6.6</v>
      </c>
    </row>
    <row r="654" spans="1:10" ht="25.5">
      <c r="A654" s="1"/>
      <c r="B654" s="25"/>
      <c r="C654" s="16" t="s">
        <v>105</v>
      </c>
      <c r="D654" s="16" t="s">
        <v>105</v>
      </c>
      <c r="E654" s="136" t="s">
        <v>471</v>
      </c>
      <c r="F654" s="16"/>
      <c r="G654" s="98" t="s">
        <v>180</v>
      </c>
      <c r="H654" s="41">
        <f>H655</f>
        <v>285.60000000000002</v>
      </c>
      <c r="I654" s="41">
        <f>I655</f>
        <v>289.60000000000002</v>
      </c>
      <c r="J654" s="41">
        <f>J655</f>
        <v>289.60000000000002</v>
      </c>
    </row>
    <row r="655" spans="1:10" ht="38.25">
      <c r="A655" s="1"/>
      <c r="B655" s="25"/>
      <c r="C655" s="16" t="s">
        <v>105</v>
      </c>
      <c r="D655" s="16" t="s">
        <v>105</v>
      </c>
      <c r="E655" s="136" t="s">
        <v>471</v>
      </c>
      <c r="F655" s="82" t="s">
        <v>214</v>
      </c>
      <c r="G655" s="98" t="s">
        <v>215</v>
      </c>
      <c r="H655" s="41">
        <f>289.6-4</f>
        <v>285.60000000000002</v>
      </c>
      <c r="I655" s="41">
        <v>289.60000000000002</v>
      </c>
      <c r="J655" s="41">
        <v>289.60000000000002</v>
      </c>
    </row>
    <row r="656" spans="1:10" ht="63.75">
      <c r="A656" s="1"/>
      <c r="B656" s="25"/>
      <c r="C656" s="16" t="s">
        <v>105</v>
      </c>
      <c r="D656" s="16" t="s">
        <v>105</v>
      </c>
      <c r="E656" s="136" t="s">
        <v>472</v>
      </c>
      <c r="F656" s="16"/>
      <c r="G656" s="98" t="s">
        <v>78</v>
      </c>
      <c r="H656" s="41">
        <f>H657</f>
        <v>15</v>
      </c>
      <c r="I656" s="41">
        <f>I657</f>
        <v>15</v>
      </c>
      <c r="J656" s="41">
        <f>J657</f>
        <v>15</v>
      </c>
    </row>
    <row r="657" spans="1:10" ht="38.25">
      <c r="A657" s="1"/>
      <c r="B657" s="25"/>
      <c r="C657" s="16" t="s">
        <v>105</v>
      </c>
      <c r="D657" s="16" t="s">
        <v>105</v>
      </c>
      <c r="E657" s="136" t="s">
        <v>472</v>
      </c>
      <c r="F657" s="82" t="s">
        <v>214</v>
      </c>
      <c r="G657" s="98" t="s">
        <v>215</v>
      </c>
      <c r="H657" s="41">
        <v>15</v>
      </c>
      <c r="I657" s="41">
        <v>15</v>
      </c>
      <c r="J657" s="41">
        <v>15</v>
      </c>
    </row>
    <row r="658" spans="1:10">
      <c r="A658" s="1"/>
      <c r="B658" s="25"/>
      <c r="C658" s="16" t="s">
        <v>105</v>
      </c>
      <c r="D658" s="16" t="s">
        <v>105</v>
      </c>
      <c r="E658" s="136" t="s">
        <v>473</v>
      </c>
      <c r="F658" s="82"/>
      <c r="G658" s="54" t="s">
        <v>387</v>
      </c>
      <c r="H658" s="41">
        <f>H659</f>
        <v>50</v>
      </c>
      <c r="I658" s="41">
        <f>I659</f>
        <v>50</v>
      </c>
      <c r="J658" s="41">
        <f>J659</f>
        <v>50</v>
      </c>
    </row>
    <row r="659" spans="1:10" ht="38.25">
      <c r="A659" s="1"/>
      <c r="B659" s="25"/>
      <c r="C659" s="16" t="s">
        <v>105</v>
      </c>
      <c r="D659" s="16" t="s">
        <v>105</v>
      </c>
      <c r="E659" s="136" t="s">
        <v>473</v>
      </c>
      <c r="F659" s="82" t="s">
        <v>214</v>
      </c>
      <c r="G659" s="98" t="s">
        <v>215</v>
      </c>
      <c r="H659" s="41">
        <v>50</v>
      </c>
      <c r="I659" s="41">
        <v>50</v>
      </c>
      <c r="J659" s="41">
        <v>50</v>
      </c>
    </row>
    <row r="660" spans="1:10" ht="76.5">
      <c r="A660" s="1"/>
      <c r="B660" s="25"/>
      <c r="C660" s="16" t="s">
        <v>105</v>
      </c>
      <c r="D660" s="16" t="s">
        <v>105</v>
      </c>
      <c r="E660" s="21" t="s">
        <v>263</v>
      </c>
      <c r="F660" s="16"/>
      <c r="G660" s="101" t="s">
        <v>264</v>
      </c>
      <c r="H660" s="41">
        <f t="shared" ref="H660:J661" si="270">H661</f>
        <v>8963.4</v>
      </c>
      <c r="I660" s="41">
        <f t="shared" si="270"/>
        <v>7426</v>
      </c>
      <c r="J660" s="41">
        <f t="shared" si="270"/>
        <v>7426</v>
      </c>
    </row>
    <row r="661" spans="1:10" ht="41.25" customHeight="1">
      <c r="A661" s="1"/>
      <c r="B661" s="25"/>
      <c r="C661" s="16" t="s">
        <v>105</v>
      </c>
      <c r="D661" s="16" t="s">
        <v>105</v>
      </c>
      <c r="E661" s="74">
        <v>230221100</v>
      </c>
      <c r="F661" s="16"/>
      <c r="G661" s="98" t="s">
        <v>0</v>
      </c>
      <c r="H661" s="41">
        <f t="shared" si="270"/>
        <v>8963.4</v>
      </c>
      <c r="I661" s="41">
        <f t="shared" si="270"/>
        <v>7426</v>
      </c>
      <c r="J661" s="41">
        <f t="shared" si="270"/>
        <v>7426</v>
      </c>
    </row>
    <row r="662" spans="1:10">
      <c r="A662" s="1"/>
      <c r="B662" s="25"/>
      <c r="C662" s="16" t="s">
        <v>105</v>
      </c>
      <c r="D662" s="16" t="s">
        <v>105</v>
      </c>
      <c r="E662" s="74">
        <v>230221100</v>
      </c>
      <c r="F662" s="82" t="s">
        <v>228</v>
      </c>
      <c r="G662" s="98" t="s">
        <v>227</v>
      </c>
      <c r="H662" s="41">
        <f>8853.6+109.8</f>
        <v>8963.4</v>
      </c>
      <c r="I662" s="41">
        <f>7316.2+109.8</f>
        <v>7426</v>
      </c>
      <c r="J662" s="41">
        <f>7316.2+109.8</f>
        <v>7426</v>
      </c>
    </row>
    <row r="663" spans="1:10" ht="63.75">
      <c r="A663" s="1"/>
      <c r="B663" s="25"/>
      <c r="C663" s="16" t="s">
        <v>105</v>
      </c>
      <c r="D663" s="16" t="s">
        <v>105</v>
      </c>
      <c r="E663" s="21" t="s">
        <v>476</v>
      </c>
      <c r="F663" s="82"/>
      <c r="G663" s="98" t="s">
        <v>475</v>
      </c>
      <c r="H663" s="41">
        <f t="shared" ref="H663:J664" si="271">H664</f>
        <v>1283.7</v>
      </c>
      <c r="I663" s="41">
        <f t="shared" si="271"/>
        <v>0</v>
      </c>
      <c r="J663" s="41">
        <f t="shared" si="271"/>
        <v>0</v>
      </c>
    </row>
    <row r="664" spans="1:10" ht="56.25" customHeight="1">
      <c r="A664" s="1"/>
      <c r="B664" s="25"/>
      <c r="C664" s="16" t="s">
        <v>105</v>
      </c>
      <c r="D664" s="16" t="s">
        <v>105</v>
      </c>
      <c r="E664" s="74">
        <v>230321210</v>
      </c>
      <c r="F664" s="82"/>
      <c r="G664" s="98" t="s">
        <v>474</v>
      </c>
      <c r="H664" s="41">
        <f t="shared" si="271"/>
        <v>1283.7</v>
      </c>
      <c r="I664" s="41">
        <f t="shared" si="271"/>
        <v>0</v>
      </c>
      <c r="J664" s="41">
        <f t="shared" si="271"/>
        <v>0</v>
      </c>
    </row>
    <row r="665" spans="1:10">
      <c r="A665" s="1"/>
      <c r="B665" s="25"/>
      <c r="C665" s="16" t="s">
        <v>105</v>
      </c>
      <c r="D665" s="16" t="s">
        <v>105</v>
      </c>
      <c r="E665" s="74">
        <v>230321210</v>
      </c>
      <c r="F665" s="21" t="s">
        <v>228</v>
      </c>
      <c r="G665" s="98" t="s">
        <v>227</v>
      </c>
      <c r="H665" s="41">
        <v>1283.7</v>
      </c>
      <c r="I665" s="41">
        <v>0</v>
      </c>
      <c r="J665" s="41">
        <v>0</v>
      </c>
    </row>
    <row r="666" spans="1:10" ht="89.25">
      <c r="A666" s="1"/>
      <c r="B666" s="25"/>
      <c r="C666" s="5" t="s">
        <v>105</v>
      </c>
      <c r="D666" s="5" t="s">
        <v>105</v>
      </c>
      <c r="E666" s="73" t="s">
        <v>72</v>
      </c>
      <c r="F666" s="82"/>
      <c r="G666" s="53" t="s">
        <v>626</v>
      </c>
      <c r="H666" s="96">
        <f>H667</f>
        <v>210</v>
      </c>
      <c r="I666" s="96">
        <f t="shared" ref="I666:J666" si="272">I667</f>
        <v>50</v>
      </c>
      <c r="J666" s="96">
        <f t="shared" si="272"/>
        <v>50</v>
      </c>
    </row>
    <row r="667" spans="1:10" ht="76.5">
      <c r="A667" s="1"/>
      <c r="B667" s="25"/>
      <c r="C667" s="47" t="s">
        <v>105</v>
      </c>
      <c r="D667" s="47" t="s">
        <v>105</v>
      </c>
      <c r="E667" s="52" t="s">
        <v>540</v>
      </c>
      <c r="F667" s="16"/>
      <c r="G667" s="48" t="s">
        <v>181</v>
      </c>
      <c r="H667" s="93">
        <f>H668+H674</f>
        <v>210</v>
      </c>
      <c r="I667" s="93">
        <f t="shared" ref="I667:J667" si="273">I668+I674</f>
        <v>50</v>
      </c>
      <c r="J667" s="93">
        <f t="shared" si="273"/>
        <v>50</v>
      </c>
    </row>
    <row r="668" spans="1:10" ht="51">
      <c r="A668" s="1"/>
      <c r="B668" s="25"/>
      <c r="C668" s="16" t="s">
        <v>105</v>
      </c>
      <c r="D668" s="16" t="s">
        <v>105</v>
      </c>
      <c r="E668" s="21" t="s">
        <v>541</v>
      </c>
      <c r="F668" s="16"/>
      <c r="G668" s="99" t="s">
        <v>319</v>
      </c>
      <c r="H668" s="39">
        <f>H669+H671</f>
        <v>40</v>
      </c>
      <c r="I668" s="39">
        <f>I669+I671</f>
        <v>50</v>
      </c>
      <c r="J668" s="39">
        <f>J669+J671</f>
        <v>50</v>
      </c>
    </row>
    <row r="669" spans="1:10" ht="102">
      <c r="A669" s="1"/>
      <c r="B669" s="25"/>
      <c r="C669" s="16" t="s">
        <v>105</v>
      </c>
      <c r="D669" s="16" t="s">
        <v>105</v>
      </c>
      <c r="E669" s="74">
        <v>1020123085</v>
      </c>
      <c r="F669" s="16"/>
      <c r="G669" s="98" t="s">
        <v>182</v>
      </c>
      <c r="H669" s="41">
        <f>H670</f>
        <v>5</v>
      </c>
      <c r="I669" s="41">
        <f>I670</f>
        <v>5</v>
      </c>
      <c r="J669" s="41">
        <f>J670</f>
        <v>5</v>
      </c>
    </row>
    <row r="670" spans="1:10" ht="38.25">
      <c r="A670" s="1"/>
      <c r="B670" s="25"/>
      <c r="C670" s="16" t="s">
        <v>105</v>
      </c>
      <c r="D670" s="16" t="s">
        <v>105</v>
      </c>
      <c r="E670" s="74">
        <v>1020123085</v>
      </c>
      <c r="F670" s="82" t="s">
        <v>214</v>
      </c>
      <c r="G670" s="98" t="s">
        <v>215</v>
      </c>
      <c r="H670" s="41">
        <v>5</v>
      </c>
      <c r="I670" s="41">
        <v>5</v>
      </c>
      <c r="J670" s="41">
        <v>5</v>
      </c>
    </row>
    <row r="671" spans="1:10">
      <c r="A671" s="1"/>
      <c r="B671" s="25"/>
      <c r="C671" s="16" t="s">
        <v>105</v>
      </c>
      <c r="D671" s="16" t="s">
        <v>105</v>
      </c>
      <c r="E671" s="74">
        <v>1020123086</v>
      </c>
      <c r="F671" s="16"/>
      <c r="G671" s="98" t="s">
        <v>183</v>
      </c>
      <c r="H671" s="41">
        <f>H672</f>
        <v>35</v>
      </c>
      <c r="I671" s="41">
        <f>I672</f>
        <v>45</v>
      </c>
      <c r="J671" s="41">
        <f>J672</f>
        <v>45</v>
      </c>
    </row>
    <row r="672" spans="1:10" ht="38.25">
      <c r="A672" s="1"/>
      <c r="B672" s="25"/>
      <c r="C672" s="16" t="s">
        <v>105</v>
      </c>
      <c r="D672" s="16" t="s">
        <v>105</v>
      </c>
      <c r="E672" s="74">
        <v>1020123086</v>
      </c>
      <c r="F672" s="82" t="s">
        <v>214</v>
      </c>
      <c r="G672" s="98" t="s">
        <v>215</v>
      </c>
      <c r="H672" s="41">
        <v>35</v>
      </c>
      <c r="I672" s="41">
        <v>45</v>
      </c>
      <c r="J672" s="41">
        <v>45</v>
      </c>
    </row>
    <row r="673" spans="1:10" ht="51">
      <c r="A673" s="1"/>
      <c r="B673" s="25"/>
      <c r="C673" s="47" t="s">
        <v>105</v>
      </c>
      <c r="D673" s="47" t="s">
        <v>105</v>
      </c>
      <c r="E673" s="52" t="s">
        <v>670</v>
      </c>
      <c r="F673" s="82"/>
      <c r="G673" s="98" t="s">
        <v>708</v>
      </c>
      <c r="H673" s="41">
        <f>H674</f>
        <v>170</v>
      </c>
      <c r="I673" s="41">
        <f t="shared" ref="I673:J673" si="274">I674</f>
        <v>0</v>
      </c>
      <c r="J673" s="41">
        <f t="shared" si="274"/>
        <v>0</v>
      </c>
    </row>
    <row r="674" spans="1:10" ht="38.25">
      <c r="A674" s="1"/>
      <c r="B674" s="25"/>
      <c r="C674" s="16" t="s">
        <v>105</v>
      </c>
      <c r="D674" s="16" t="s">
        <v>105</v>
      </c>
      <c r="E674" s="74">
        <v>1030300000</v>
      </c>
      <c r="F674" s="82"/>
      <c r="G674" s="98" t="s">
        <v>677</v>
      </c>
      <c r="H674" s="41">
        <f>H675+H677+H679</f>
        <v>170</v>
      </c>
      <c r="I674" s="41">
        <f t="shared" ref="I674:J674" si="275">I675+I677+I679</f>
        <v>0</v>
      </c>
      <c r="J674" s="41">
        <f t="shared" si="275"/>
        <v>0</v>
      </c>
    </row>
    <row r="675" spans="1:10" ht="38.25">
      <c r="A675" s="1"/>
      <c r="B675" s="25"/>
      <c r="C675" s="16" t="s">
        <v>105</v>
      </c>
      <c r="D675" s="16" t="s">
        <v>105</v>
      </c>
      <c r="E675" s="74">
        <v>1030323090</v>
      </c>
      <c r="F675" s="82"/>
      <c r="G675" s="98" t="s">
        <v>671</v>
      </c>
      <c r="H675" s="41">
        <f>H676</f>
        <v>10</v>
      </c>
      <c r="I675" s="41">
        <f t="shared" ref="I675:J675" si="276">I676</f>
        <v>0</v>
      </c>
      <c r="J675" s="41">
        <f t="shared" si="276"/>
        <v>0</v>
      </c>
    </row>
    <row r="676" spans="1:10" ht="38.25">
      <c r="A676" s="1"/>
      <c r="B676" s="25"/>
      <c r="C676" s="16" t="s">
        <v>105</v>
      </c>
      <c r="D676" s="16" t="s">
        <v>105</v>
      </c>
      <c r="E676" s="74">
        <v>1030323090</v>
      </c>
      <c r="F676" s="82" t="s">
        <v>214</v>
      </c>
      <c r="G676" s="98" t="s">
        <v>215</v>
      </c>
      <c r="H676" s="41">
        <v>10</v>
      </c>
      <c r="I676" s="41">
        <v>0</v>
      </c>
      <c r="J676" s="41">
        <v>0</v>
      </c>
    </row>
    <row r="677" spans="1:10" ht="38.25">
      <c r="A677" s="1"/>
      <c r="B677" s="25"/>
      <c r="C677" s="16" t="s">
        <v>105</v>
      </c>
      <c r="D677" s="16" t="s">
        <v>105</v>
      </c>
      <c r="E677" s="74">
        <v>1030323091</v>
      </c>
      <c r="F677" s="82"/>
      <c r="G677" s="98" t="s">
        <v>672</v>
      </c>
      <c r="H677" s="41">
        <f>H678</f>
        <v>130</v>
      </c>
      <c r="I677" s="41">
        <f t="shared" ref="I677:J677" si="277">I678</f>
        <v>0</v>
      </c>
      <c r="J677" s="41">
        <f t="shared" si="277"/>
        <v>0</v>
      </c>
    </row>
    <row r="678" spans="1:10" ht="38.25">
      <c r="A678" s="1"/>
      <c r="B678" s="25"/>
      <c r="C678" s="16" t="s">
        <v>105</v>
      </c>
      <c r="D678" s="16" t="s">
        <v>105</v>
      </c>
      <c r="E678" s="74">
        <v>1030323091</v>
      </c>
      <c r="F678" s="82" t="s">
        <v>214</v>
      </c>
      <c r="G678" s="98" t="s">
        <v>215</v>
      </c>
      <c r="H678" s="41">
        <v>130</v>
      </c>
      <c r="I678" s="41">
        <v>0</v>
      </c>
      <c r="J678" s="41">
        <v>0</v>
      </c>
    </row>
    <row r="679" spans="1:10" ht="38.25">
      <c r="A679" s="1"/>
      <c r="B679" s="25"/>
      <c r="C679" s="16" t="s">
        <v>105</v>
      </c>
      <c r="D679" s="16" t="s">
        <v>105</v>
      </c>
      <c r="E679" s="74">
        <v>1030323092</v>
      </c>
      <c r="F679" s="82"/>
      <c r="G679" s="98" t="s">
        <v>673</v>
      </c>
      <c r="H679" s="41">
        <f>H680</f>
        <v>30</v>
      </c>
      <c r="I679" s="41">
        <f t="shared" ref="I679:J679" si="278">I680</f>
        <v>0</v>
      </c>
      <c r="J679" s="41">
        <f t="shared" si="278"/>
        <v>0</v>
      </c>
    </row>
    <row r="680" spans="1:10" ht="38.25">
      <c r="A680" s="1"/>
      <c r="B680" s="25"/>
      <c r="C680" s="16" t="s">
        <v>105</v>
      </c>
      <c r="D680" s="16" t="s">
        <v>105</v>
      </c>
      <c r="E680" s="74">
        <v>1030323092</v>
      </c>
      <c r="F680" s="82" t="s">
        <v>214</v>
      </c>
      <c r="G680" s="98" t="s">
        <v>215</v>
      </c>
      <c r="H680" s="41">
        <v>30</v>
      </c>
      <c r="I680" s="41">
        <v>0</v>
      </c>
      <c r="J680" s="41">
        <v>0</v>
      </c>
    </row>
    <row r="681" spans="1:10" ht="15.75">
      <c r="A681" s="3"/>
      <c r="B681" s="91"/>
      <c r="C681" s="4" t="s">
        <v>102</v>
      </c>
      <c r="D681" s="3"/>
      <c r="E681" s="3"/>
      <c r="F681" s="3"/>
      <c r="G681" s="49" t="s">
        <v>20</v>
      </c>
      <c r="H681" s="92">
        <f>H682+H714</f>
        <v>77688.7</v>
      </c>
      <c r="I681" s="92">
        <f>I682+I714</f>
        <v>63727.8</v>
      </c>
      <c r="J681" s="92">
        <f>J682+J714</f>
        <v>63727.8</v>
      </c>
    </row>
    <row r="682" spans="1:10" s="37" customFormat="1" ht="14.25">
      <c r="A682" s="27"/>
      <c r="B682" s="70"/>
      <c r="C682" s="35" t="s">
        <v>102</v>
      </c>
      <c r="D682" s="35" t="s">
        <v>89</v>
      </c>
      <c r="E682" s="35"/>
      <c r="F682" s="35"/>
      <c r="G682" s="45" t="s">
        <v>107</v>
      </c>
      <c r="H682" s="42">
        <f>H683+H711</f>
        <v>73571.199999999997</v>
      </c>
      <c r="I682" s="42">
        <f>I683+I711</f>
        <v>60276.800000000003</v>
      </c>
      <c r="J682" s="42">
        <f>J683+J711</f>
        <v>60276.800000000003</v>
      </c>
    </row>
    <row r="683" spans="1:10" s="37" customFormat="1" ht="90">
      <c r="A683" s="27"/>
      <c r="B683" s="70"/>
      <c r="C683" s="16" t="s">
        <v>102</v>
      </c>
      <c r="D683" s="16" t="s">
        <v>89</v>
      </c>
      <c r="E683" s="73" t="s">
        <v>60</v>
      </c>
      <c r="F683" s="35"/>
      <c r="G683" s="53" t="s">
        <v>616</v>
      </c>
      <c r="H683" s="65">
        <f t="shared" ref="H683:J683" si="279">H684</f>
        <v>73521.2</v>
      </c>
      <c r="I683" s="65">
        <f t="shared" si="279"/>
        <v>60276.800000000003</v>
      </c>
      <c r="J683" s="65">
        <f t="shared" si="279"/>
        <v>60276.800000000003</v>
      </c>
    </row>
    <row r="684" spans="1:10" s="37" customFormat="1" ht="25.5">
      <c r="A684" s="27"/>
      <c r="B684" s="70"/>
      <c r="C684" s="16" t="s">
        <v>102</v>
      </c>
      <c r="D684" s="16" t="s">
        <v>89</v>
      </c>
      <c r="E684" s="21" t="s">
        <v>61</v>
      </c>
      <c r="F684" s="35"/>
      <c r="G684" s="48" t="s">
        <v>173</v>
      </c>
      <c r="H684" s="58">
        <f>H685+H701+H706</f>
        <v>73521.2</v>
      </c>
      <c r="I684" s="58">
        <f t="shared" ref="I684:J684" si="280">I685+I701+I706</f>
        <v>60276.800000000003</v>
      </c>
      <c r="J684" s="58">
        <f t="shared" si="280"/>
        <v>60276.800000000003</v>
      </c>
    </row>
    <row r="685" spans="1:10" s="37" customFormat="1" ht="38.25">
      <c r="A685" s="27"/>
      <c r="B685" s="70"/>
      <c r="C685" s="16" t="s">
        <v>102</v>
      </c>
      <c r="D685" s="16" t="s">
        <v>89</v>
      </c>
      <c r="E685" s="21" t="s">
        <v>211</v>
      </c>
      <c r="F685" s="35"/>
      <c r="G685" s="101" t="s">
        <v>216</v>
      </c>
      <c r="H685" s="94">
        <f>H686+H689+H691+H694+H697+H699</f>
        <v>71950.2</v>
      </c>
      <c r="I685" s="94">
        <f t="shared" ref="I685:J685" si="281">I686+I689+I691+I694+I697+I699</f>
        <v>60240.800000000003</v>
      </c>
      <c r="J685" s="94">
        <f t="shared" si="281"/>
        <v>60240.800000000003</v>
      </c>
    </row>
    <row r="686" spans="1:10" ht="25.5">
      <c r="A686" s="1"/>
      <c r="B686" s="25"/>
      <c r="C686" s="16" t="s">
        <v>102</v>
      </c>
      <c r="D686" s="16" t="s">
        <v>89</v>
      </c>
      <c r="E686" s="74">
        <v>210122900</v>
      </c>
      <c r="F686" s="16"/>
      <c r="G686" s="99" t="s">
        <v>172</v>
      </c>
      <c r="H686" s="39">
        <f>H687+H688</f>
        <v>14414.3</v>
      </c>
      <c r="I686" s="39">
        <f>I687+I688</f>
        <v>10293.400000000001</v>
      </c>
      <c r="J686" s="39">
        <f>J687+J688</f>
        <v>10293.400000000001</v>
      </c>
    </row>
    <row r="687" spans="1:10" ht="25.5">
      <c r="A687" s="1"/>
      <c r="B687" s="25"/>
      <c r="C687" s="16" t="s">
        <v>102</v>
      </c>
      <c r="D687" s="16" t="s">
        <v>89</v>
      </c>
      <c r="E687" s="74">
        <v>210122900</v>
      </c>
      <c r="F687" s="82" t="s">
        <v>65</v>
      </c>
      <c r="G687" s="55" t="s">
        <v>131</v>
      </c>
      <c r="H687" s="39">
        <f>5408.8-17.4</f>
        <v>5391.4000000000005</v>
      </c>
      <c r="I687" s="39">
        <f>5635.6-17.4</f>
        <v>5618.2000000000007</v>
      </c>
      <c r="J687" s="39">
        <f>5635.6-17.4</f>
        <v>5618.2000000000007</v>
      </c>
    </row>
    <row r="688" spans="1:10" ht="38.25">
      <c r="A688" s="1"/>
      <c r="B688" s="25"/>
      <c r="C688" s="16" t="s">
        <v>102</v>
      </c>
      <c r="D688" s="16" t="s">
        <v>89</v>
      </c>
      <c r="E688" s="74">
        <v>210122900</v>
      </c>
      <c r="F688" s="82" t="s">
        <v>214</v>
      </c>
      <c r="G688" s="98" t="s">
        <v>215</v>
      </c>
      <c r="H688" s="39">
        <f>5956.5+2577.4+502.4-13.4</f>
        <v>9022.9</v>
      </c>
      <c r="I688" s="39">
        <v>4675.2</v>
      </c>
      <c r="J688" s="39">
        <v>4675.2</v>
      </c>
    </row>
    <row r="689" spans="1:13" ht="51">
      <c r="A689" s="1"/>
      <c r="B689" s="25"/>
      <c r="C689" s="16" t="s">
        <v>102</v>
      </c>
      <c r="D689" s="16" t="s">
        <v>89</v>
      </c>
      <c r="E689" s="74">
        <v>210121100</v>
      </c>
      <c r="F689" s="16"/>
      <c r="G689" s="99" t="s">
        <v>174</v>
      </c>
      <c r="H689" s="39">
        <f>H690</f>
        <v>33792</v>
      </c>
      <c r="I689" s="39">
        <f>I690</f>
        <v>26356.9</v>
      </c>
      <c r="J689" s="39">
        <f>J690</f>
        <v>26356.9</v>
      </c>
    </row>
    <row r="690" spans="1:13">
      <c r="A690" s="1"/>
      <c r="B690" s="25"/>
      <c r="C690" s="16" t="s">
        <v>102</v>
      </c>
      <c r="D690" s="16" t="s">
        <v>89</v>
      </c>
      <c r="E690" s="74">
        <v>210121100</v>
      </c>
      <c r="F690" s="21" t="s">
        <v>228</v>
      </c>
      <c r="G690" s="98" t="s">
        <v>227</v>
      </c>
      <c r="H690" s="39">
        <f>33945.3-18.5-109.8-25</f>
        <v>33792</v>
      </c>
      <c r="I690" s="1">
        <f>26485.2-18.5-109.8</f>
        <v>26356.9</v>
      </c>
      <c r="J690" s="1">
        <f>26485.2-18.5-109.8</f>
        <v>26356.9</v>
      </c>
    </row>
    <row r="691" spans="1:13" ht="51">
      <c r="A691" s="1"/>
      <c r="B691" s="25"/>
      <c r="C691" s="16" t="s">
        <v>102</v>
      </c>
      <c r="D691" s="16" t="s">
        <v>89</v>
      </c>
      <c r="E691" s="74" t="s">
        <v>456</v>
      </c>
      <c r="F691" s="82"/>
      <c r="G691" s="98" t="s">
        <v>321</v>
      </c>
      <c r="H691" s="39">
        <f>SUM(H692:H693)</f>
        <v>235.9</v>
      </c>
      <c r="I691" s="39">
        <f>SUM(I692:I693)</f>
        <v>235.9</v>
      </c>
      <c r="J691" s="39">
        <f>SUM(J692:J693)</f>
        <v>235.9</v>
      </c>
      <c r="M691" s="103"/>
    </row>
    <row r="692" spans="1:13" ht="25.5">
      <c r="A692" s="1"/>
      <c r="B692" s="25"/>
      <c r="C692" s="16" t="s">
        <v>102</v>
      </c>
      <c r="D692" s="16" t="s">
        <v>89</v>
      </c>
      <c r="E692" s="74" t="s">
        <v>456</v>
      </c>
      <c r="F692" s="82" t="s">
        <v>65</v>
      </c>
      <c r="G692" s="55" t="s">
        <v>131</v>
      </c>
      <c r="H692" s="39">
        <f>50+17.4</f>
        <v>67.400000000000006</v>
      </c>
      <c r="I692" s="39">
        <f t="shared" ref="I692:J692" si="282">50+17.4</f>
        <v>67.400000000000006</v>
      </c>
      <c r="J692" s="39">
        <f t="shared" si="282"/>
        <v>67.400000000000006</v>
      </c>
    </row>
    <row r="693" spans="1:13">
      <c r="A693" s="1"/>
      <c r="B693" s="25"/>
      <c r="C693" s="16" t="s">
        <v>102</v>
      </c>
      <c r="D693" s="16" t="s">
        <v>89</v>
      </c>
      <c r="E693" s="74" t="s">
        <v>456</v>
      </c>
      <c r="F693" s="21" t="s">
        <v>228</v>
      </c>
      <c r="G693" s="98" t="s">
        <v>227</v>
      </c>
      <c r="H693" s="39">
        <f>150+18.5</f>
        <v>168.5</v>
      </c>
      <c r="I693" s="39">
        <f t="shared" ref="I693:J693" si="283">150+18.5</f>
        <v>168.5</v>
      </c>
      <c r="J693" s="39">
        <f t="shared" si="283"/>
        <v>168.5</v>
      </c>
    </row>
    <row r="694" spans="1:13" ht="51">
      <c r="A694" s="1"/>
      <c r="B694" s="25"/>
      <c r="C694" s="16" t="s">
        <v>102</v>
      </c>
      <c r="D694" s="16" t="s">
        <v>89</v>
      </c>
      <c r="E694" s="74">
        <v>210110680</v>
      </c>
      <c r="F694" s="82"/>
      <c r="G694" s="98" t="s">
        <v>360</v>
      </c>
      <c r="H694" s="39">
        <f>SUM(H695:H696)</f>
        <v>23354.600000000002</v>
      </c>
      <c r="I694" s="39">
        <f t="shared" ref="I694:J694" si="284">SUM(I695:I696)</f>
        <v>23354.600000000002</v>
      </c>
      <c r="J694" s="39">
        <f t="shared" si="284"/>
        <v>23354.600000000002</v>
      </c>
    </row>
    <row r="695" spans="1:13" ht="25.5">
      <c r="A695" s="1"/>
      <c r="B695" s="25"/>
      <c r="C695" s="16" t="s">
        <v>102</v>
      </c>
      <c r="D695" s="16" t="s">
        <v>89</v>
      </c>
      <c r="E695" s="74">
        <v>210110680</v>
      </c>
      <c r="F695" s="82" t="s">
        <v>65</v>
      </c>
      <c r="G695" s="55" t="s">
        <v>131</v>
      </c>
      <c r="H695" s="39">
        <v>6672.7</v>
      </c>
      <c r="I695" s="39">
        <v>6672.7</v>
      </c>
      <c r="J695" s="39">
        <v>6672.7</v>
      </c>
    </row>
    <row r="696" spans="1:13">
      <c r="A696" s="1"/>
      <c r="B696" s="25"/>
      <c r="C696" s="16" t="s">
        <v>102</v>
      </c>
      <c r="D696" s="16" t="s">
        <v>89</v>
      </c>
      <c r="E696" s="74">
        <v>210110680</v>
      </c>
      <c r="F696" s="21" t="s">
        <v>228</v>
      </c>
      <c r="G696" s="98" t="s">
        <v>227</v>
      </c>
      <c r="H696" s="39">
        <v>16681.900000000001</v>
      </c>
      <c r="I696" s="39">
        <v>16681.900000000001</v>
      </c>
      <c r="J696" s="39">
        <v>16681.900000000001</v>
      </c>
    </row>
    <row r="697" spans="1:13" ht="51">
      <c r="A697" s="1"/>
      <c r="B697" s="25"/>
      <c r="C697" s="16" t="s">
        <v>102</v>
      </c>
      <c r="D697" s="16" t="s">
        <v>89</v>
      </c>
      <c r="E697" s="74" t="s">
        <v>758</v>
      </c>
      <c r="F697" s="21"/>
      <c r="G697" s="54" t="s">
        <v>759</v>
      </c>
      <c r="H697" s="39">
        <f>H698</f>
        <v>133.4</v>
      </c>
      <c r="I697" s="39">
        <f t="shared" ref="I697:J697" si="285">I698</f>
        <v>0</v>
      </c>
      <c r="J697" s="39">
        <f t="shared" si="285"/>
        <v>0</v>
      </c>
    </row>
    <row r="698" spans="1:13" ht="38.25">
      <c r="A698" s="1"/>
      <c r="B698" s="25"/>
      <c r="C698" s="16" t="s">
        <v>102</v>
      </c>
      <c r="D698" s="16" t="s">
        <v>89</v>
      </c>
      <c r="E698" s="74" t="s">
        <v>758</v>
      </c>
      <c r="F698" s="82" t="s">
        <v>214</v>
      </c>
      <c r="G698" s="98" t="s">
        <v>215</v>
      </c>
      <c r="H698" s="39">
        <f>120+13.4</f>
        <v>133.4</v>
      </c>
      <c r="I698" s="39">
        <v>0</v>
      </c>
      <c r="J698" s="39">
        <v>0</v>
      </c>
    </row>
    <row r="699" spans="1:13" ht="38.25">
      <c r="A699" s="1"/>
      <c r="B699" s="25"/>
      <c r="C699" s="16" t="s">
        <v>102</v>
      </c>
      <c r="D699" s="16" t="s">
        <v>89</v>
      </c>
      <c r="E699" s="165" t="s">
        <v>766</v>
      </c>
      <c r="F699" s="82"/>
      <c r="G699" s="124" t="s">
        <v>767</v>
      </c>
      <c r="H699" s="39">
        <f>H700</f>
        <v>20</v>
      </c>
      <c r="I699" s="39">
        <f t="shared" ref="I699:J699" si="286">I700</f>
        <v>0</v>
      </c>
      <c r="J699" s="39">
        <f t="shared" si="286"/>
        <v>0</v>
      </c>
    </row>
    <row r="700" spans="1:13" ht="38.25">
      <c r="A700" s="1"/>
      <c r="B700" s="25"/>
      <c r="C700" s="16" t="s">
        <v>102</v>
      </c>
      <c r="D700" s="16" t="s">
        <v>89</v>
      </c>
      <c r="E700" s="165" t="s">
        <v>766</v>
      </c>
      <c r="F700" s="82" t="s">
        <v>214</v>
      </c>
      <c r="G700" s="98" t="s">
        <v>215</v>
      </c>
      <c r="H700" s="39">
        <v>20</v>
      </c>
      <c r="I700" s="39">
        <v>0</v>
      </c>
      <c r="J700" s="39">
        <v>0</v>
      </c>
    </row>
    <row r="701" spans="1:13" ht="51">
      <c r="A701" s="1"/>
      <c r="B701" s="25"/>
      <c r="C701" s="16" t="s">
        <v>102</v>
      </c>
      <c r="D701" s="16" t="s">
        <v>89</v>
      </c>
      <c r="E701" s="21" t="s">
        <v>259</v>
      </c>
      <c r="F701" s="35"/>
      <c r="G701" s="98" t="s">
        <v>258</v>
      </c>
      <c r="H701" s="41">
        <f>H702+H704</f>
        <v>1569</v>
      </c>
      <c r="I701" s="41">
        <f>I702+I704</f>
        <v>35</v>
      </c>
      <c r="J701" s="41">
        <f>J702+J704</f>
        <v>35</v>
      </c>
    </row>
    <row r="702" spans="1:13" ht="51">
      <c r="A702" s="1"/>
      <c r="B702" s="25"/>
      <c r="C702" s="16" t="s">
        <v>102</v>
      </c>
      <c r="D702" s="16" t="s">
        <v>89</v>
      </c>
      <c r="E702" s="125" t="s">
        <v>459</v>
      </c>
      <c r="F702" s="82"/>
      <c r="G702" s="131" t="s">
        <v>375</v>
      </c>
      <c r="H702" s="39">
        <f>H703</f>
        <v>624</v>
      </c>
      <c r="I702" s="39">
        <f>I703</f>
        <v>35</v>
      </c>
      <c r="J702" s="39">
        <f>J703</f>
        <v>35</v>
      </c>
    </row>
    <row r="703" spans="1:13">
      <c r="A703" s="1"/>
      <c r="B703" s="25"/>
      <c r="C703" s="16" t="s">
        <v>102</v>
      </c>
      <c r="D703" s="16" t="s">
        <v>89</v>
      </c>
      <c r="E703" s="125" t="s">
        <v>459</v>
      </c>
      <c r="F703" s="21" t="s">
        <v>228</v>
      </c>
      <c r="G703" s="98" t="s">
        <v>227</v>
      </c>
      <c r="H703" s="39">
        <f>13+611</f>
        <v>624</v>
      </c>
      <c r="I703" s="39">
        <v>35</v>
      </c>
      <c r="J703" s="39">
        <v>35</v>
      </c>
    </row>
    <row r="704" spans="1:13" ht="42" customHeight="1">
      <c r="A704" s="1"/>
      <c r="B704" s="25"/>
      <c r="C704" s="16" t="s">
        <v>102</v>
      </c>
      <c r="D704" s="16" t="s">
        <v>89</v>
      </c>
      <c r="E704" s="134" t="s">
        <v>461</v>
      </c>
      <c r="F704" s="21"/>
      <c r="G704" s="98" t="s">
        <v>460</v>
      </c>
      <c r="H704" s="39">
        <f>H705</f>
        <v>945</v>
      </c>
      <c r="I704" s="39">
        <f>I705</f>
        <v>0</v>
      </c>
      <c r="J704" s="39">
        <f>J705</f>
        <v>0</v>
      </c>
    </row>
    <row r="705" spans="1:10">
      <c r="A705" s="1"/>
      <c r="B705" s="25"/>
      <c r="C705" s="16" t="s">
        <v>102</v>
      </c>
      <c r="D705" s="16" t="s">
        <v>89</v>
      </c>
      <c r="E705" s="134" t="s">
        <v>461</v>
      </c>
      <c r="F705" s="21" t="s">
        <v>228</v>
      </c>
      <c r="G705" s="98" t="s">
        <v>227</v>
      </c>
      <c r="H705" s="39">
        <v>945</v>
      </c>
      <c r="I705" s="39">
        <v>0</v>
      </c>
      <c r="J705" s="39">
        <v>0</v>
      </c>
    </row>
    <row r="706" spans="1:10" ht="38.25">
      <c r="A706" s="1"/>
      <c r="B706" s="25"/>
      <c r="C706" s="16" t="s">
        <v>102</v>
      </c>
      <c r="D706" s="16" t="s">
        <v>89</v>
      </c>
      <c r="E706" s="134" t="s">
        <v>462</v>
      </c>
      <c r="F706" s="21"/>
      <c r="G706" s="98" t="s">
        <v>463</v>
      </c>
      <c r="H706" s="39">
        <f>H707+H709</f>
        <v>2</v>
      </c>
      <c r="I706" s="39">
        <f t="shared" ref="I706:J706" si="287">I707+I709</f>
        <v>1</v>
      </c>
      <c r="J706" s="39">
        <f t="shared" si="287"/>
        <v>1</v>
      </c>
    </row>
    <row r="707" spans="1:10" ht="51">
      <c r="A707" s="1"/>
      <c r="B707" s="25"/>
      <c r="C707" s="16" t="s">
        <v>102</v>
      </c>
      <c r="D707" s="16" t="s">
        <v>89</v>
      </c>
      <c r="E707" s="125" t="s">
        <v>674</v>
      </c>
      <c r="F707" s="82"/>
      <c r="G707" s="124" t="s">
        <v>675</v>
      </c>
      <c r="H707" s="39">
        <f>H708</f>
        <v>1</v>
      </c>
      <c r="I707" s="39">
        <f>I708</f>
        <v>0</v>
      </c>
      <c r="J707" s="39">
        <f>J708</f>
        <v>0</v>
      </c>
    </row>
    <row r="708" spans="1:10">
      <c r="A708" s="1"/>
      <c r="B708" s="25"/>
      <c r="C708" s="16" t="s">
        <v>102</v>
      </c>
      <c r="D708" s="16" t="s">
        <v>89</v>
      </c>
      <c r="E708" s="125" t="s">
        <v>674</v>
      </c>
      <c r="F708" s="21" t="s">
        <v>228</v>
      </c>
      <c r="G708" s="98" t="s">
        <v>227</v>
      </c>
      <c r="H708" s="39">
        <v>1</v>
      </c>
      <c r="I708" s="39">
        <v>0</v>
      </c>
      <c r="J708" s="39">
        <v>0</v>
      </c>
    </row>
    <row r="709" spans="1:10" ht="63.75">
      <c r="A709" s="1"/>
      <c r="B709" s="25"/>
      <c r="C709" s="16" t="s">
        <v>102</v>
      </c>
      <c r="D709" s="16" t="s">
        <v>89</v>
      </c>
      <c r="E709" s="134" t="s">
        <v>465</v>
      </c>
      <c r="F709" s="21"/>
      <c r="G709" s="98" t="s">
        <v>464</v>
      </c>
      <c r="H709" s="39">
        <f>H710</f>
        <v>1</v>
      </c>
      <c r="I709" s="39">
        <f>I710</f>
        <v>1</v>
      </c>
      <c r="J709" s="39">
        <f>J710</f>
        <v>1</v>
      </c>
    </row>
    <row r="710" spans="1:10">
      <c r="A710" s="1"/>
      <c r="B710" s="25"/>
      <c r="C710" s="16" t="s">
        <v>102</v>
      </c>
      <c r="D710" s="16" t="s">
        <v>89</v>
      </c>
      <c r="E710" s="134" t="s">
        <v>465</v>
      </c>
      <c r="F710" s="21" t="s">
        <v>228</v>
      </c>
      <c r="G710" s="98" t="s">
        <v>227</v>
      </c>
      <c r="H710" s="39">
        <v>1</v>
      </c>
      <c r="I710" s="39">
        <v>1</v>
      </c>
      <c r="J710" s="39">
        <v>1</v>
      </c>
    </row>
    <row r="711" spans="1:10" ht="38.25">
      <c r="A711" s="1"/>
      <c r="B711" s="25"/>
      <c r="C711" s="16" t="s">
        <v>102</v>
      </c>
      <c r="D711" s="16" t="s">
        <v>89</v>
      </c>
      <c r="E711" s="82" t="s">
        <v>25</v>
      </c>
      <c r="F711" s="82"/>
      <c r="G711" s="99" t="s">
        <v>39</v>
      </c>
      <c r="H711" s="41">
        <f>H712</f>
        <v>50</v>
      </c>
      <c r="I711" s="41">
        <f t="shared" ref="I711:J711" si="288">I712</f>
        <v>0</v>
      </c>
      <c r="J711" s="41">
        <f t="shared" si="288"/>
        <v>0</v>
      </c>
    </row>
    <row r="712" spans="1:10" ht="51">
      <c r="A712" s="1"/>
      <c r="B712" s="25"/>
      <c r="C712" s="16" t="s">
        <v>102</v>
      </c>
      <c r="D712" s="16" t="s">
        <v>89</v>
      </c>
      <c r="E712" s="82" t="s">
        <v>612</v>
      </c>
      <c r="F712" s="16"/>
      <c r="G712" s="54" t="s">
        <v>614</v>
      </c>
      <c r="H712" s="41">
        <f>SUM(H713:H713)</f>
        <v>50</v>
      </c>
      <c r="I712" s="41">
        <f>SUM(I713:I713)</f>
        <v>0</v>
      </c>
      <c r="J712" s="41">
        <f>SUM(J713:J713)</f>
        <v>0</v>
      </c>
    </row>
    <row r="713" spans="1:10">
      <c r="A713" s="1"/>
      <c r="B713" s="25"/>
      <c r="C713" s="16" t="s">
        <v>102</v>
      </c>
      <c r="D713" s="16" t="s">
        <v>89</v>
      </c>
      <c r="E713" s="82" t="s">
        <v>612</v>
      </c>
      <c r="F713" s="21" t="s">
        <v>228</v>
      </c>
      <c r="G713" s="98" t="s">
        <v>227</v>
      </c>
      <c r="H713" s="39">
        <v>50</v>
      </c>
      <c r="I713" s="39">
        <v>0</v>
      </c>
      <c r="J713" s="39">
        <v>0</v>
      </c>
    </row>
    <row r="714" spans="1:10" s="37" customFormat="1" ht="25.5">
      <c r="A714" s="27"/>
      <c r="B714" s="70"/>
      <c r="C714" s="35" t="s">
        <v>102</v>
      </c>
      <c r="D714" s="35" t="s">
        <v>95</v>
      </c>
      <c r="E714" s="35"/>
      <c r="F714" s="35"/>
      <c r="G714" s="46" t="s">
        <v>7</v>
      </c>
      <c r="H714" s="42">
        <f>H715+H726</f>
        <v>4117.5</v>
      </c>
      <c r="I714" s="42">
        <f>I715+I726</f>
        <v>3451</v>
      </c>
      <c r="J714" s="42">
        <f>J715+J726</f>
        <v>3451</v>
      </c>
    </row>
    <row r="715" spans="1:10" s="37" customFormat="1" ht="90">
      <c r="A715" s="27"/>
      <c r="B715" s="70"/>
      <c r="C715" s="5" t="s">
        <v>102</v>
      </c>
      <c r="D715" s="5" t="s">
        <v>95</v>
      </c>
      <c r="E715" s="73" t="s">
        <v>60</v>
      </c>
      <c r="F715" s="35"/>
      <c r="G715" s="53" t="s">
        <v>616</v>
      </c>
      <c r="H715" s="65">
        <f>H716+H722</f>
        <v>3877.5</v>
      </c>
      <c r="I715" s="65">
        <f>I716+I722</f>
        <v>3451</v>
      </c>
      <c r="J715" s="65">
        <f>J716+J722</f>
        <v>3451</v>
      </c>
    </row>
    <row r="716" spans="1:10" s="37" customFormat="1" ht="25.5">
      <c r="A716" s="27"/>
      <c r="B716" s="70"/>
      <c r="C716" s="16" t="s">
        <v>102</v>
      </c>
      <c r="D716" s="16" t="s">
        <v>95</v>
      </c>
      <c r="E716" s="21" t="s">
        <v>61</v>
      </c>
      <c r="F716" s="35"/>
      <c r="G716" s="48" t="s">
        <v>173</v>
      </c>
      <c r="H716" s="42">
        <f t="shared" ref="H716:J718" si="289">H717</f>
        <v>474</v>
      </c>
      <c r="I716" s="42">
        <f t="shared" si="289"/>
        <v>300</v>
      </c>
      <c r="J716" s="42">
        <f t="shared" si="289"/>
        <v>300</v>
      </c>
    </row>
    <row r="717" spans="1:10" s="37" customFormat="1" ht="38.25">
      <c r="A717" s="27"/>
      <c r="B717" s="70"/>
      <c r="C717" s="16" t="s">
        <v>102</v>
      </c>
      <c r="D717" s="16" t="s">
        <v>95</v>
      </c>
      <c r="E717" s="21" t="s">
        <v>466</v>
      </c>
      <c r="F717" s="35"/>
      <c r="G717" s="101" t="s">
        <v>260</v>
      </c>
      <c r="H717" s="41">
        <f>H718+H720</f>
        <v>474</v>
      </c>
      <c r="I717" s="41">
        <f t="shared" ref="I717:J717" si="290">I718+I720</f>
        <v>300</v>
      </c>
      <c r="J717" s="41">
        <f t="shared" si="290"/>
        <v>300</v>
      </c>
    </row>
    <row r="718" spans="1:10" s="37" customFormat="1" ht="51">
      <c r="A718" s="27"/>
      <c r="B718" s="70"/>
      <c r="C718" s="16" t="s">
        <v>102</v>
      </c>
      <c r="D718" s="16" t="s">
        <v>95</v>
      </c>
      <c r="E718" s="21" t="s">
        <v>467</v>
      </c>
      <c r="F718" s="16"/>
      <c r="G718" s="98" t="s">
        <v>176</v>
      </c>
      <c r="H718" s="41">
        <f t="shared" si="289"/>
        <v>374</v>
      </c>
      <c r="I718" s="41">
        <f t="shared" si="289"/>
        <v>300</v>
      </c>
      <c r="J718" s="41">
        <f t="shared" si="289"/>
        <v>300</v>
      </c>
    </row>
    <row r="719" spans="1:10" s="37" customFormat="1" ht="38.25">
      <c r="A719" s="27"/>
      <c r="B719" s="70"/>
      <c r="C719" s="16" t="s">
        <v>102</v>
      </c>
      <c r="D719" s="16" t="s">
        <v>95</v>
      </c>
      <c r="E719" s="21" t="s">
        <v>467</v>
      </c>
      <c r="F719" s="82" t="s">
        <v>214</v>
      </c>
      <c r="G719" s="98" t="s">
        <v>215</v>
      </c>
      <c r="H719" s="41">
        <v>374</v>
      </c>
      <c r="I719" s="41">
        <v>300</v>
      </c>
      <c r="J719" s="41">
        <v>300</v>
      </c>
    </row>
    <row r="720" spans="1:10" s="37" customFormat="1" ht="25.5">
      <c r="A720" s="27"/>
      <c r="B720" s="70"/>
      <c r="C720" s="16" t="s">
        <v>102</v>
      </c>
      <c r="D720" s="16" t="s">
        <v>95</v>
      </c>
      <c r="E720" s="21" t="s">
        <v>768</v>
      </c>
      <c r="F720" s="82"/>
      <c r="G720" s="108" t="s">
        <v>769</v>
      </c>
      <c r="H720" s="41">
        <f>H721</f>
        <v>100</v>
      </c>
      <c r="I720" s="41">
        <f t="shared" ref="I720:J720" si="291">I721</f>
        <v>0</v>
      </c>
      <c r="J720" s="41">
        <f t="shared" si="291"/>
        <v>0</v>
      </c>
    </row>
    <row r="721" spans="1:10" s="37" customFormat="1" ht="38.25">
      <c r="A721" s="27"/>
      <c r="B721" s="70"/>
      <c r="C721" s="16" t="s">
        <v>102</v>
      </c>
      <c r="D721" s="16" t="s">
        <v>95</v>
      </c>
      <c r="E721" s="167" t="s">
        <v>768</v>
      </c>
      <c r="F721" s="82" t="s">
        <v>214</v>
      </c>
      <c r="G721" s="98" t="s">
        <v>215</v>
      </c>
      <c r="H721" s="41">
        <v>100</v>
      </c>
      <c r="I721" s="41">
        <v>0</v>
      </c>
      <c r="J721" s="41">
        <v>0</v>
      </c>
    </row>
    <row r="722" spans="1:10" s="37" customFormat="1" ht="14.25">
      <c r="A722" s="27"/>
      <c r="B722" s="70"/>
      <c r="C722" s="16" t="s">
        <v>102</v>
      </c>
      <c r="D722" s="16" t="s">
        <v>95</v>
      </c>
      <c r="E722" s="52" t="s">
        <v>32</v>
      </c>
      <c r="F722" s="21"/>
      <c r="G722" s="66" t="s">
        <v>47</v>
      </c>
      <c r="H722" s="58">
        <f>H723</f>
        <v>3403.5</v>
      </c>
      <c r="I722" s="58">
        <f>I723</f>
        <v>3151</v>
      </c>
      <c r="J722" s="58">
        <f>J723</f>
        <v>3151</v>
      </c>
    </row>
    <row r="723" spans="1:10" s="37" customFormat="1" ht="63.75">
      <c r="A723" s="27"/>
      <c r="B723" s="70"/>
      <c r="C723" s="16" t="s">
        <v>102</v>
      </c>
      <c r="D723" s="16" t="s">
        <v>95</v>
      </c>
      <c r="E723" s="80">
        <v>290022200</v>
      </c>
      <c r="F723" s="21"/>
      <c r="G723" s="98" t="s">
        <v>266</v>
      </c>
      <c r="H723" s="94">
        <f>SUM(H724:H725)</f>
        <v>3403.5</v>
      </c>
      <c r="I723" s="94">
        <f>SUM(I724:I725)</f>
        <v>3151</v>
      </c>
      <c r="J723" s="94">
        <f>SUM(J724:J725)</f>
        <v>3151</v>
      </c>
    </row>
    <row r="724" spans="1:10" s="37" customFormat="1" ht="38.25">
      <c r="A724" s="27"/>
      <c r="B724" s="70"/>
      <c r="C724" s="16" t="s">
        <v>102</v>
      </c>
      <c r="D724" s="16" t="s">
        <v>95</v>
      </c>
      <c r="E724" s="80">
        <v>290022200</v>
      </c>
      <c r="F724" s="16" t="s">
        <v>63</v>
      </c>
      <c r="G724" s="55" t="s">
        <v>64</v>
      </c>
      <c r="H724" s="94">
        <f>3035.4+300.6</f>
        <v>3336</v>
      </c>
      <c r="I724" s="94">
        <f>2788.9+300.6</f>
        <v>3089.5</v>
      </c>
      <c r="J724" s="94">
        <f>2788.9+300.6</f>
        <v>3089.5</v>
      </c>
    </row>
    <row r="725" spans="1:10" s="37" customFormat="1" ht="38.25">
      <c r="A725" s="27"/>
      <c r="B725" s="70"/>
      <c r="C725" s="16" t="s">
        <v>102</v>
      </c>
      <c r="D725" s="16" t="s">
        <v>95</v>
      </c>
      <c r="E725" s="80">
        <v>290022200</v>
      </c>
      <c r="F725" s="82" t="s">
        <v>214</v>
      </c>
      <c r="G725" s="98" t="s">
        <v>215</v>
      </c>
      <c r="H725" s="41">
        <v>67.5</v>
      </c>
      <c r="I725" s="41">
        <v>61.5</v>
      </c>
      <c r="J725" s="41">
        <v>61.5</v>
      </c>
    </row>
    <row r="726" spans="1:10" s="37" customFormat="1" ht="38.25">
      <c r="A726" s="27"/>
      <c r="B726" s="70"/>
      <c r="C726" s="16" t="s">
        <v>102</v>
      </c>
      <c r="D726" s="16" t="s">
        <v>95</v>
      </c>
      <c r="E726" s="82" t="s">
        <v>25</v>
      </c>
      <c r="F726" s="82"/>
      <c r="G726" s="99" t="s">
        <v>39</v>
      </c>
      <c r="H726" s="41">
        <f>H727</f>
        <v>240</v>
      </c>
      <c r="I726" s="41">
        <f t="shared" ref="I726:J726" si="292">I727</f>
        <v>0</v>
      </c>
      <c r="J726" s="41">
        <f t="shared" si="292"/>
        <v>0</v>
      </c>
    </row>
    <row r="727" spans="1:10" s="37" customFormat="1" ht="51">
      <c r="A727" s="27"/>
      <c r="B727" s="70"/>
      <c r="C727" s="16" t="s">
        <v>102</v>
      </c>
      <c r="D727" s="16" t="s">
        <v>95</v>
      </c>
      <c r="E727" s="82" t="s">
        <v>611</v>
      </c>
      <c r="F727" s="21"/>
      <c r="G727" s="54" t="s">
        <v>610</v>
      </c>
      <c r="H727" s="39">
        <f>H728</f>
        <v>240</v>
      </c>
      <c r="I727" s="39">
        <f t="shared" ref="I727:J727" si="293">I728</f>
        <v>0</v>
      </c>
      <c r="J727" s="39">
        <f t="shared" si="293"/>
        <v>0</v>
      </c>
    </row>
    <row r="728" spans="1:10" s="37" customFormat="1" ht="38.25">
      <c r="A728" s="27"/>
      <c r="B728" s="70"/>
      <c r="C728" s="16" t="s">
        <v>102</v>
      </c>
      <c r="D728" s="16" t="s">
        <v>95</v>
      </c>
      <c r="E728" s="82" t="s">
        <v>611</v>
      </c>
      <c r="F728" s="82" t="s">
        <v>214</v>
      </c>
      <c r="G728" s="98" t="s">
        <v>215</v>
      </c>
      <c r="H728" s="39">
        <v>240</v>
      </c>
      <c r="I728" s="39">
        <v>0</v>
      </c>
      <c r="J728" s="39">
        <v>0</v>
      </c>
    </row>
    <row r="729" spans="1:10" ht="15.75">
      <c r="A729" s="1"/>
      <c r="B729" s="25"/>
      <c r="C729" s="4" t="s">
        <v>103</v>
      </c>
      <c r="D729" s="3"/>
      <c r="E729" s="3"/>
      <c r="F729" s="3"/>
      <c r="G729" s="49" t="s">
        <v>124</v>
      </c>
      <c r="H729" s="92">
        <f t="shared" ref="H729:J731" si="294">H730</f>
        <v>5986</v>
      </c>
      <c r="I729" s="92">
        <f t="shared" si="294"/>
        <v>496.29999999999995</v>
      </c>
      <c r="J729" s="92">
        <f t="shared" si="294"/>
        <v>496.29999999999995</v>
      </c>
    </row>
    <row r="730" spans="1:10" ht="14.25">
      <c r="A730" s="1"/>
      <c r="B730" s="25"/>
      <c r="C730" s="35" t="s">
        <v>103</v>
      </c>
      <c r="D730" s="35" t="s">
        <v>90</v>
      </c>
      <c r="E730" s="35"/>
      <c r="F730" s="35"/>
      <c r="G730" s="46" t="s">
        <v>6</v>
      </c>
      <c r="H730" s="42">
        <f t="shared" si="294"/>
        <v>5986</v>
      </c>
      <c r="I730" s="42">
        <f t="shared" si="294"/>
        <v>496.29999999999995</v>
      </c>
      <c r="J730" s="42">
        <f t="shared" si="294"/>
        <v>496.29999999999995</v>
      </c>
    </row>
    <row r="731" spans="1:10" ht="89.25">
      <c r="A731" s="1"/>
      <c r="B731" s="25"/>
      <c r="C731" s="16" t="s">
        <v>103</v>
      </c>
      <c r="D731" s="16" t="s">
        <v>90</v>
      </c>
      <c r="E731" s="73" t="s">
        <v>60</v>
      </c>
      <c r="F731" s="35"/>
      <c r="G731" s="53" t="s">
        <v>616</v>
      </c>
      <c r="H731" s="62">
        <f t="shared" si="294"/>
        <v>5986</v>
      </c>
      <c r="I731" s="62">
        <f t="shared" si="294"/>
        <v>496.29999999999995</v>
      </c>
      <c r="J731" s="62">
        <f t="shared" si="294"/>
        <v>496.29999999999995</v>
      </c>
    </row>
    <row r="732" spans="1:10" ht="38.25">
      <c r="A732" s="1"/>
      <c r="B732" s="25"/>
      <c r="C732" s="47" t="s">
        <v>103</v>
      </c>
      <c r="D732" s="47" t="s">
        <v>90</v>
      </c>
      <c r="E732" s="52" t="s">
        <v>44</v>
      </c>
      <c r="F732" s="35"/>
      <c r="G732" s="48" t="s">
        <v>203</v>
      </c>
      <c r="H732" s="58">
        <f>H733+H742</f>
        <v>5986</v>
      </c>
      <c r="I732" s="58">
        <f t="shared" ref="I732:J732" si="295">I733+I742</f>
        <v>496.29999999999995</v>
      </c>
      <c r="J732" s="58">
        <f t="shared" si="295"/>
        <v>496.29999999999995</v>
      </c>
    </row>
    <row r="733" spans="1:10" ht="89.25" customHeight="1">
      <c r="A733" s="1"/>
      <c r="B733" s="25"/>
      <c r="C733" s="16" t="s">
        <v>103</v>
      </c>
      <c r="D733" s="16" t="s">
        <v>90</v>
      </c>
      <c r="E733" s="21" t="s">
        <v>261</v>
      </c>
      <c r="F733" s="35"/>
      <c r="G733" s="99" t="s">
        <v>262</v>
      </c>
      <c r="H733" s="58">
        <f>H734+H737+H740</f>
        <v>5736</v>
      </c>
      <c r="I733" s="58">
        <f t="shared" ref="I733:J733" si="296">I734+I737+I740</f>
        <v>496.29999999999995</v>
      </c>
      <c r="J733" s="58">
        <f t="shared" si="296"/>
        <v>496.29999999999995</v>
      </c>
    </row>
    <row r="734" spans="1:10" ht="89.25">
      <c r="A734" s="1"/>
      <c r="B734" s="25"/>
      <c r="C734" s="16" t="s">
        <v>103</v>
      </c>
      <c r="D734" s="16" t="s">
        <v>90</v>
      </c>
      <c r="E734" s="21" t="s">
        <v>468</v>
      </c>
      <c r="F734" s="21"/>
      <c r="G734" s="99" t="s">
        <v>178</v>
      </c>
      <c r="H734" s="39">
        <f>SUM(H735:H736)</f>
        <v>543.70000000000005</v>
      </c>
      <c r="I734" s="39">
        <f t="shared" ref="I734:J734" si="297">SUM(I735:I736)</f>
        <v>415.7</v>
      </c>
      <c r="J734" s="39">
        <f t="shared" si="297"/>
        <v>415.7</v>
      </c>
    </row>
    <row r="735" spans="1:10" ht="25.5">
      <c r="A735" s="1"/>
      <c r="B735" s="25"/>
      <c r="C735" s="16" t="s">
        <v>103</v>
      </c>
      <c r="D735" s="16" t="s">
        <v>90</v>
      </c>
      <c r="E735" s="21" t="s">
        <v>468</v>
      </c>
      <c r="F735" s="82" t="s">
        <v>65</v>
      </c>
      <c r="G735" s="55" t="s">
        <v>131</v>
      </c>
      <c r="H735" s="39">
        <v>130</v>
      </c>
      <c r="I735" s="39">
        <v>0</v>
      </c>
      <c r="J735" s="39">
        <v>0</v>
      </c>
    </row>
    <row r="736" spans="1:10" ht="38.25">
      <c r="A736" s="1"/>
      <c r="B736" s="25"/>
      <c r="C736" s="16" t="s">
        <v>103</v>
      </c>
      <c r="D736" s="16" t="s">
        <v>90</v>
      </c>
      <c r="E736" s="21" t="s">
        <v>468</v>
      </c>
      <c r="F736" s="82" t="s">
        <v>214</v>
      </c>
      <c r="G736" s="98" t="s">
        <v>215</v>
      </c>
      <c r="H736" s="39">
        <f>543.7-130</f>
        <v>413.70000000000005</v>
      </c>
      <c r="I736" s="39">
        <v>415.7</v>
      </c>
      <c r="J736" s="39">
        <v>415.7</v>
      </c>
    </row>
    <row r="737" spans="1:10" ht="63.75">
      <c r="A737" s="1"/>
      <c r="B737" s="25"/>
      <c r="C737" s="16" t="s">
        <v>103</v>
      </c>
      <c r="D737" s="16" t="s">
        <v>90</v>
      </c>
      <c r="E737" s="21" t="s">
        <v>469</v>
      </c>
      <c r="F737" s="21"/>
      <c r="G737" s="99" t="s">
        <v>62</v>
      </c>
      <c r="H737" s="39">
        <f>SUM(H738:H739)</f>
        <v>90.6</v>
      </c>
      <c r="I737" s="39">
        <f>SUM(I738:I739)</f>
        <v>80.599999999999994</v>
      </c>
      <c r="J737" s="39">
        <f>SUM(J738:J739)</f>
        <v>80.599999999999994</v>
      </c>
    </row>
    <row r="738" spans="1:10" ht="25.5">
      <c r="A738" s="1"/>
      <c r="B738" s="25"/>
      <c r="C738" s="16" t="s">
        <v>103</v>
      </c>
      <c r="D738" s="16" t="s">
        <v>90</v>
      </c>
      <c r="E738" s="21" t="s">
        <v>469</v>
      </c>
      <c r="F738" s="82" t="s">
        <v>65</v>
      </c>
      <c r="G738" s="55" t="s">
        <v>131</v>
      </c>
      <c r="H738" s="39">
        <v>39.6</v>
      </c>
      <c r="I738" s="39">
        <v>39.6</v>
      </c>
      <c r="J738" s="39">
        <v>39.6</v>
      </c>
    </row>
    <row r="739" spans="1:10" ht="38.25">
      <c r="A739" s="1"/>
      <c r="B739" s="25"/>
      <c r="C739" s="16" t="s">
        <v>103</v>
      </c>
      <c r="D739" s="16" t="s">
        <v>90</v>
      </c>
      <c r="E739" s="21" t="s">
        <v>469</v>
      </c>
      <c r="F739" s="82" t="s">
        <v>214</v>
      </c>
      <c r="G739" s="98" t="s">
        <v>215</v>
      </c>
      <c r="H739" s="39">
        <v>51</v>
      </c>
      <c r="I739" s="39">
        <v>41</v>
      </c>
      <c r="J739" s="39">
        <v>41</v>
      </c>
    </row>
    <row r="740" spans="1:10" ht="25.5">
      <c r="A740" s="1"/>
      <c r="B740" s="25"/>
      <c r="C740" s="16" t="s">
        <v>103</v>
      </c>
      <c r="D740" s="16" t="s">
        <v>90</v>
      </c>
      <c r="E740" s="21" t="s">
        <v>729</v>
      </c>
      <c r="F740" s="82"/>
      <c r="G740" s="98" t="s">
        <v>728</v>
      </c>
      <c r="H740" s="39">
        <f>H741</f>
        <v>5101.7</v>
      </c>
      <c r="I740" s="39">
        <f t="shared" ref="I740:J740" si="298">I741</f>
        <v>0</v>
      </c>
      <c r="J740" s="39">
        <f t="shared" si="298"/>
        <v>0</v>
      </c>
    </row>
    <row r="741" spans="1:10" ht="38.25">
      <c r="A741" s="1"/>
      <c r="B741" s="25"/>
      <c r="C741" s="16" t="s">
        <v>103</v>
      </c>
      <c r="D741" s="16" t="s">
        <v>90</v>
      </c>
      <c r="E741" s="21" t="s">
        <v>729</v>
      </c>
      <c r="F741" s="82" t="s">
        <v>214</v>
      </c>
      <c r="G741" s="98" t="s">
        <v>215</v>
      </c>
      <c r="H741" s="39">
        <v>5101.7</v>
      </c>
      <c r="I741" s="39">
        <v>0</v>
      </c>
      <c r="J741" s="39">
        <v>0</v>
      </c>
    </row>
    <row r="742" spans="1:10" ht="38.25" customHeight="1">
      <c r="A742" s="1"/>
      <c r="B742" s="25"/>
      <c r="C742" s="16" t="s">
        <v>103</v>
      </c>
      <c r="D742" s="16" t="s">
        <v>90</v>
      </c>
      <c r="E742" s="21" t="s">
        <v>696</v>
      </c>
      <c r="F742" s="82"/>
      <c r="G742" s="98" t="s">
        <v>695</v>
      </c>
      <c r="H742" s="39">
        <f>H743+H745</f>
        <v>250</v>
      </c>
      <c r="I742" s="39">
        <f t="shared" ref="I742:J742" si="299">I743</f>
        <v>0</v>
      </c>
      <c r="J742" s="39">
        <f t="shared" si="299"/>
        <v>0</v>
      </c>
    </row>
    <row r="743" spans="1:10" ht="51">
      <c r="A743" s="1"/>
      <c r="B743" s="25"/>
      <c r="C743" s="16" t="s">
        <v>103</v>
      </c>
      <c r="D743" s="16" t="s">
        <v>90</v>
      </c>
      <c r="E743" s="21" t="s">
        <v>685</v>
      </c>
      <c r="F743" s="82"/>
      <c r="G743" s="98" t="s">
        <v>686</v>
      </c>
      <c r="H743" s="39">
        <f t="shared" ref="H743:J743" si="300">H744</f>
        <v>50</v>
      </c>
      <c r="I743" s="39">
        <f t="shared" si="300"/>
        <v>0</v>
      </c>
      <c r="J743" s="39">
        <f t="shared" si="300"/>
        <v>0</v>
      </c>
    </row>
    <row r="744" spans="1:10" ht="38.25">
      <c r="A744" s="1"/>
      <c r="B744" s="25"/>
      <c r="C744" s="16" t="s">
        <v>103</v>
      </c>
      <c r="D744" s="16" t="s">
        <v>90</v>
      </c>
      <c r="E744" s="21" t="s">
        <v>685</v>
      </c>
      <c r="F744" s="82" t="s">
        <v>214</v>
      </c>
      <c r="G744" s="98" t="s">
        <v>215</v>
      </c>
      <c r="H744" s="39">
        <v>50</v>
      </c>
      <c r="I744" s="39">
        <v>0</v>
      </c>
      <c r="J744" s="39">
        <v>0</v>
      </c>
    </row>
    <row r="745" spans="1:10" ht="37.5" customHeight="1">
      <c r="A745" s="1"/>
      <c r="B745" s="25"/>
      <c r="C745" s="16" t="s">
        <v>103</v>
      </c>
      <c r="D745" s="16" t="s">
        <v>90</v>
      </c>
      <c r="E745" s="21" t="s">
        <v>741</v>
      </c>
      <c r="F745" s="82"/>
      <c r="G745" s="98" t="s">
        <v>742</v>
      </c>
      <c r="H745" s="39">
        <f>H746</f>
        <v>200</v>
      </c>
      <c r="I745" s="39">
        <f t="shared" ref="I745:J745" si="301">I746</f>
        <v>0</v>
      </c>
      <c r="J745" s="39">
        <f t="shared" si="301"/>
        <v>0</v>
      </c>
    </row>
    <row r="746" spans="1:10" ht="38.25">
      <c r="A746" s="1"/>
      <c r="B746" s="25"/>
      <c r="C746" s="16" t="s">
        <v>103</v>
      </c>
      <c r="D746" s="16" t="s">
        <v>90</v>
      </c>
      <c r="E746" s="21" t="s">
        <v>741</v>
      </c>
      <c r="F746" s="82" t="s">
        <v>214</v>
      </c>
      <c r="G746" s="98" t="s">
        <v>215</v>
      </c>
      <c r="H746" s="39">
        <v>200</v>
      </c>
      <c r="I746" s="39">
        <v>0</v>
      </c>
      <c r="J746" s="39">
        <v>0</v>
      </c>
    </row>
    <row r="747" spans="1:10" s="8" customFormat="1" ht="74.25" customHeight="1">
      <c r="A747" s="3">
        <v>6</v>
      </c>
      <c r="B747" s="91">
        <v>902</v>
      </c>
      <c r="C747" s="13"/>
      <c r="D747" s="13"/>
      <c r="E747" s="13"/>
      <c r="F747" s="13"/>
      <c r="G747" s="14" t="s">
        <v>199</v>
      </c>
      <c r="H747" s="92">
        <f>H748+H760</f>
        <v>11444.9</v>
      </c>
      <c r="I747" s="92">
        <f t="shared" ref="I747:J747" si="302">I748+I760</f>
        <v>11338.5</v>
      </c>
      <c r="J747" s="92">
        <f t="shared" si="302"/>
        <v>11313.5</v>
      </c>
    </row>
    <row r="748" spans="1:10" ht="15.75">
      <c r="A748" s="3"/>
      <c r="B748" s="91"/>
      <c r="C748" s="4" t="s">
        <v>89</v>
      </c>
      <c r="D748" s="11"/>
      <c r="E748" s="11"/>
      <c r="F748" s="11"/>
      <c r="G748" s="15" t="s">
        <v>92</v>
      </c>
      <c r="H748" s="92">
        <f>H749+H756</f>
        <v>11419.9</v>
      </c>
      <c r="I748" s="92">
        <f>I749+I756</f>
        <v>11313.5</v>
      </c>
      <c r="J748" s="92">
        <f>J749+J756</f>
        <v>11313.5</v>
      </c>
    </row>
    <row r="749" spans="1:10" s="37" customFormat="1" ht="52.5" customHeight="1">
      <c r="A749" s="27"/>
      <c r="B749" s="70"/>
      <c r="C749" s="35" t="s">
        <v>89</v>
      </c>
      <c r="D749" s="35" t="s">
        <v>97</v>
      </c>
      <c r="E749" s="35"/>
      <c r="F749" s="35"/>
      <c r="G749" s="46" t="s">
        <v>126</v>
      </c>
      <c r="H749" s="42">
        <f t="shared" ref="H749:J750" si="303">SUM(H750)</f>
        <v>10869.9</v>
      </c>
      <c r="I749" s="42">
        <f t="shared" si="303"/>
        <v>10813.5</v>
      </c>
      <c r="J749" s="42">
        <f t="shared" si="303"/>
        <v>10813.5</v>
      </c>
    </row>
    <row r="750" spans="1:10" ht="25.5">
      <c r="A750" s="1"/>
      <c r="B750" s="25"/>
      <c r="C750" s="16" t="s">
        <v>89</v>
      </c>
      <c r="D750" s="16" t="s">
        <v>97</v>
      </c>
      <c r="E750" s="79">
        <v>9900000000</v>
      </c>
      <c r="F750" s="16"/>
      <c r="G750" s="55" t="s">
        <v>145</v>
      </c>
      <c r="H750" s="39">
        <f t="shared" si="303"/>
        <v>10869.9</v>
      </c>
      <c r="I750" s="39">
        <f t="shared" si="303"/>
        <v>10813.5</v>
      </c>
      <c r="J750" s="39">
        <f t="shared" si="303"/>
        <v>10813.5</v>
      </c>
    </row>
    <row r="751" spans="1:10" ht="38.25">
      <c r="A751" s="1"/>
      <c r="B751" s="25"/>
      <c r="C751" s="16" t="s">
        <v>89</v>
      </c>
      <c r="D751" s="16" t="s">
        <v>97</v>
      </c>
      <c r="E751" s="79">
        <v>9980000000</v>
      </c>
      <c r="F751" s="16"/>
      <c r="G751" s="54" t="s">
        <v>30</v>
      </c>
      <c r="H751" s="39">
        <f t="shared" ref="H751:J751" si="304">H752</f>
        <v>10869.9</v>
      </c>
      <c r="I751" s="39">
        <f t="shared" si="304"/>
        <v>10813.5</v>
      </c>
      <c r="J751" s="39">
        <f t="shared" si="304"/>
        <v>10813.5</v>
      </c>
    </row>
    <row r="752" spans="1:10">
      <c r="A752" s="1"/>
      <c r="B752" s="25"/>
      <c r="C752" s="16" t="s">
        <v>89</v>
      </c>
      <c r="D752" s="16" t="s">
        <v>97</v>
      </c>
      <c r="E752" s="79">
        <v>9980022200</v>
      </c>
      <c r="F752" s="21"/>
      <c r="G752" s="99" t="s">
        <v>116</v>
      </c>
      <c r="H752" s="39">
        <f>SUM(H753:H755)</f>
        <v>10869.9</v>
      </c>
      <c r="I752" s="39">
        <f t="shared" ref="I752:J752" si="305">SUM(I753:I755)</f>
        <v>10813.5</v>
      </c>
      <c r="J752" s="39">
        <f t="shared" si="305"/>
        <v>10813.5</v>
      </c>
    </row>
    <row r="753" spans="1:12" ht="38.25">
      <c r="A753" s="1"/>
      <c r="B753" s="25"/>
      <c r="C753" s="16" t="s">
        <v>89</v>
      </c>
      <c r="D753" s="16" t="s">
        <v>97</v>
      </c>
      <c r="E753" s="79">
        <v>9980022200</v>
      </c>
      <c r="F753" s="16" t="s">
        <v>63</v>
      </c>
      <c r="G753" s="102" t="s">
        <v>64</v>
      </c>
      <c r="H753" s="39">
        <f>9404.1+64.1+940.4-64.1+56.5</f>
        <v>10401</v>
      </c>
      <c r="I753" s="39">
        <f>9404.1+940.5</f>
        <v>10344.6</v>
      </c>
      <c r="J753" s="39">
        <f>9404.1+940.5</f>
        <v>10344.6</v>
      </c>
    </row>
    <row r="754" spans="1:12" ht="38.25">
      <c r="A754" s="1"/>
      <c r="B754" s="25"/>
      <c r="C754" s="16" t="s">
        <v>89</v>
      </c>
      <c r="D754" s="16" t="s">
        <v>97</v>
      </c>
      <c r="E754" s="79">
        <v>9980022200</v>
      </c>
      <c r="F754" s="82" t="s">
        <v>214</v>
      </c>
      <c r="G754" s="98" t="s">
        <v>215</v>
      </c>
      <c r="H754" s="39">
        <f>468.9-3</f>
        <v>465.9</v>
      </c>
      <c r="I754" s="39">
        <v>468.9</v>
      </c>
      <c r="J754" s="39">
        <v>468.9</v>
      </c>
    </row>
    <row r="755" spans="1:12" s="172" customFormat="1">
      <c r="A755" s="1"/>
      <c r="B755" s="25"/>
      <c r="C755" s="16" t="s">
        <v>89</v>
      </c>
      <c r="D755" s="16" t="s">
        <v>97</v>
      </c>
      <c r="E755" s="79">
        <v>9980022200</v>
      </c>
      <c r="F755" s="82" t="s">
        <v>726</v>
      </c>
      <c r="G755" s="98" t="s">
        <v>727</v>
      </c>
      <c r="H755" s="39">
        <v>3</v>
      </c>
      <c r="I755" s="39">
        <v>0</v>
      </c>
      <c r="J755" s="39">
        <v>0</v>
      </c>
    </row>
    <row r="756" spans="1:12" ht="14.25">
      <c r="A756" s="1"/>
      <c r="B756" s="25"/>
      <c r="C756" s="35" t="s">
        <v>89</v>
      </c>
      <c r="D756" s="35" t="s">
        <v>103</v>
      </c>
      <c r="E756" s="35"/>
      <c r="F756" s="35"/>
      <c r="G756" s="27" t="s">
        <v>5</v>
      </c>
      <c r="H756" s="42">
        <f t="shared" ref="H756:J758" si="306">H757</f>
        <v>550</v>
      </c>
      <c r="I756" s="42">
        <f t="shared" si="306"/>
        <v>500</v>
      </c>
      <c r="J756" s="42">
        <f t="shared" si="306"/>
        <v>500</v>
      </c>
    </row>
    <row r="757" spans="1:12" ht="14.25">
      <c r="A757" s="1"/>
      <c r="B757" s="25"/>
      <c r="C757" s="16" t="s">
        <v>89</v>
      </c>
      <c r="D757" s="16" t="s">
        <v>103</v>
      </c>
      <c r="E757" s="79">
        <v>9920000000</v>
      </c>
      <c r="F757" s="35"/>
      <c r="G757" s="126" t="s">
        <v>5</v>
      </c>
      <c r="H757" s="42">
        <f t="shared" si="306"/>
        <v>550</v>
      </c>
      <c r="I757" s="42">
        <f t="shared" si="306"/>
        <v>500</v>
      </c>
      <c r="J757" s="42">
        <f t="shared" si="306"/>
        <v>500</v>
      </c>
    </row>
    <row r="758" spans="1:12" ht="25.5">
      <c r="A758" s="1"/>
      <c r="B758" s="25"/>
      <c r="C758" s="16" t="s">
        <v>89</v>
      </c>
      <c r="D758" s="16" t="s">
        <v>103</v>
      </c>
      <c r="E758" s="79">
        <v>9920026100</v>
      </c>
      <c r="F758" s="21"/>
      <c r="G758" s="99" t="s">
        <v>11</v>
      </c>
      <c r="H758" s="39">
        <f t="shared" si="306"/>
        <v>550</v>
      </c>
      <c r="I758" s="39">
        <f t="shared" si="306"/>
        <v>500</v>
      </c>
      <c r="J758" s="39">
        <f t="shared" si="306"/>
        <v>500</v>
      </c>
    </row>
    <row r="759" spans="1:12">
      <c r="A759" s="1"/>
      <c r="B759" s="25"/>
      <c r="C759" s="16" t="s">
        <v>89</v>
      </c>
      <c r="D759" s="16" t="s">
        <v>103</v>
      </c>
      <c r="E759" s="79">
        <v>9920026100</v>
      </c>
      <c r="F759" s="16" t="s">
        <v>85</v>
      </c>
      <c r="G759" s="98" t="s">
        <v>86</v>
      </c>
      <c r="H759" s="39">
        <f>500+100-50</f>
        <v>550</v>
      </c>
      <c r="I759" s="39">
        <v>500</v>
      </c>
      <c r="J759" s="39">
        <v>500</v>
      </c>
    </row>
    <row r="760" spans="1:12" ht="32.25" customHeight="1">
      <c r="B760" s="25"/>
      <c r="C760" s="4" t="s">
        <v>9</v>
      </c>
      <c r="D760" s="5"/>
      <c r="E760" s="147"/>
      <c r="F760" s="147"/>
      <c r="G760" s="49" t="s">
        <v>652</v>
      </c>
      <c r="H760" s="96">
        <f>H761</f>
        <v>25</v>
      </c>
      <c r="I760" s="96">
        <f t="shared" ref="I760:J763" si="307">I761</f>
        <v>25</v>
      </c>
      <c r="J760" s="96">
        <f t="shared" si="307"/>
        <v>0</v>
      </c>
      <c r="L760" s="103"/>
    </row>
    <row r="761" spans="1:12" ht="25.5">
      <c r="B761" s="25"/>
      <c r="C761" s="47" t="s">
        <v>9</v>
      </c>
      <c r="D761" s="47" t="s">
        <v>89</v>
      </c>
      <c r="E761" s="23"/>
      <c r="F761" s="23"/>
      <c r="G761" s="48" t="s">
        <v>653</v>
      </c>
      <c r="H761" s="93">
        <f>H762</f>
        <v>25</v>
      </c>
      <c r="I761" s="93">
        <f t="shared" si="307"/>
        <v>25</v>
      </c>
      <c r="J761" s="93">
        <f t="shared" si="307"/>
        <v>0</v>
      </c>
    </row>
    <row r="762" spans="1:12" ht="38.25">
      <c r="B762" s="25"/>
      <c r="C762" s="82" t="s">
        <v>9</v>
      </c>
      <c r="D762" s="82" t="s">
        <v>89</v>
      </c>
      <c r="E762" s="82" t="s">
        <v>25</v>
      </c>
      <c r="F762" s="82"/>
      <c r="G762" s="99" t="s">
        <v>39</v>
      </c>
      <c r="H762" s="39">
        <f>H763</f>
        <v>25</v>
      </c>
      <c r="I762" s="39">
        <f t="shared" si="307"/>
        <v>25</v>
      </c>
      <c r="J762" s="39">
        <f t="shared" si="307"/>
        <v>0</v>
      </c>
    </row>
    <row r="763" spans="1:12" ht="25.5">
      <c r="B763" s="25"/>
      <c r="C763" s="82" t="s">
        <v>9</v>
      </c>
      <c r="D763" s="82" t="s">
        <v>89</v>
      </c>
      <c r="E763" s="1">
        <v>9940026500</v>
      </c>
      <c r="F763" s="1"/>
      <c r="G763" s="99" t="s">
        <v>654</v>
      </c>
      <c r="H763" s="39">
        <f>H764</f>
        <v>25</v>
      </c>
      <c r="I763" s="39">
        <f t="shared" si="307"/>
        <v>25</v>
      </c>
      <c r="J763" s="39">
        <f t="shared" si="307"/>
        <v>0</v>
      </c>
    </row>
    <row r="764" spans="1:12">
      <c r="B764" s="25"/>
      <c r="C764" s="82" t="s">
        <v>9</v>
      </c>
      <c r="D764" s="82" t="s">
        <v>89</v>
      </c>
      <c r="E764" s="1">
        <v>9940026500</v>
      </c>
      <c r="F764" s="82" t="s">
        <v>655</v>
      </c>
      <c r="G764" s="1" t="s">
        <v>656</v>
      </c>
      <c r="H764" s="39">
        <f>20.8+4.2</f>
        <v>25</v>
      </c>
      <c r="I764" s="39">
        <f>20.8+4.2</f>
        <v>25</v>
      </c>
      <c r="J764"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30"/>
  <sheetViews>
    <sheetView tabSelected="1" view="pageBreakPreview" zoomScale="60" zoomScaleNormal="100" workbookViewId="0">
      <selection activeCell="D3" sqref="D3"/>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7" t="s">
        <v>320</v>
      </c>
    </row>
    <row r="2" spans="1:6">
      <c r="C2" s="127" t="s">
        <v>609</v>
      </c>
    </row>
    <row r="3" spans="1:6">
      <c r="C3" s="127" t="s">
        <v>783</v>
      </c>
    </row>
    <row r="4" spans="1:6">
      <c r="C4" s="127" t="s">
        <v>691</v>
      </c>
    </row>
    <row r="5" spans="1:6">
      <c r="C5" s="127" t="s">
        <v>693</v>
      </c>
    </row>
    <row r="6" spans="1:6">
      <c r="C6" s="127" t="s">
        <v>144</v>
      </c>
    </row>
    <row r="7" spans="1:6">
      <c r="C7" s="127" t="s">
        <v>634</v>
      </c>
    </row>
    <row r="8" spans="1:6">
      <c r="C8" s="85"/>
    </row>
    <row r="9" spans="1:6">
      <c r="C9" s="127" t="s">
        <v>320</v>
      </c>
      <c r="D9" s="88"/>
      <c r="E9" s="89"/>
      <c r="F9" s="89"/>
    </row>
    <row r="10" spans="1:6">
      <c r="C10" s="127" t="s">
        <v>382</v>
      </c>
      <c r="D10" s="88"/>
      <c r="E10" s="89"/>
      <c r="F10" s="89"/>
    </row>
    <row r="11" spans="1:6">
      <c r="C11" s="127" t="s">
        <v>687</v>
      </c>
      <c r="D11" s="88"/>
      <c r="E11" s="89"/>
      <c r="F11" s="89"/>
    </row>
    <row r="12" spans="1:6">
      <c r="C12" s="127" t="s">
        <v>144</v>
      </c>
      <c r="D12" s="88"/>
      <c r="E12" s="89"/>
      <c r="F12" s="89"/>
    </row>
    <row r="13" spans="1:6">
      <c r="C13" s="127" t="s">
        <v>634</v>
      </c>
      <c r="D13" s="44"/>
    </row>
    <row r="14" spans="1:6">
      <c r="C14" s="85"/>
      <c r="D14" s="44"/>
    </row>
    <row r="15" spans="1:6" ht="64.5" customHeight="1">
      <c r="A15" s="176" t="s">
        <v>636</v>
      </c>
      <c r="B15" s="195"/>
      <c r="C15" s="195"/>
      <c r="D15" s="195"/>
      <c r="E15" s="195"/>
      <c r="F15" s="195"/>
    </row>
    <row r="16" spans="1:6" ht="15">
      <c r="A16" s="109"/>
      <c r="B16" s="110"/>
      <c r="C16" s="110"/>
      <c r="D16" s="110"/>
      <c r="E16" s="110"/>
      <c r="F16" s="110"/>
    </row>
    <row r="17" spans="1:7">
      <c r="D17" s="6"/>
    </row>
    <row r="18" spans="1:7">
      <c r="A18" s="182" t="s">
        <v>120</v>
      </c>
      <c r="B18" s="182" t="s">
        <v>114</v>
      </c>
      <c r="C18" s="192" t="s">
        <v>275</v>
      </c>
      <c r="D18" s="188" t="s">
        <v>28</v>
      </c>
      <c r="E18" s="175"/>
      <c r="F18" s="175"/>
    </row>
    <row r="19" spans="1:7">
      <c r="A19" s="183"/>
      <c r="B19" s="183"/>
      <c r="C19" s="193"/>
      <c r="D19" s="192" t="s">
        <v>384</v>
      </c>
      <c r="E19" s="175" t="s">
        <v>141</v>
      </c>
      <c r="F19" s="175"/>
    </row>
    <row r="20" spans="1:7">
      <c r="A20" s="184"/>
      <c r="B20" s="184"/>
      <c r="C20" s="194"/>
      <c r="D20" s="194"/>
      <c r="E20" s="144" t="s">
        <v>484</v>
      </c>
      <c r="F20" s="144" t="s">
        <v>637</v>
      </c>
    </row>
    <row r="21" spans="1:7">
      <c r="A21" s="2">
        <v>3</v>
      </c>
      <c r="B21" s="2">
        <v>4</v>
      </c>
      <c r="C21" s="2">
        <v>5</v>
      </c>
      <c r="D21" s="2">
        <v>6</v>
      </c>
      <c r="E21" s="2">
        <v>7</v>
      </c>
      <c r="F21" s="2">
        <v>8</v>
      </c>
    </row>
    <row r="22" spans="1:7" ht="18">
      <c r="A22" s="2"/>
      <c r="B22" s="2"/>
      <c r="C22" s="9" t="s">
        <v>93</v>
      </c>
      <c r="D22" s="162">
        <f>D23+D575</f>
        <v>1220412.7999999998</v>
      </c>
      <c r="E22" s="163">
        <f>E23+E575</f>
        <v>1034647.7000000002</v>
      </c>
      <c r="F22" s="163">
        <f>F23+F575</f>
        <v>1049590.0999999999</v>
      </c>
    </row>
    <row r="23" spans="1:7" ht="15.75">
      <c r="A23" s="2"/>
      <c r="B23" s="2"/>
      <c r="C23" s="3" t="s">
        <v>368</v>
      </c>
      <c r="D23" s="148">
        <f>D24+D137+D215+D239+D298+D330+D337+D365+D376+D413+D432+D456+D501+D523+D533+D551</f>
        <v>1101069.6999999997</v>
      </c>
      <c r="E23" s="148">
        <f>E24+E137+E215+E239+E298+E330+E337+E365+E376+E413+E432+E456+E501+E523+E533+E551</f>
        <v>917700.30000000016</v>
      </c>
      <c r="F23" s="148">
        <f>F24+F137+F215+F239+F298+F330+F337+F365+F376+F413+F432+F456+F501+F523+F533+F551</f>
        <v>934102.29999999993</v>
      </c>
    </row>
    <row r="24" spans="1:7" ht="67.5" customHeight="1">
      <c r="A24" s="73" t="s">
        <v>74</v>
      </c>
      <c r="B24" s="35"/>
      <c r="C24" s="64" t="s">
        <v>615</v>
      </c>
      <c r="D24" s="62">
        <f>D25+D40+D85+D105+D133</f>
        <v>608025.89999999991</v>
      </c>
      <c r="E24" s="62">
        <f>E25+E40+E85+E105+E133</f>
        <v>613999.89999999991</v>
      </c>
      <c r="F24" s="62">
        <f>F25+F40+F85+F105+F133</f>
        <v>603835.49999999988</v>
      </c>
      <c r="G24" s="103"/>
    </row>
    <row r="25" spans="1:7" ht="25.5">
      <c r="A25" s="52" t="s">
        <v>75</v>
      </c>
      <c r="B25" s="35"/>
      <c r="C25" s="46" t="s">
        <v>402</v>
      </c>
      <c r="D25" s="94">
        <f>D26+D31+D36</f>
        <v>172699.9</v>
      </c>
      <c r="E25" s="94">
        <f>E26+E31+E36</f>
        <v>173040.90000000002</v>
      </c>
      <c r="F25" s="94">
        <f>F26+F31+F36</f>
        <v>172663.80000000002</v>
      </c>
      <c r="G25" s="103"/>
    </row>
    <row r="26" spans="1:7" ht="38.25">
      <c r="A26" s="21" t="s">
        <v>340</v>
      </c>
      <c r="B26" s="35"/>
      <c r="C26" s="97" t="s">
        <v>403</v>
      </c>
      <c r="D26" s="94">
        <f>D27+D29</f>
        <v>159129.09999999998</v>
      </c>
      <c r="E26" s="94">
        <f t="shared" ref="E26:F26" si="0">E27+E29</f>
        <v>159595.70000000001</v>
      </c>
      <c r="F26" s="94">
        <f t="shared" si="0"/>
        <v>159595.70000000001</v>
      </c>
      <c r="G26" s="103"/>
    </row>
    <row r="27" spans="1:7" ht="51" customHeight="1">
      <c r="A27" s="21" t="s">
        <v>392</v>
      </c>
      <c r="B27" s="21"/>
      <c r="C27" s="98" t="s">
        <v>391</v>
      </c>
      <c r="D27" s="94">
        <f>D28</f>
        <v>88408.6</v>
      </c>
      <c r="E27" s="94">
        <f t="shared" ref="E27:F27" si="1">E28</f>
        <v>88408.6</v>
      </c>
      <c r="F27" s="94">
        <f t="shared" si="1"/>
        <v>88408.6</v>
      </c>
      <c r="G27" s="103"/>
    </row>
    <row r="28" spans="1:7">
      <c r="A28" s="21" t="s">
        <v>392</v>
      </c>
      <c r="B28" s="21" t="s">
        <v>228</v>
      </c>
      <c r="C28" s="98" t="s">
        <v>227</v>
      </c>
      <c r="D28" s="1">
        <v>88408.6</v>
      </c>
      <c r="E28" s="1">
        <v>88408.6</v>
      </c>
      <c r="F28" s="1">
        <v>88408.6</v>
      </c>
      <c r="G28" s="103"/>
    </row>
    <row r="29" spans="1:7" ht="64.5" customHeight="1">
      <c r="A29" s="132" t="s">
        <v>394</v>
      </c>
      <c r="B29" s="21"/>
      <c r="C29" s="98" t="s">
        <v>393</v>
      </c>
      <c r="D29" s="94">
        <f>D30</f>
        <v>70720.499999999985</v>
      </c>
      <c r="E29" s="94">
        <f t="shared" ref="E29:F29" si="2">E30</f>
        <v>71187.099999999991</v>
      </c>
      <c r="F29" s="94">
        <f t="shared" si="2"/>
        <v>71187.099999999991</v>
      </c>
      <c r="G29" s="103"/>
    </row>
    <row r="30" spans="1:7" ht="15">
      <c r="A30" s="132" t="s">
        <v>394</v>
      </c>
      <c r="B30" s="21" t="s">
        <v>228</v>
      </c>
      <c r="C30" s="98" t="s">
        <v>227</v>
      </c>
      <c r="D30" s="94">
        <f>68790.2+2396.9-466.6</f>
        <v>70720.499999999985</v>
      </c>
      <c r="E30" s="94">
        <f>68790.2+2396.9</f>
        <v>71187.099999999991</v>
      </c>
      <c r="F30" s="94">
        <f>68790.2+2396.9</f>
        <v>71187.099999999991</v>
      </c>
      <c r="G30" s="103"/>
    </row>
    <row r="31" spans="1:7" ht="26.25" customHeight="1">
      <c r="A31" s="21" t="s">
        <v>287</v>
      </c>
      <c r="B31" s="35"/>
      <c r="C31" s="97" t="s">
        <v>395</v>
      </c>
      <c r="D31" s="94">
        <f>D32+D34</f>
        <v>502.70000000000005</v>
      </c>
      <c r="E31" s="94">
        <f t="shared" ref="E31:F31" si="3">E32+E34</f>
        <v>377.1</v>
      </c>
      <c r="F31" s="94">
        <f t="shared" si="3"/>
        <v>0</v>
      </c>
      <c r="G31" s="103"/>
    </row>
    <row r="32" spans="1:7" ht="52.5" customHeight="1">
      <c r="A32" s="21" t="s">
        <v>397</v>
      </c>
      <c r="B32" s="57"/>
      <c r="C32" s="97" t="s">
        <v>396</v>
      </c>
      <c r="D32" s="94">
        <f>D33</f>
        <v>502.70000000000005</v>
      </c>
      <c r="E32" s="94">
        <f t="shared" ref="E32:F32" si="4">E33</f>
        <v>227.1</v>
      </c>
      <c r="F32" s="94">
        <f t="shared" si="4"/>
        <v>0</v>
      </c>
      <c r="G32" s="103"/>
    </row>
    <row r="33" spans="1:7">
      <c r="A33" s="21" t="s">
        <v>397</v>
      </c>
      <c r="B33" s="21" t="s">
        <v>228</v>
      </c>
      <c r="C33" s="98" t="s">
        <v>227</v>
      </c>
      <c r="D33" s="94">
        <f>227.1+275.6</f>
        <v>502.70000000000005</v>
      </c>
      <c r="E33" s="94">
        <v>227.1</v>
      </c>
      <c r="F33" s="94">
        <v>0</v>
      </c>
      <c r="G33" s="103"/>
    </row>
    <row r="34" spans="1:7" ht="54.75" customHeight="1">
      <c r="A34" s="57" t="s">
        <v>398</v>
      </c>
      <c r="B34" s="21"/>
      <c r="C34" s="98" t="s">
        <v>381</v>
      </c>
      <c r="D34" s="94">
        <f>D35</f>
        <v>0</v>
      </c>
      <c r="E34" s="94">
        <f t="shared" ref="E34:F34" si="5">E35</f>
        <v>150</v>
      </c>
      <c r="F34" s="94">
        <f t="shared" si="5"/>
        <v>0</v>
      </c>
      <c r="G34" s="103"/>
    </row>
    <row r="35" spans="1:7">
      <c r="A35" s="57" t="s">
        <v>398</v>
      </c>
      <c r="B35" s="21" t="s">
        <v>228</v>
      </c>
      <c r="C35" s="98" t="s">
        <v>227</v>
      </c>
      <c r="D35" s="94">
        <f>150-150</f>
        <v>0</v>
      </c>
      <c r="E35" s="94">
        <v>150</v>
      </c>
      <c r="F35" s="94">
        <v>0</v>
      </c>
      <c r="G35" s="129"/>
    </row>
    <row r="36" spans="1:7" ht="25.5">
      <c r="A36" s="21" t="s">
        <v>288</v>
      </c>
      <c r="B36" s="21"/>
      <c r="C36" s="97" t="s">
        <v>399</v>
      </c>
      <c r="D36" s="94">
        <f>D37</f>
        <v>13068.1</v>
      </c>
      <c r="E36" s="94">
        <f>E37</f>
        <v>13068.1</v>
      </c>
      <c r="F36" s="94">
        <f>F37</f>
        <v>13068.1</v>
      </c>
      <c r="G36" s="103"/>
    </row>
    <row r="37" spans="1:7" ht="78.75" customHeight="1">
      <c r="A37" s="57" t="s">
        <v>401</v>
      </c>
      <c r="B37" s="21"/>
      <c r="C37" s="98" t="s">
        <v>400</v>
      </c>
      <c r="D37" s="94">
        <f>D38+D39</f>
        <v>13068.1</v>
      </c>
      <c r="E37" s="94">
        <f>E38+E39</f>
        <v>13068.1</v>
      </c>
      <c r="F37" s="94">
        <f>F38+F39</f>
        <v>13068.1</v>
      </c>
      <c r="G37" s="103"/>
    </row>
    <row r="38" spans="1:7" ht="38.25">
      <c r="A38" s="57" t="s">
        <v>401</v>
      </c>
      <c r="B38" s="82" t="s">
        <v>214</v>
      </c>
      <c r="C38" s="98" t="s">
        <v>215</v>
      </c>
      <c r="D38" s="94">
        <v>330</v>
      </c>
      <c r="E38" s="94">
        <v>330</v>
      </c>
      <c r="F38" s="94">
        <v>330</v>
      </c>
      <c r="G38" s="103"/>
    </row>
    <row r="39" spans="1:7" ht="25.5" customHeight="1">
      <c r="A39" s="57" t="s">
        <v>401</v>
      </c>
      <c r="B39" s="82" t="s">
        <v>265</v>
      </c>
      <c r="C39" s="98" t="s">
        <v>254</v>
      </c>
      <c r="D39" s="94">
        <v>12738.1</v>
      </c>
      <c r="E39" s="94">
        <v>12738.1</v>
      </c>
      <c r="F39" s="94">
        <v>12738.1</v>
      </c>
      <c r="G39" s="103"/>
    </row>
    <row r="40" spans="1:7" ht="38.25">
      <c r="A40" s="52" t="s">
        <v>76</v>
      </c>
      <c r="B40" s="21"/>
      <c r="C40" s="46" t="s">
        <v>602</v>
      </c>
      <c r="D40" s="94">
        <f>D41+D48+D57+D64+D77+D82</f>
        <v>377308.3</v>
      </c>
      <c r="E40" s="94">
        <f t="shared" ref="E40:F40" si="6">E41+E48+E57+E64+E77+E82</f>
        <v>383403.89999999997</v>
      </c>
      <c r="F40" s="94">
        <f t="shared" si="6"/>
        <v>373821.1</v>
      </c>
      <c r="G40" s="103"/>
    </row>
    <row r="41" spans="1:7" ht="51">
      <c r="A41" s="21" t="s">
        <v>292</v>
      </c>
      <c r="B41" s="35"/>
      <c r="C41" s="97" t="s">
        <v>404</v>
      </c>
      <c r="D41" s="94">
        <f>D42+D44+D46</f>
        <v>325062.3</v>
      </c>
      <c r="E41" s="94">
        <f>E42+E44+E46</f>
        <v>325062.3</v>
      </c>
      <c r="F41" s="94">
        <f>F42+F44+F46</f>
        <v>325062.3</v>
      </c>
      <c r="G41" s="103"/>
    </row>
    <row r="42" spans="1:7" ht="66.75" customHeight="1">
      <c r="A42" s="82" t="s">
        <v>406</v>
      </c>
      <c r="B42" s="82"/>
      <c r="C42" s="98" t="s">
        <v>405</v>
      </c>
      <c r="D42" s="94">
        <f>D43</f>
        <v>222855.8</v>
      </c>
      <c r="E42" s="94">
        <f>E43</f>
        <v>222855.8</v>
      </c>
      <c r="F42" s="94">
        <f>F43</f>
        <v>222855.8</v>
      </c>
      <c r="G42" s="103"/>
    </row>
    <row r="43" spans="1:7">
      <c r="A43" s="57" t="s">
        <v>406</v>
      </c>
      <c r="B43" s="21" t="s">
        <v>228</v>
      </c>
      <c r="C43" s="98" t="s">
        <v>227</v>
      </c>
      <c r="D43" s="39">
        <v>222855.8</v>
      </c>
      <c r="E43" s="39">
        <v>222855.8</v>
      </c>
      <c r="F43" s="39">
        <v>222855.8</v>
      </c>
      <c r="G43" s="103"/>
    </row>
    <row r="44" spans="1:7" ht="66.75" customHeight="1">
      <c r="A44" s="57" t="s">
        <v>407</v>
      </c>
      <c r="B44" s="21"/>
      <c r="C44" s="98" t="s">
        <v>291</v>
      </c>
      <c r="D44" s="94">
        <f>D45</f>
        <v>86324</v>
      </c>
      <c r="E44" s="94">
        <f>E45</f>
        <v>86324</v>
      </c>
      <c r="F44" s="94">
        <f>F45</f>
        <v>86324</v>
      </c>
      <c r="G44" s="103"/>
    </row>
    <row r="45" spans="1:7">
      <c r="A45" s="57" t="s">
        <v>407</v>
      </c>
      <c r="B45" s="21" t="s">
        <v>228</v>
      </c>
      <c r="C45" s="98" t="s">
        <v>227</v>
      </c>
      <c r="D45" s="94">
        <f>82839.4+3484.6</f>
        <v>86324</v>
      </c>
      <c r="E45" s="94">
        <f>82839.4+3484.6</f>
        <v>86324</v>
      </c>
      <c r="F45" s="94">
        <f>82839.4+3484.6</f>
        <v>86324</v>
      </c>
      <c r="G45" s="103"/>
    </row>
    <row r="46" spans="1:7" ht="49.5" customHeight="1">
      <c r="A46" s="57" t="s">
        <v>409</v>
      </c>
      <c r="B46" s="21"/>
      <c r="C46" s="98" t="s">
        <v>408</v>
      </c>
      <c r="D46" s="94">
        <f>D47</f>
        <v>15882.5</v>
      </c>
      <c r="E46" s="94">
        <f>E47</f>
        <v>15882.5</v>
      </c>
      <c r="F46" s="94">
        <f>F47</f>
        <v>15882.5</v>
      </c>
      <c r="G46" s="103"/>
    </row>
    <row r="47" spans="1:7">
      <c r="A47" s="21" t="s">
        <v>409</v>
      </c>
      <c r="B47" s="21" t="s">
        <v>228</v>
      </c>
      <c r="C47" s="98" t="s">
        <v>227</v>
      </c>
      <c r="D47" s="1">
        <v>15882.5</v>
      </c>
      <c r="E47" s="1">
        <v>15882.5</v>
      </c>
      <c r="F47" s="1">
        <v>15882.5</v>
      </c>
      <c r="G47" s="103"/>
    </row>
    <row r="48" spans="1:7" ht="37.5" customHeight="1">
      <c r="A48" s="21" t="s">
        <v>411</v>
      </c>
      <c r="B48" s="82"/>
      <c r="C48" s="97" t="s">
        <v>410</v>
      </c>
      <c r="D48" s="94">
        <f>D49+D51+D53+D55</f>
        <v>845.7</v>
      </c>
      <c r="E48" s="94">
        <f t="shared" ref="E48:F48" si="7">E49+E51+E53+E55</f>
        <v>6215.5</v>
      </c>
      <c r="F48" s="94">
        <f t="shared" si="7"/>
        <v>1642.9</v>
      </c>
      <c r="G48" s="103"/>
    </row>
    <row r="49" spans="1:7" ht="51" customHeight="1">
      <c r="A49" s="57" t="s">
        <v>412</v>
      </c>
      <c r="B49" s="21"/>
      <c r="C49" s="98" t="s">
        <v>413</v>
      </c>
      <c r="D49" s="94">
        <f>D50</f>
        <v>245.7</v>
      </c>
      <c r="E49" s="94">
        <f>E50</f>
        <v>470</v>
      </c>
      <c r="F49" s="94">
        <f>F50</f>
        <v>0</v>
      </c>
      <c r="G49" s="103"/>
    </row>
    <row r="50" spans="1:7">
      <c r="A50" s="57" t="s">
        <v>412</v>
      </c>
      <c r="B50" s="21" t="s">
        <v>228</v>
      </c>
      <c r="C50" s="98" t="s">
        <v>227</v>
      </c>
      <c r="D50" s="94">
        <f>273-27.3</f>
        <v>245.7</v>
      </c>
      <c r="E50" s="94">
        <v>470</v>
      </c>
      <c r="F50" s="94">
        <v>0</v>
      </c>
      <c r="G50" s="103"/>
    </row>
    <row r="51" spans="1:7" ht="51.75" customHeight="1">
      <c r="A51" s="57" t="s">
        <v>414</v>
      </c>
      <c r="B51" s="57"/>
      <c r="C51" s="124" t="s">
        <v>415</v>
      </c>
      <c r="D51" s="94">
        <f>D52</f>
        <v>0</v>
      </c>
      <c r="E51" s="94">
        <f>E52</f>
        <v>5245.5</v>
      </c>
      <c r="F51" s="94">
        <f>F52</f>
        <v>1142.9000000000001</v>
      </c>
      <c r="G51" s="103"/>
    </row>
    <row r="52" spans="1:7">
      <c r="A52" s="57" t="s">
        <v>414</v>
      </c>
      <c r="B52" s="21" t="s">
        <v>228</v>
      </c>
      <c r="C52" s="98" t="s">
        <v>227</v>
      </c>
      <c r="D52" s="94">
        <v>0</v>
      </c>
      <c r="E52" s="94">
        <v>5245.5</v>
      </c>
      <c r="F52" s="94">
        <v>1142.9000000000001</v>
      </c>
      <c r="G52" s="103"/>
    </row>
    <row r="53" spans="1:7" ht="42" customHeight="1">
      <c r="A53" s="57" t="s">
        <v>666</v>
      </c>
      <c r="B53" s="21"/>
      <c r="C53" s="98" t="s">
        <v>667</v>
      </c>
      <c r="D53" s="94">
        <f>D54</f>
        <v>500</v>
      </c>
      <c r="E53" s="94">
        <f t="shared" ref="E53:F53" si="8">E54</f>
        <v>500</v>
      </c>
      <c r="F53" s="94">
        <f t="shared" si="8"/>
        <v>500</v>
      </c>
      <c r="G53" s="103"/>
    </row>
    <row r="54" spans="1:7">
      <c r="A54" s="57" t="s">
        <v>666</v>
      </c>
      <c r="B54" s="21" t="s">
        <v>228</v>
      </c>
      <c r="C54" s="98" t="s">
        <v>227</v>
      </c>
      <c r="D54" s="94">
        <v>500</v>
      </c>
      <c r="E54" s="94">
        <v>500</v>
      </c>
      <c r="F54" s="94">
        <v>500</v>
      </c>
      <c r="G54" s="103"/>
    </row>
    <row r="55" spans="1:7" ht="38.25">
      <c r="A55" s="165" t="s">
        <v>760</v>
      </c>
      <c r="B55" s="21"/>
      <c r="C55" s="124" t="s">
        <v>761</v>
      </c>
      <c r="D55" s="94">
        <f>D56</f>
        <v>100</v>
      </c>
      <c r="E55" s="94">
        <f t="shared" ref="E55:F55" si="9">E56</f>
        <v>0</v>
      </c>
      <c r="F55" s="94">
        <f t="shared" si="9"/>
        <v>0</v>
      </c>
      <c r="G55" s="103"/>
    </row>
    <row r="56" spans="1:7">
      <c r="A56" s="165" t="s">
        <v>760</v>
      </c>
      <c r="B56" s="21" t="s">
        <v>228</v>
      </c>
      <c r="C56" s="98" t="s">
        <v>227</v>
      </c>
      <c r="D56" s="94">
        <v>100</v>
      </c>
      <c r="E56" s="94">
        <v>0</v>
      </c>
      <c r="F56" s="94">
        <v>0</v>
      </c>
      <c r="G56" s="103"/>
    </row>
    <row r="57" spans="1:7" ht="50.25" customHeight="1">
      <c r="A57" s="21" t="s">
        <v>416</v>
      </c>
      <c r="B57" s="21"/>
      <c r="C57" s="97" t="s">
        <v>418</v>
      </c>
      <c r="D57" s="94">
        <f>D58+D60+D62</f>
        <v>22975</v>
      </c>
      <c r="E57" s="94">
        <f>E58+E60+E62</f>
        <v>22975</v>
      </c>
      <c r="F57" s="94">
        <f>F58+F60+F62</f>
        <v>22800</v>
      </c>
      <c r="G57" s="103"/>
    </row>
    <row r="58" spans="1:7" ht="35.25" customHeight="1">
      <c r="A58" s="57" t="s">
        <v>417</v>
      </c>
      <c r="B58" s="21"/>
      <c r="C58" s="98" t="s">
        <v>313</v>
      </c>
      <c r="D58" s="94">
        <f>D59</f>
        <v>5249.9</v>
      </c>
      <c r="E58" s="94">
        <f>E59</f>
        <v>5249.9</v>
      </c>
      <c r="F58" s="94">
        <f>F59</f>
        <v>5249.9</v>
      </c>
      <c r="G58" s="103"/>
    </row>
    <row r="59" spans="1:7">
      <c r="A59" s="57" t="s">
        <v>417</v>
      </c>
      <c r="B59" s="21" t="s">
        <v>228</v>
      </c>
      <c r="C59" s="98" t="s">
        <v>227</v>
      </c>
      <c r="D59" s="39">
        <v>5249.9</v>
      </c>
      <c r="E59" s="39">
        <v>5249.9</v>
      </c>
      <c r="F59" s="39">
        <v>5249.9</v>
      </c>
      <c r="G59" s="103"/>
    </row>
    <row r="60" spans="1:7" ht="65.25" customHeight="1">
      <c r="A60" s="21" t="s">
        <v>419</v>
      </c>
      <c r="B60" s="21"/>
      <c r="C60" s="98" t="s">
        <v>136</v>
      </c>
      <c r="D60" s="94">
        <f>D61</f>
        <v>17550.099999999999</v>
      </c>
      <c r="E60" s="94">
        <f>E61</f>
        <v>17550.099999999999</v>
      </c>
      <c r="F60" s="94">
        <f>F61</f>
        <v>17550.099999999999</v>
      </c>
      <c r="G60" s="103"/>
    </row>
    <row r="61" spans="1:7">
      <c r="A61" s="21" t="s">
        <v>419</v>
      </c>
      <c r="B61" s="21" t="s">
        <v>228</v>
      </c>
      <c r="C61" s="98" t="s">
        <v>227</v>
      </c>
      <c r="D61" s="94">
        <v>17550.099999999999</v>
      </c>
      <c r="E61" s="94">
        <v>17550.099999999999</v>
      </c>
      <c r="F61" s="94">
        <v>17550.099999999999</v>
      </c>
      <c r="G61" s="103"/>
    </row>
    <row r="62" spans="1:7" ht="52.5" customHeight="1">
      <c r="A62" s="21" t="s">
        <v>420</v>
      </c>
      <c r="B62" s="21"/>
      <c r="C62" s="98" t="s">
        <v>613</v>
      </c>
      <c r="D62" s="94">
        <f>D63</f>
        <v>175</v>
      </c>
      <c r="E62" s="94">
        <f>E63</f>
        <v>175</v>
      </c>
      <c r="F62" s="94">
        <f>F63</f>
        <v>0</v>
      </c>
      <c r="G62" s="103"/>
    </row>
    <row r="63" spans="1:7">
      <c r="A63" s="21" t="s">
        <v>420</v>
      </c>
      <c r="B63" s="21" t="s">
        <v>228</v>
      </c>
      <c r="C63" s="98" t="s">
        <v>227</v>
      </c>
      <c r="D63" s="41">
        <v>175</v>
      </c>
      <c r="E63" s="41">
        <v>175</v>
      </c>
      <c r="F63" s="41">
        <v>0</v>
      </c>
      <c r="G63" s="103"/>
    </row>
    <row r="64" spans="1:7" ht="51">
      <c r="A64" s="21" t="s">
        <v>421</v>
      </c>
      <c r="B64" s="21"/>
      <c r="C64" s="97" t="s">
        <v>422</v>
      </c>
      <c r="D64" s="41">
        <f>D65+D67+D70+D72+D75</f>
        <v>27100.600000000002</v>
      </c>
      <c r="E64" s="41">
        <f>E65+E67+E70+E72+E75</f>
        <v>26333.5</v>
      </c>
      <c r="F64" s="41">
        <f>F65+F67+F70+F72</f>
        <v>21748.300000000003</v>
      </c>
      <c r="G64" s="103"/>
    </row>
    <row r="65" spans="1:13" ht="53.25" customHeight="1">
      <c r="A65" s="21" t="s">
        <v>747</v>
      </c>
      <c r="B65" s="82"/>
      <c r="C65" s="55" t="s">
        <v>383</v>
      </c>
      <c r="D65" s="41">
        <f>D66</f>
        <v>18640</v>
      </c>
      <c r="E65" s="41">
        <f>E66</f>
        <v>18640</v>
      </c>
      <c r="F65" s="41">
        <f>F66</f>
        <v>18022.900000000001</v>
      </c>
      <c r="G65" s="103"/>
    </row>
    <row r="66" spans="1:13">
      <c r="A66" s="21" t="s">
        <v>747</v>
      </c>
      <c r="B66" s="21" t="s">
        <v>228</v>
      </c>
      <c r="C66" s="98" t="s">
        <v>227</v>
      </c>
      <c r="D66" s="39">
        <v>18640</v>
      </c>
      <c r="E66" s="39">
        <v>18640</v>
      </c>
      <c r="F66" s="39">
        <v>18022.900000000001</v>
      </c>
      <c r="G66" s="103"/>
    </row>
    <row r="67" spans="1:13" ht="25.5" customHeight="1">
      <c r="A67" s="57" t="s">
        <v>598</v>
      </c>
      <c r="B67" s="21"/>
      <c r="C67" s="98" t="s">
        <v>135</v>
      </c>
      <c r="D67" s="41">
        <f>SUM(D68:D69)</f>
        <v>177.2</v>
      </c>
      <c r="E67" s="41">
        <f>SUM(E68:E69)</f>
        <v>183.4</v>
      </c>
      <c r="F67" s="41">
        <f>SUM(F68:F69)</f>
        <v>183.4</v>
      </c>
      <c r="G67" s="103"/>
    </row>
    <row r="68" spans="1:13" ht="26.25" customHeight="1">
      <c r="A68" s="57" t="s">
        <v>598</v>
      </c>
      <c r="B68" s="82" t="s">
        <v>65</v>
      </c>
      <c r="C68" s="55" t="s">
        <v>131</v>
      </c>
      <c r="D68" s="41">
        <v>88.5</v>
      </c>
      <c r="E68" s="41">
        <v>88.5</v>
      </c>
      <c r="F68" s="41">
        <v>88.5</v>
      </c>
      <c r="G68" s="103"/>
    </row>
    <row r="69" spans="1:13" ht="38.25">
      <c r="A69" s="57" t="s">
        <v>598</v>
      </c>
      <c r="B69" s="82" t="s">
        <v>214</v>
      </c>
      <c r="C69" s="98" t="s">
        <v>215</v>
      </c>
      <c r="D69" s="41">
        <f>94.9-6.2</f>
        <v>88.7</v>
      </c>
      <c r="E69" s="41">
        <v>94.9</v>
      </c>
      <c r="F69" s="41">
        <v>94.9</v>
      </c>
      <c r="G69" s="103"/>
    </row>
    <row r="70" spans="1:13">
      <c r="A70" s="57" t="s">
        <v>423</v>
      </c>
      <c r="B70" s="21"/>
      <c r="C70" s="98" t="s">
        <v>46</v>
      </c>
      <c r="D70" s="41">
        <f>D71</f>
        <v>1506.9</v>
      </c>
      <c r="E70" s="41">
        <f>E71</f>
        <v>1200.2</v>
      </c>
      <c r="F70" s="41">
        <f>F71</f>
        <v>1200.2</v>
      </c>
      <c r="G70" s="103"/>
    </row>
    <row r="71" spans="1:13">
      <c r="A71" s="57" t="s">
        <v>423</v>
      </c>
      <c r="B71" s="21" t="s">
        <v>228</v>
      </c>
      <c r="C71" s="98" t="s">
        <v>227</v>
      </c>
      <c r="D71" s="41">
        <f>1200.2+306.7</f>
        <v>1506.9</v>
      </c>
      <c r="E71" s="41">
        <v>1200.2</v>
      </c>
      <c r="F71" s="41">
        <v>1200.2</v>
      </c>
      <c r="G71" s="103"/>
    </row>
    <row r="72" spans="1:13" ht="39" customHeight="1">
      <c r="A72" s="57" t="s">
        <v>425</v>
      </c>
      <c r="B72" s="21"/>
      <c r="C72" s="98" t="s">
        <v>424</v>
      </c>
      <c r="D72" s="41">
        <f>SUM(D73:D74)</f>
        <v>2341.8000000000002</v>
      </c>
      <c r="E72" s="41">
        <f>SUM(E73:E74)</f>
        <v>2341.8000000000002</v>
      </c>
      <c r="F72" s="41">
        <f>SUM(F73:F74)</f>
        <v>2341.8000000000002</v>
      </c>
      <c r="G72" s="103"/>
      <c r="J72" s="145"/>
      <c r="K72" s="146"/>
      <c r="L72" s="146"/>
      <c r="M72" s="145"/>
    </row>
    <row r="73" spans="1:13">
      <c r="A73" s="57" t="s">
        <v>425</v>
      </c>
      <c r="B73" s="21" t="s">
        <v>228</v>
      </c>
      <c r="C73" s="98" t="s">
        <v>227</v>
      </c>
      <c r="D73" s="39">
        <v>2141.8000000000002</v>
      </c>
      <c r="E73" s="39">
        <v>2141.8000000000002</v>
      </c>
      <c r="F73" s="39">
        <v>2141.8000000000002</v>
      </c>
      <c r="G73" s="103"/>
    </row>
    <row r="74" spans="1:13" ht="63.75">
      <c r="A74" s="57" t="s">
        <v>425</v>
      </c>
      <c r="B74" s="16" t="s">
        <v>12</v>
      </c>
      <c r="C74" s="98" t="s">
        <v>374</v>
      </c>
      <c r="D74" s="41">
        <v>200</v>
      </c>
      <c r="E74" s="41">
        <v>200</v>
      </c>
      <c r="F74" s="41">
        <v>200</v>
      </c>
      <c r="G74" s="103"/>
    </row>
    <row r="75" spans="1:13" ht="54" customHeight="1">
      <c r="A75" s="57" t="s">
        <v>593</v>
      </c>
      <c r="B75" s="16"/>
      <c r="C75" s="98" t="s">
        <v>594</v>
      </c>
      <c r="D75" s="41">
        <f>D76</f>
        <v>4434.7</v>
      </c>
      <c r="E75" s="41">
        <f t="shared" ref="E75:F75" si="10">E76</f>
        <v>3968.1</v>
      </c>
      <c r="F75" s="41">
        <f t="shared" si="10"/>
        <v>0</v>
      </c>
      <c r="G75" s="103"/>
    </row>
    <row r="76" spans="1:13">
      <c r="A76" s="57" t="s">
        <v>593</v>
      </c>
      <c r="B76" s="21" t="s">
        <v>228</v>
      </c>
      <c r="C76" s="98" t="s">
        <v>227</v>
      </c>
      <c r="D76" s="41">
        <f>3968.1+466.6</f>
        <v>4434.7</v>
      </c>
      <c r="E76" s="41">
        <v>3968.1</v>
      </c>
      <c r="F76" s="41">
        <v>0</v>
      </c>
      <c r="G76" s="103"/>
    </row>
    <row r="77" spans="1:13" ht="38.25">
      <c r="A77" s="57" t="s">
        <v>668</v>
      </c>
      <c r="B77" s="21"/>
      <c r="C77" s="150" t="s">
        <v>669</v>
      </c>
      <c r="D77" s="41">
        <f>D78+D80</f>
        <v>639.29999999999995</v>
      </c>
      <c r="E77" s="41">
        <f t="shared" ref="E77:F77" si="11">E78+E80</f>
        <v>250</v>
      </c>
      <c r="F77" s="41">
        <f t="shared" si="11"/>
        <v>0</v>
      </c>
      <c r="G77" s="103"/>
    </row>
    <row r="78" spans="1:13" ht="63.75">
      <c r="A78" s="57" t="s">
        <v>746</v>
      </c>
      <c r="B78" s="21"/>
      <c r="C78" s="97" t="s">
        <v>745</v>
      </c>
      <c r="D78" s="41">
        <f>D79</f>
        <v>250</v>
      </c>
      <c r="E78" s="41">
        <f t="shared" ref="E78:F78" si="12">E79</f>
        <v>250</v>
      </c>
      <c r="F78" s="41">
        <f t="shared" si="12"/>
        <v>0</v>
      </c>
      <c r="G78" s="103"/>
    </row>
    <row r="79" spans="1:13">
      <c r="A79" s="57" t="s">
        <v>746</v>
      </c>
      <c r="B79" s="21" t="s">
        <v>228</v>
      </c>
      <c r="C79" s="98" t="s">
        <v>227</v>
      </c>
      <c r="D79" s="41">
        <v>250</v>
      </c>
      <c r="E79" s="41">
        <v>250</v>
      </c>
      <c r="F79" s="41">
        <v>0</v>
      </c>
      <c r="G79" s="103"/>
    </row>
    <row r="80" spans="1:13" ht="51">
      <c r="A80" s="57" t="s">
        <v>756</v>
      </c>
      <c r="B80" s="21"/>
      <c r="C80" s="97" t="s">
        <v>757</v>
      </c>
      <c r="D80" s="41">
        <f>D81</f>
        <v>389.3</v>
      </c>
      <c r="E80" s="41">
        <f t="shared" ref="E80:F80" si="13">E81</f>
        <v>0</v>
      </c>
      <c r="F80" s="41">
        <f t="shared" si="13"/>
        <v>0</v>
      </c>
      <c r="G80" s="103"/>
    </row>
    <row r="81" spans="1:7">
      <c r="A81" s="57" t="s">
        <v>756</v>
      </c>
      <c r="B81" s="21" t="s">
        <v>228</v>
      </c>
      <c r="C81" s="98" t="s">
        <v>227</v>
      </c>
      <c r="D81" s="41">
        <v>389.3</v>
      </c>
      <c r="E81" s="41">
        <v>0</v>
      </c>
      <c r="F81" s="41">
        <v>0</v>
      </c>
      <c r="G81" s="103"/>
    </row>
    <row r="82" spans="1:7" s="169" customFormat="1" ht="51">
      <c r="A82" s="57" t="s">
        <v>777</v>
      </c>
      <c r="B82" s="21"/>
      <c r="C82" s="98" t="s">
        <v>778</v>
      </c>
      <c r="D82" s="41">
        <f>D83</f>
        <v>685.4</v>
      </c>
      <c r="E82" s="41">
        <f t="shared" ref="E82:F83" si="14">E83</f>
        <v>2567.6</v>
      </c>
      <c r="F82" s="41">
        <f t="shared" si="14"/>
        <v>2567.6</v>
      </c>
      <c r="G82" s="103"/>
    </row>
    <row r="83" spans="1:7" s="169" customFormat="1" ht="63.75">
      <c r="A83" s="57" t="s">
        <v>775</v>
      </c>
      <c r="B83" s="21"/>
      <c r="C83" s="98" t="s">
        <v>776</v>
      </c>
      <c r="D83" s="1">
        <f>D84</f>
        <v>685.4</v>
      </c>
      <c r="E83" s="1">
        <f t="shared" si="14"/>
        <v>2567.6</v>
      </c>
      <c r="F83" s="1">
        <f t="shared" si="14"/>
        <v>2567.6</v>
      </c>
      <c r="G83" s="103"/>
    </row>
    <row r="84" spans="1:7" s="169" customFormat="1">
      <c r="A84" s="57" t="s">
        <v>775</v>
      </c>
      <c r="B84" s="21" t="s">
        <v>228</v>
      </c>
      <c r="C84" s="98" t="s">
        <v>227</v>
      </c>
      <c r="D84" s="1">
        <v>685.4</v>
      </c>
      <c r="E84" s="1">
        <v>2567.6</v>
      </c>
      <c r="F84" s="1">
        <v>2567.6</v>
      </c>
      <c r="G84" s="103"/>
    </row>
    <row r="85" spans="1:7" ht="38.25">
      <c r="A85" s="52" t="s">
        <v>426</v>
      </c>
      <c r="B85" s="35"/>
      <c r="C85" s="46" t="s">
        <v>427</v>
      </c>
      <c r="D85" s="94">
        <f>D86+D98</f>
        <v>46952.9</v>
      </c>
      <c r="E85" s="94">
        <f t="shared" ref="E85:F85" si="15">E86+E98</f>
        <v>46623.200000000004</v>
      </c>
      <c r="F85" s="94">
        <f t="shared" si="15"/>
        <v>46468.700000000004</v>
      </c>
      <c r="G85" s="103"/>
    </row>
    <row r="86" spans="1:7" ht="51">
      <c r="A86" s="21" t="s">
        <v>431</v>
      </c>
      <c r="B86" s="21"/>
      <c r="C86" s="97" t="s">
        <v>428</v>
      </c>
      <c r="D86" s="41">
        <f>D87+D89+D94+D96</f>
        <v>45757.9</v>
      </c>
      <c r="E86" s="41">
        <f t="shared" ref="E86:F86" si="16">E87+E89+E94+E96</f>
        <v>45428.200000000004</v>
      </c>
      <c r="F86" s="41">
        <f t="shared" si="16"/>
        <v>45428.200000000004</v>
      </c>
      <c r="G86" s="103"/>
    </row>
    <row r="87" spans="1:7" ht="63" customHeight="1">
      <c r="A87" s="57" t="s">
        <v>430</v>
      </c>
      <c r="B87" s="16"/>
      <c r="C87" s="98" t="s">
        <v>429</v>
      </c>
      <c r="D87" s="94">
        <f>D88</f>
        <v>24633.4</v>
      </c>
      <c r="E87" s="94">
        <f t="shared" ref="E87:F87" si="17">SUM(E88:E93)</f>
        <v>36073.800000000003</v>
      </c>
      <c r="F87" s="94">
        <f t="shared" si="17"/>
        <v>36073.800000000003</v>
      </c>
      <c r="G87" s="103"/>
    </row>
    <row r="88" spans="1:7">
      <c r="A88" s="57" t="s">
        <v>430</v>
      </c>
      <c r="B88" s="21" t="s">
        <v>228</v>
      </c>
      <c r="C88" s="98" t="s">
        <v>227</v>
      </c>
      <c r="D88" s="94">
        <f>35352.5+721.3-11440.4</f>
        <v>24633.4</v>
      </c>
      <c r="E88" s="94">
        <f>35352.5+721.3</f>
        <v>36073.800000000003</v>
      </c>
      <c r="F88" s="94">
        <f>35352.5+721.3</f>
        <v>36073.800000000003</v>
      </c>
      <c r="G88" s="103"/>
    </row>
    <row r="89" spans="1:7" ht="38.25">
      <c r="A89" s="57" t="s">
        <v>731</v>
      </c>
      <c r="B89" s="21"/>
      <c r="C89" s="98" t="s">
        <v>732</v>
      </c>
      <c r="D89" s="94">
        <f>SUM(D90:D93)</f>
        <v>11770.1</v>
      </c>
      <c r="E89" s="94">
        <f t="shared" ref="E89:F89" si="18">SUM(E90:E93)</f>
        <v>0</v>
      </c>
      <c r="F89" s="94">
        <f t="shared" si="18"/>
        <v>0</v>
      </c>
      <c r="G89" s="103"/>
    </row>
    <row r="90" spans="1:7">
      <c r="A90" s="57" t="s">
        <v>731</v>
      </c>
      <c r="B90" s="21" t="s">
        <v>228</v>
      </c>
      <c r="C90" s="98" t="s">
        <v>227</v>
      </c>
      <c r="D90" s="94">
        <f>329.7+10817.4+155.7</f>
        <v>11302.800000000001</v>
      </c>
      <c r="E90" s="94">
        <v>0</v>
      </c>
      <c r="F90" s="94">
        <v>0</v>
      </c>
      <c r="G90" s="103"/>
    </row>
    <row r="91" spans="1:7">
      <c r="A91" s="57" t="s">
        <v>731</v>
      </c>
      <c r="B91" s="21" t="s">
        <v>743</v>
      </c>
      <c r="C91" s="98" t="s">
        <v>744</v>
      </c>
      <c r="D91" s="94">
        <v>155.69999999999999</v>
      </c>
      <c r="E91" s="94">
        <v>0</v>
      </c>
      <c r="F91" s="94">
        <v>0</v>
      </c>
      <c r="G91" s="103"/>
    </row>
    <row r="92" spans="1:7" ht="63.75">
      <c r="A92" s="57" t="s">
        <v>731</v>
      </c>
      <c r="B92" s="21" t="s">
        <v>19</v>
      </c>
      <c r="C92" s="98" t="s">
        <v>369</v>
      </c>
      <c r="D92" s="94">
        <v>155.80000000000001</v>
      </c>
      <c r="E92" s="94">
        <v>0</v>
      </c>
      <c r="F92" s="94">
        <v>0</v>
      </c>
      <c r="G92" s="103"/>
    </row>
    <row r="93" spans="1:7" ht="63.75">
      <c r="A93" s="57" t="s">
        <v>731</v>
      </c>
      <c r="B93" s="21" t="s">
        <v>12</v>
      </c>
      <c r="C93" s="98" t="s">
        <v>374</v>
      </c>
      <c r="D93" s="94">
        <v>155.80000000000001</v>
      </c>
      <c r="E93" s="94">
        <v>0</v>
      </c>
      <c r="F93" s="94">
        <v>0</v>
      </c>
      <c r="G93" s="103"/>
    </row>
    <row r="94" spans="1:7" ht="67.5" customHeight="1">
      <c r="A94" s="57" t="s">
        <v>432</v>
      </c>
      <c r="B94" s="21"/>
      <c r="C94" s="98" t="s">
        <v>433</v>
      </c>
      <c r="D94" s="94">
        <f>D95</f>
        <v>9260.7999999999993</v>
      </c>
      <c r="E94" s="94">
        <f>E95</f>
        <v>9260.7999999999993</v>
      </c>
      <c r="F94" s="94">
        <f>F95</f>
        <v>9260.7999999999993</v>
      </c>
      <c r="G94" s="103"/>
    </row>
    <row r="95" spans="1:7">
      <c r="A95" s="57" t="s">
        <v>432</v>
      </c>
      <c r="B95" s="21" t="s">
        <v>228</v>
      </c>
      <c r="C95" s="98" t="s">
        <v>227</v>
      </c>
      <c r="D95" s="133">
        <f>9259.8+1</f>
        <v>9260.7999999999993</v>
      </c>
      <c r="E95" s="133">
        <f t="shared" ref="E95:F95" si="19">9259.8+1</f>
        <v>9260.7999999999993</v>
      </c>
      <c r="F95" s="133">
        <f t="shared" si="19"/>
        <v>9260.7999999999993</v>
      </c>
      <c r="G95" s="103"/>
    </row>
    <row r="96" spans="1:7" ht="66" customHeight="1">
      <c r="A96" s="57" t="s">
        <v>434</v>
      </c>
      <c r="B96" s="57"/>
      <c r="C96" s="98" t="s">
        <v>435</v>
      </c>
      <c r="D96" s="39">
        <f>D97</f>
        <v>93.6</v>
      </c>
      <c r="E96" s="39">
        <f>E97</f>
        <v>93.6</v>
      </c>
      <c r="F96" s="39">
        <f>F97</f>
        <v>93.6</v>
      </c>
      <c r="G96" s="103"/>
    </row>
    <row r="97" spans="1:7">
      <c r="A97" s="21" t="s">
        <v>434</v>
      </c>
      <c r="B97" s="21" t="s">
        <v>228</v>
      </c>
      <c r="C97" s="98" t="s">
        <v>227</v>
      </c>
      <c r="D97" s="41">
        <v>93.6</v>
      </c>
      <c r="E97" s="41">
        <v>93.6</v>
      </c>
      <c r="F97" s="41">
        <v>93.6</v>
      </c>
      <c r="G97" s="103"/>
    </row>
    <row r="98" spans="1:7" ht="25.5" customHeight="1">
      <c r="A98" s="21" t="s">
        <v>437</v>
      </c>
      <c r="B98" s="82"/>
      <c r="C98" s="97" t="s">
        <v>436</v>
      </c>
      <c r="D98" s="41">
        <f>D99+D101+D103</f>
        <v>1195</v>
      </c>
      <c r="E98" s="41">
        <f t="shared" ref="E98:F98" si="20">E99+E101+E103</f>
        <v>1195</v>
      </c>
      <c r="F98" s="41">
        <f t="shared" si="20"/>
        <v>1040.5</v>
      </c>
      <c r="G98" s="103"/>
    </row>
    <row r="99" spans="1:7" ht="52.5" customHeight="1">
      <c r="A99" s="57" t="s">
        <v>601</v>
      </c>
      <c r="B99" s="21"/>
      <c r="C99" s="108" t="s">
        <v>438</v>
      </c>
      <c r="D99" s="94">
        <f>D100</f>
        <v>795</v>
      </c>
      <c r="E99" s="94">
        <f t="shared" ref="E99:F99" si="21">E100</f>
        <v>795</v>
      </c>
      <c r="F99" s="94">
        <f t="shared" si="21"/>
        <v>790.5</v>
      </c>
      <c r="G99" s="103"/>
    </row>
    <row r="100" spans="1:7">
      <c r="A100" s="57" t="s">
        <v>601</v>
      </c>
      <c r="B100" s="21" t="s">
        <v>228</v>
      </c>
      <c r="C100" s="98" t="s">
        <v>227</v>
      </c>
      <c r="D100" s="94">
        <v>795</v>
      </c>
      <c r="E100" s="94">
        <v>795</v>
      </c>
      <c r="F100" s="94">
        <f>695.5+25+70.2-0.2</f>
        <v>790.5</v>
      </c>
      <c r="G100" s="103"/>
    </row>
    <row r="101" spans="1:7" ht="25.5" customHeight="1">
      <c r="A101" s="57" t="s">
        <v>439</v>
      </c>
      <c r="B101" s="21"/>
      <c r="C101" s="98" t="s">
        <v>185</v>
      </c>
      <c r="D101" s="41">
        <f>D102</f>
        <v>250</v>
      </c>
      <c r="E101" s="41">
        <f t="shared" ref="E101:F101" si="22">E102</f>
        <v>250</v>
      </c>
      <c r="F101" s="41">
        <f t="shared" si="22"/>
        <v>250</v>
      </c>
      <c r="G101" s="103"/>
    </row>
    <row r="102" spans="1:7">
      <c r="A102" s="57" t="s">
        <v>439</v>
      </c>
      <c r="B102" s="21" t="s">
        <v>228</v>
      </c>
      <c r="C102" s="98" t="s">
        <v>227</v>
      </c>
      <c r="D102" s="41">
        <v>250</v>
      </c>
      <c r="E102" s="41">
        <v>250</v>
      </c>
      <c r="F102" s="41">
        <v>250</v>
      </c>
      <c r="G102" s="103"/>
    </row>
    <row r="103" spans="1:7" ht="27" customHeight="1">
      <c r="A103" s="57" t="s">
        <v>440</v>
      </c>
      <c r="B103" s="21"/>
      <c r="C103" s="98" t="s">
        <v>441</v>
      </c>
      <c r="D103" s="41">
        <f>D104</f>
        <v>150</v>
      </c>
      <c r="E103" s="41">
        <f t="shared" ref="E103:F103" si="23">E104</f>
        <v>150</v>
      </c>
      <c r="F103" s="41">
        <f t="shared" si="23"/>
        <v>0</v>
      </c>
      <c r="G103" s="103"/>
    </row>
    <row r="104" spans="1:7">
      <c r="A104" s="57" t="s">
        <v>440</v>
      </c>
      <c r="B104" s="21" t="s">
        <v>228</v>
      </c>
      <c r="C104" s="98" t="s">
        <v>227</v>
      </c>
      <c r="D104" s="41">
        <v>150</v>
      </c>
      <c r="E104" s="41">
        <v>150</v>
      </c>
      <c r="F104" s="41">
        <v>0</v>
      </c>
      <c r="G104" s="103"/>
    </row>
    <row r="105" spans="1:7" ht="26.25" customHeight="1">
      <c r="A105" s="52" t="s">
        <v>443</v>
      </c>
      <c r="B105" s="82"/>
      <c r="C105" s="46" t="s">
        <v>442</v>
      </c>
      <c r="D105" s="41">
        <f>D106+D113+D120+D130</f>
        <v>2781.2000000000003</v>
      </c>
      <c r="E105" s="41">
        <f t="shared" ref="E105:F105" si="24">E106+E113+E120+E130</f>
        <v>2648.2</v>
      </c>
      <c r="F105" s="41">
        <f t="shared" si="24"/>
        <v>2598.1999999999998</v>
      </c>
      <c r="G105" s="103"/>
    </row>
    <row r="106" spans="1:7" ht="26.25" customHeight="1">
      <c r="A106" s="21" t="s">
        <v>444</v>
      </c>
      <c r="B106" s="21"/>
      <c r="C106" s="97" t="s">
        <v>486</v>
      </c>
      <c r="D106" s="41">
        <f>D107+D109+D111</f>
        <v>314.39999999999998</v>
      </c>
      <c r="E106" s="41">
        <f>E107+E109+E111</f>
        <v>308.20000000000005</v>
      </c>
      <c r="F106" s="41">
        <f>F107+F109+F111</f>
        <v>258.20000000000005</v>
      </c>
      <c r="G106" s="103"/>
    </row>
    <row r="107" spans="1:7" ht="38.25">
      <c r="A107" s="21" t="s">
        <v>599</v>
      </c>
      <c r="B107" s="16"/>
      <c r="C107" s="97" t="s">
        <v>445</v>
      </c>
      <c r="D107" s="39">
        <f>D108</f>
        <v>134.30000000000001</v>
      </c>
      <c r="E107" s="39">
        <f>E108</f>
        <v>134.30000000000001</v>
      </c>
      <c r="F107" s="39">
        <f>F108</f>
        <v>134.30000000000001</v>
      </c>
      <c r="G107" s="103"/>
    </row>
    <row r="108" spans="1:7">
      <c r="A108" s="21" t="s">
        <v>599</v>
      </c>
      <c r="B108" s="82" t="s">
        <v>364</v>
      </c>
      <c r="C108" s="98" t="s">
        <v>365</v>
      </c>
      <c r="D108" s="41">
        <v>134.30000000000001</v>
      </c>
      <c r="E108" s="41">
        <v>134.30000000000001</v>
      </c>
      <c r="F108" s="41">
        <v>134.30000000000001</v>
      </c>
      <c r="G108" s="103"/>
    </row>
    <row r="109" spans="1:7" ht="39.75" customHeight="1">
      <c r="A109" s="57" t="s">
        <v>600</v>
      </c>
      <c r="B109" s="16"/>
      <c r="C109" s="98" t="s">
        <v>50</v>
      </c>
      <c r="D109" s="41">
        <f>D110</f>
        <v>130.1</v>
      </c>
      <c r="E109" s="41">
        <f>E110</f>
        <v>123.9</v>
      </c>
      <c r="F109" s="41">
        <f>F110</f>
        <v>123.9</v>
      </c>
      <c r="G109" s="103"/>
    </row>
    <row r="110" spans="1:7" ht="38.25">
      <c r="A110" s="57" t="s">
        <v>600</v>
      </c>
      <c r="B110" s="82" t="s">
        <v>214</v>
      </c>
      <c r="C110" s="98" t="s">
        <v>215</v>
      </c>
      <c r="D110" s="41">
        <f>123.9+6.2</f>
        <v>130.1</v>
      </c>
      <c r="E110" s="41">
        <v>123.9</v>
      </c>
      <c r="F110" s="41">
        <v>123.9</v>
      </c>
      <c r="G110" s="103"/>
    </row>
    <row r="111" spans="1:7" ht="66" customHeight="1">
      <c r="A111" s="57" t="s">
        <v>595</v>
      </c>
      <c r="B111" s="16"/>
      <c r="C111" s="98" t="s">
        <v>446</v>
      </c>
      <c r="D111" s="41">
        <f>D112</f>
        <v>50</v>
      </c>
      <c r="E111" s="41">
        <f>E112</f>
        <v>50</v>
      </c>
      <c r="F111" s="41">
        <f>F112</f>
        <v>0</v>
      </c>
      <c r="G111" s="103"/>
    </row>
    <row r="112" spans="1:7">
      <c r="A112" s="57" t="s">
        <v>595</v>
      </c>
      <c r="B112" s="21" t="s">
        <v>228</v>
      </c>
      <c r="C112" s="98" t="s">
        <v>227</v>
      </c>
      <c r="D112" s="41">
        <v>50</v>
      </c>
      <c r="E112" s="41">
        <v>50</v>
      </c>
      <c r="F112" s="41">
        <v>0</v>
      </c>
      <c r="G112" s="103"/>
    </row>
    <row r="113" spans="1:7" ht="38.25">
      <c r="A113" s="21" t="s">
        <v>447</v>
      </c>
      <c r="B113" s="21"/>
      <c r="C113" s="97" t="s">
        <v>448</v>
      </c>
      <c r="D113" s="39">
        <f>D114+D116+D118</f>
        <v>1458</v>
      </c>
      <c r="E113" s="39">
        <f>E114+E116+E118</f>
        <v>1473.1</v>
      </c>
      <c r="F113" s="39">
        <f>F114+F116+F118</f>
        <v>1473.1</v>
      </c>
      <c r="G113" s="103"/>
    </row>
    <row r="114" spans="1:7" ht="42.75" customHeight="1">
      <c r="A114" s="57" t="s">
        <v>596</v>
      </c>
      <c r="B114" s="16"/>
      <c r="C114" s="98" t="s">
        <v>45</v>
      </c>
      <c r="D114" s="41">
        <f>D115</f>
        <v>250</v>
      </c>
      <c r="E114" s="41">
        <f>E115</f>
        <v>250</v>
      </c>
      <c r="F114" s="41">
        <f>F115</f>
        <v>250</v>
      </c>
      <c r="G114" s="103"/>
    </row>
    <row r="115" spans="1:7">
      <c r="A115" s="57" t="s">
        <v>596</v>
      </c>
      <c r="B115" s="21" t="s">
        <v>228</v>
      </c>
      <c r="C115" s="98" t="s">
        <v>227</v>
      </c>
      <c r="D115" s="94">
        <v>250</v>
      </c>
      <c r="E115" s="94">
        <v>250</v>
      </c>
      <c r="F115" s="94">
        <v>250</v>
      </c>
      <c r="G115" s="103"/>
    </row>
    <row r="116" spans="1:7" ht="42" customHeight="1">
      <c r="A116" s="57" t="s">
        <v>597</v>
      </c>
      <c r="B116" s="16"/>
      <c r="C116" s="54" t="s">
        <v>537</v>
      </c>
      <c r="D116" s="94">
        <f>D117</f>
        <v>55.999999999999993</v>
      </c>
      <c r="E116" s="94">
        <f>E117</f>
        <v>71.099999999999994</v>
      </c>
      <c r="F116" s="94">
        <f>F117</f>
        <v>71.099999999999994</v>
      </c>
      <c r="G116" s="103"/>
    </row>
    <row r="117" spans="1:7">
      <c r="A117" s="57" t="s">
        <v>597</v>
      </c>
      <c r="B117" s="21" t="s">
        <v>228</v>
      </c>
      <c r="C117" s="98" t="s">
        <v>227</v>
      </c>
      <c r="D117" s="94">
        <f>71.1-15.1</f>
        <v>55.999999999999993</v>
      </c>
      <c r="E117" s="94">
        <v>71.099999999999994</v>
      </c>
      <c r="F117" s="94">
        <v>71.099999999999994</v>
      </c>
      <c r="G117" s="103"/>
    </row>
    <row r="118" spans="1:7" ht="91.5" customHeight="1">
      <c r="A118" s="80">
        <v>140210560</v>
      </c>
      <c r="B118" s="82"/>
      <c r="C118" s="98" t="s">
        <v>184</v>
      </c>
      <c r="D118" s="41">
        <f>D119</f>
        <v>1152</v>
      </c>
      <c r="E118" s="41">
        <f>E119</f>
        <v>1152</v>
      </c>
      <c r="F118" s="41">
        <f>F119</f>
        <v>1152</v>
      </c>
      <c r="G118" s="103"/>
    </row>
    <row r="119" spans="1:7" ht="25.5">
      <c r="A119" s="80">
        <v>140210560</v>
      </c>
      <c r="B119" s="82" t="s">
        <v>284</v>
      </c>
      <c r="C119" s="98" t="s">
        <v>285</v>
      </c>
      <c r="D119" s="39">
        <v>1152</v>
      </c>
      <c r="E119" s="39">
        <v>1152</v>
      </c>
      <c r="F119" s="39">
        <v>1152</v>
      </c>
      <c r="G119" s="103"/>
    </row>
    <row r="120" spans="1:7" ht="38.25">
      <c r="A120" s="21" t="s">
        <v>449</v>
      </c>
      <c r="B120" s="21"/>
      <c r="C120" s="97" t="s">
        <v>450</v>
      </c>
      <c r="D120" s="41">
        <f>D121+D123+D126+D128</f>
        <v>882</v>
      </c>
      <c r="E120" s="41">
        <f>E121+E123+E126+E128</f>
        <v>866.90000000000009</v>
      </c>
      <c r="F120" s="41">
        <f>F121+F123+F126+F128</f>
        <v>866.90000000000009</v>
      </c>
      <c r="G120" s="103"/>
    </row>
    <row r="121" spans="1:7" ht="63" customHeight="1">
      <c r="A121" s="80">
        <v>140323020</v>
      </c>
      <c r="B121" s="82"/>
      <c r="C121" s="98" t="s">
        <v>134</v>
      </c>
      <c r="D121" s="41">
        <f>D122</f>
        <v>311.70000000000005</v>
      </c>
      <c r="E121" s="41">
        <f>E122</f>
        <v>296.60000000000002</v>
      </c>
      <c r="F121" s="41">
        <f>F122</f>
        <v>296.60000000000002</v>
      </c>
      <c r="G121" s="103"/>
    </row>
    <row r="122" spans="1:7" ht="38.25">
      <c r="A122" s="80">
        <v>140323020</v>
      </c>
      <c r="B122" s="82" t="s">
        <v>214</v>
      </c>
      <c r="C122" s="98" t="s">
        <v>215</v>
      </c>
      <c r="D122" s="41">
        <f>112+140.5+44.1+15.1</f>
        <v>311.70000000000005</v>
      </c>
      <c r="E122" s="41">
        <f t="shared" ref="E122:F122" si="25">112+140.5+44.1</f>
        <v>296.60000000000002</v>
      </c>
      <c r="F122" s="41">
        <f t="shared" si="25"/>
        <v>296.60000000000002</v>
      </c>
      <c r="G122" s="103"/>
    </row>
    <row r="123" spans="1:7" ht="68.25" customHeight="1">
      <c r="A123" s="80">
        <v>140323025</v>
      </c>
      <c r="B123" s="82"/>
      <c r="C123" s="98" t="s">
        <v>451</v>
      </c>
      <c r="D123" s="41">
        <f>SUM(D124:D125)</f>
        <v>322.3</v>
      </c>
      <c r="E123" s="41">
        <f t="shared" ref="E123:F123" si="26">SUM(E124:E125)</f>
        <v>322.3</v>
      </c>
      <c r="F123" s="41">
        <f t="shared" si="26"/>
        <v>322.3</v>
      </c>
      <c r="G123" s="103"/>
    </row>
    <row r="124" spans="1:7" ht="42" customHeight="1">
      <c r="A124" s="80">
        <v>140323025</v>
      </c>
      <c r="B124" s="82" t="s">
        <v>214</v>
      </c>
      <c r="C124" s="98" t="s">
        <v>215</v>
      </c>
      <c r="D124" s="41">
        <f>322.3-35-5</f>
        <v>282.3</v>
      </c>
      <c r="E124" s="41">
        <f t="shared" ref="E124:F124" si="27">322.3-35</f>
        <v>287.3</v>
      </c>
      <c r="F124" s="41">
        <f t="shared" si="27"/>
        <v>287.3</v>
      </c>
      <c r="G124" s="103"/>
    </row>
    <row r="125" spans="1:7">
      <c r="A125" s="80">
        <v>140323025</v>
      </c>
      <c r="B125" s="82" t="s">
        <v>709</v>
      </c>
      <c r="C125" s="98" t="s">
        <v>710</v>
      </c>
      <c r="D125" s="41">
        <f>35+5</f>
        <v>40</v>
      </c>
      <c r="E125" s="41">
        <v>35</v>
      </c>
      <c r="F125" s="41">
        <v>35</v>
      </c>
      <c r="G125" s="103"/>
    </row>
    <row r="126" spans="1:7" ht="54.75" customHeight="1">
      <c r="A126" s="80" t="s">
        <v>452</v>
      </c>
      <c r="B126" s="82"/>
      <c r="C126" s="98" t="s">
        <v>453</v>
      </c>
      <c r="D126" s="41">
        <f>D127</f>
        <v>45.9</v>
      </c>
      <c r="E126" s="41">
        <f>E127</f>
        <v>45.9</v>
      </c>
      <c r="F126" s="41">
        <f>F127</f>
        <v>45.9</v>
      </c>
      <c r="G126" s="103"/>
    </row>
    <row r="127" spans="1:7" ht="38.25">
      <c r="A127" s="80" t="s">
        <v>452</v>
      </c>
      <c r="B127" s="82" t="s">
        <v>214</v>
      </c>
      <c r="C127" s="98" t="s">
        <v>215</v>
      </c>
      <c r="D127" s="41">
        <f>90-44.1</f>
        <v>45.9</v>
      </c>
      <c r="E127" s="41">
        <f t="shared" ref="E127:F127" si="28">90-44.1</f>
        <v>45.9</v>
      </c>
      <c r="F127" s="41">
        <f t="shared" si="28"/>
        <v>45.9</v>
      </c>
      <c r="G127" s="103"/>
    </row>
    <row r="128" spans="1:7" ht="26.25" customHeight="1">
      <c r="A128" s="80">
        <v>140311080</v>
      </c>
      <c r="B128" s="82"/>
      <c r="C128" s="98" t="s">
        <v>454</v>
      </c>
      <c r="D128" s="41">
        <f>D129</f>
        <v>202.1</v>
      </c>
      <c r="E128" s="41">
        <f>E129</f>
        <v>202.1</v>
      </c>
      <c r="F128" s="41">
        <f>F129</f>
        <v>202.1</v>
      </c>
      <c r="G128" s="103"/>
    </row>
    <row r="129" spans="1:7" ht="38.25">
      <c r="A129" s="80">
        <v>140311080</v>
      </c>
      <c r="B129" s="82" t="s">
        <v>214</v>
      </c>
      <c r="C129" s="98" t="s">
        <v>215</v>
      </c>
      <c r="D129" s="39">
        <v>202.1</v>
      </c>
      <c r="E129" s="39">
        <v>202.1</v>
      </c>
      <c r="F129" s="39">
        <v>202.1</v>
      </c>
      <c r="G129" s="103"/>
    </row>
    <row r="130" spans="1:7" ht="25.5">
      <c r="A130" s="21" t="s">
        <v>764</v>
      </c>
      <c r="B130" s="82"/>
      <c r="C130" s="166" t="s">
        <v>765</v>
      </c>
      <c r="D130" s="39">
        <f>D131</f>
        <v>126.8</v>
      </c>
      <c r="E130" s="39">
        <f t="shared" ref="E130:F130" si="29">E131</f>
        <v>0</v>
      </c>
      <c r="F130" s="39">
        <f t="shared" si="29"/>
        <v>0</v>
      </c>
      <c r="G130" s="103"/>
    </row>
    <row r="131" spans="1:7" ht="51">
      <c r="A131" s="21" t="s">
        <v>762</v>
      </c>
      <c r="B131" s="82"/>
      <c r="C131" s="131" t="s">
        <v>763</v>
      </c>
      <c r="D131" s="39">
        <f>D132</f>
        <v>126.8</v>
      </c>
      <c r="E131" s="39">
        <v>0</v>
      </c>
      <c r="F131" s="39">
        <v>0</v>
      </c>
      <c r="G131" s="103"/>
    </row>
    <row r="132" spans="1:7" ht="38.25">
      <c r="A132" s="21" t="s">
        <v>762</v>
      </c>
      <c r="B132" s="82" t="s">
        <v>214</v>
      </c>
      <c r="C132" s="98" t="s">
        <v>215</v>
      </c>
      <c r="D132" s="39">
        <f>120+6.8</f>
        <v>126.8</v>
      </c>
      <c r="E132" s="39">
        <v>0</v>
      </c>
      <c r="F132" s="39">
        <v>0</v>
      </c>
      <c r="G132" s="103"/>
    </row>
    <row r="133" spans="1:7">
      <c r="A133" s="52" t="s">
        <v>77</v>
      </c>
      <c r="B133" s="16"/>
      <c r="C133" s="66" t="s">
        <v>47</v>
      </c>
      <c r="D133" s="41">
        <f>D134</f>
        <v>8283.6</v>
      </c>
      <c r="E133" s="41">
        <f>E134</f>
        <v>8283.7000000000007</v>
      </c>
      <c r="F133" s="41">
        <f>F134</f>
        <v>8283.7000000000007</v>
      </c>
      <c r="G133" s="103"/>
    </row>
    <row r="134" spans="1:7" ht="51" customHeight="1">
      <c r="A134" s="80">
        <v>190022200</v>
      </c>
      <c r="B134" s="82"/>
      <c r="C134" s="98" t="s">
        <v>455</v>
      </c>
      <c r="D134" s="41">
        <f>SUM(D135:D136)</f>
        <v>8283.6</v>
      </c>
      <c r="E134" s="41">
        <f>SUM(E135:E136)</f>
        <v>8283.7000000000007</v>
      </c>
      <c r="F134" s="41">
        <f>SUM(F135:F136)</f>
        <v>8283.7000000000007</v>
      </c>
      <c r="G134" s="103"/>
    </row>
    <row r="135" spans="1:7" ht="25.5">
      <c r="A135" s="80">
        <v>190022200</v>
      </c>
      <c r="B135" s="16" t="s">
        <v>63</v>
      </c>
      <c r="C135" s="55" t="s">
        <v>64</v>
      </c>
      <c r="D135" s="41">
        <f>4887.2+592.5+1638.9+711.9</f>
        <v>7830.5</v>
      </c>
      <c r="E135" s="41">
        <f>4887.2+592.5+1638.9+712</f>
        <v>7830.6</v>
      </c>
      <c r="F135" s="41">
        <f>4887.2+592.5+1638.9+712</f>
        <v>7830.6</v>
      </c>
      <c r="G135" s="103"/>
    </row>
    <row r="136" spans="1:7" ht="38.25">
      <c r="A136" s="80">
        <v>190022200</v>
      </c>
      <c r="B136" s="82" t="s">
        <v>214</v>
      </c>
      <c r="C136" s="98" t="s">
        <v>215</v>
      </c>
      <c r="D136" s="41">
        <f>453.1</f>
        <v>453.1</v>
      </c>
      <c r="E136" s="41">
        <f t="shared" ref="E136:F136" si="30">453.1</f>
        <v>453.1</v>
      </c>
      <c r="F136" s="41">
        <f t="shared" si="30"/>
        <v>453.1</v>
      </c>
      <c r="G136" s="103"/>
    </row>
    <row r="137" spans="1:7" ht="78" customHeight="1">
      <c r="A137" s="73" t="s">
        <v>60</v>
      </c>
      <c r="B137" s="35"/>
      <c r="C137" s="53" t="s">
        <v>616</v>
      </c>
      <c r="D137" s="65">
        <f>D138+D180+D195+D211</f>
        <v>108675.09999999999</v>
      </c>
      <c r="E137" s="65">
        <f>E138+E180+E195+E211</f>
        <v>87156.3</v>
      </c>
      <c r="F137" s="65">
        <f>F138+F180+F195+F211</f>
        <v>87156.3</v>
      </c>
      <c r="G137" s="103"/>
    </row>
    <row r="138" spans="1:7" ht="25.5">
      <c r="A138" s="21" t="s">
        <v>61</v>
      </c>
      <c r="B138" s="35"/>
      <c r="C138" s="48" t="s">
        <v>173</v>
      </c>
      <c r="D138" s="58">
        <f>D139+D155+D162+D167+D172+D177</f>
        <v>88681.299999999988</v>
      </c>
      <c r="E138" s="58">
        <f>E139+E155+E162+E167+E172+E177</f>
        <v>75721.8</v>
      </c>
      <c r="F138" s="58">
        <f>F139+F155+F162+F167+F172+F177</f>
        <v>75721.8</v>
      </c>
      <c r="G138" s="103"/>
    </row>
    <row r="139" spans="1:7" ht="38.25">
      <c r="A139" s="21" t="s">
        <v>211</v>
      </c>
      <c r="B139" s="35"/>
      <c r="C139" s="101" t="s">
        <v>216</v>
      </c>
      <c r="D139" s="94">
        <f>D140+D143+D145+D148+D151+D153</f>
        <v>71950.2</v>
      </c>
      <c r="E139" s="94">
        <f t="shared" ref="E139:F139" si="31">E140+E143+E145+E148+E151+E153</f>
        <v>60240.800000000003</v>
      </c>
      <c r="F139" s="94">
        <f t="shared" si="31"/>
        <v>60240.800000000003</v>
      </c>
      <c r="G139" s="103"/>
    </row>
    <row r="140" spans="1:7" ht="25.5">
      <c r="A140" s="74">
        <v>210122900</v>
      </c>
      <c r="B140" s="16"/>
      <c r="C140" s="99" t="s">
        <v>172</v>
      </c>
      <c r="D140" s="39">
        <f>D141+D142</f>
        <v>14414.3</v>
      </c>
      <c r="E140" s="39">
        <f>E141+E142</f>
        <v>10293.400000000001</v>
      </c>
      <c r="F140" s="39">
        <f>F141+F142</f>
        <v>10293.400000000001</v>
      </c>
      <c r="G140" s="103"/>
    </row>
    <row r="141" spans="1:7" ht="25.5">
      <c r="A141" s="74">
        <v>210122900</v>
      </c>
      <c r="B141" s="82" t="s">
        <v>65</v>
      </c>
      <c r="C141" s="55" t="s">
        <v>131</v>
      </c>
      <c r="D141" s="39">
        <f>5408.8-17.4</f>
        <v>5391.4000000000005</v>
      </c>
      <c r="E141" s="39">
        <f>5635.6-17.4</f>
        <v>5618.2000000000007</v>
      </c>
      <c r="F141" s="39">
        <f>5635.6-17.4</f>
        <v>5618.2000000000007</v>
      </c>
      <c r="G141" s="103"/>
    </row>
    <row r="142" spans="1:7" ht="38.25">
      <c r="A142" s="74">
        <v>210122900</v>
      </c>
      <c r="B142" s="82" t="s">
        <v>214</v>
      </c>
      <c r="C142" s="98" t="s">
        <v>215</v>
      </c>
      <c r="D142" s="39">
        <f>5956.5+2577.4+502.4-13.4</f>
        <v>9022.9</v>
      </c>
      <c r="E142" s="39">
        <v>4675.2</v>
      </c>
      <c r="F142" s="39">
        <v>4675.2</v>
      </c>
      <c r="G142" s="103"/>
    </row>
    <row r="143" spans="1:7" ht="51">
      <c r="A143" s="74">
        <v>210121100</v>
      </c>
      <c r="B143" s="16"/>
      <c r="C143" s="99" t="s">
        <v>174</v>
      </c>
      <c r="D143" s="39">
        <f>D144</f>
        <v>33792</v>
      </c>
      <c r="E143" s="39">
        <f>E144</f>
        <v>26356.9</v>
      </c>
      <c r="F143" s="39">
        <f>F144</f>
        <v>26356.9</v>
      </c>
      <c r="G143" s="103"/>
    </row>
    <row r="144" spans="1:7">
      <c r="A144" s="74">
        <v>210121100</v>
      </c>
      <c r="B144" s="21" t="s">
        <v>228</v>
      </c>
      <c r="C144" s="98" t="s">
        <v>227</v>
      </c>
      <c r="D144" s="39">
        <f>33945.3-18.5-109.8-25</f>
        <v>33792</v>
      </c>
      <c r="E144" s="1">
        <f>26485.2-18.5-109.8</f>
        <v>26356.9</v>
      </c>
      <c r="F144" s="1">
        <f>26485.2-18.5-109.8</f>
        <v>26356.9</v>
      </c>
      <c r="G144" s="103"/>
    </row>
    <row r="145" spans="1:7" ht="38.25">
      <c r="A145" s="74" t="s">
        <v>456</v>
      </c>
      <c r="B145" s="82"/>
      <c r="C145" s="98" t="s">
        <v>321</v>
      </c>
      <c r="D145" s="39">
        <f>SUM(D146:D147)</f>
        <v>235.9</v>
      </c>
      <c r="E145" s="39">
        <f>SUM(E146:E147)</f>
        <v>235.9</v>
      </c>
      <c r="F145" s="39">
        <f>SUM(F146:F147)</f>
        <v>235.9</v>
      </c>
      <c r="G145" s="103"/>
    </row>
    <row r="146" spans="1:7" ht="25.5">
      <c r="A146" s="74" t="s">
        <v>456</v>
      </c>
      <c r="B146" s="82" t="s">
        <v>65</v>
      </c>
      <c r="C146" s="55" t="s">
        <v>131</v>
      </c>
      <c r="D146" s="39">
        <f>50+17.4</f>
        <v>67.400000000000006</v>
      </c>
      <c r="E146" s="39">
        <f t="shared" ref="E146:F146" si="32">50+17.4</f>
        <v>67.400000000000006</v>
      </c>
      <c r="F146" s="39">
        <f t="shared" si="32"/>
        <v>67.400000000000006</v>
      </c>
      <c r="G146" s="103"/>
    </row>
    <row r="147" spans="1:7">
      <c r="A147" s="74" t="s">
        <v>456</v>
      </c>
      <c r="B147" s="21" t="s">
        <v>228</v>
      </c>
      <c r="C147" s="98" t="s">
        <v>227</v>
      </c>
      <c r="D147" s="39">
        <f>150+18.5</f>
        <v>168.5</v>
      </c>
      <c r="E147" s="39">
        <f t="shared" ref="E147:F147" si="33">150+18.5</f>
        <v>168.5</v>
      </c>
      <c r="F147" s="39">
        <f t="shared" si="33"/>
        <v>168.5</v>
      </c>
      <c r="G147" s="103"/>
    </row>
    <row r="148" spans="1:7" ht="51">
      <c r="A148" s="74">
        <v>210110680</v>
      </c>
      <c r="B148" s="82"/>
      <c r="C148" s="98" t="s">
        <v>360</v>
      </c>
      <c r="D148" s="39">
        <f>SUM(D149:D150)</f>
        <v>23354.600000000002</v>
      </c>
      <c r="E148" s="39">
        <f t="shared" ref="E148:F148" si="34">SUM(E149:E150)</f>
        <v>23354.600000000002</v>
      </c>
      <c r="F148" s="39">
        <f t="shared" si="34"/>
        <v>23354.600000000002</v>
      </c>
      <c r="G148" s="103"/>
    </row>
    <row r="149" spans="1:7" ht="25.5">
      <c r="A149" s="74">
        <v>210110680</v>
      </c>
      <c r="B149" s="82" t="s">
        <v>65</v>
      </c>
      <c r="C149" s="55" t="s">
        <v>131</v>
      </c>
      <c r="D149" s="39">
        <v>6672.7</v>
      </c>
      <c r="E149" s="39">
        <v>6672.7</v>
      </c>
      <c r="F149" s="39">
        <v>6672.7</v>
      </c>
      <c r="G149" s="103"/>
    </row>
    <row r="150" spans="1:7">
      <c r="A150" s="74">
        <v>210110680</v>
      </c>
      <c r="B150" s="21" t="s">
        <v>228</v>
      </c>
      <c r="C150" s="98" t="s">
        <v>227</v>
      </c>
      <c r="D150" s="39">
        <v>16681.900000000001</v>
      </c>
      <c r="E150" s="39">
        <v>16681.900000000001</v>
      </c>
      <c r="F150" s="39">
        <v>16681.900000000001</v>
      </c>
      <c r="G150" s="103"/>
    </row>
    <row r="151" spans="1:7" ht="38.25">
      <c r="A151" s="74" t="s">
        <v>758</v>
      </c>
      <c r="B151" s="21"/>
      <c r="C151" s="54" t="s">
        <v>759</v>
      </c>
      <c r="D151" s="39">
        <f>D152</f>
        <v>133.4</v>
      </c>
      <c r="E151" s="39">
        <f t="shared" ref="E151:F151" si="35">E152</f>
        <v>0</v>
      </c>
      <c r="F151" s="39">
        <f t="shared" si="35"/>
        <v>0</v>
      </c>
      <c r="G151" s="103"/>
    </row>
    <row r="152" spans="1:7" ht="38.25">
      <c r="A152" s="74" t="s">
        <v>758</v>
      </c>
      <c r="B152" s="82" t="s">
        <v>214</v>
      </c>
      <c r="C152" s="98" t="s">
        <v>215</v>
      </c>
      <c r="D152" s="39">
        <f>120+13.4</f>
        <v>133.4</v>
      </c>
      <c r="E152" s="39">
        <v>0</v>
      </c>
      <c r="F152" s="39">
        <v>0</v>
      </c>
      <c r="G152" s="103"/>
    </row>
    <row r="153" spans="1:7" ht="38.25">
      <c r="A153" s="165" t="s">
        <v>766</v>
      </c>
      <c r="B153" s="82"/>
      <c r="C153" s="124" t="s">
        <v>767</v>
      </c>
      <c r="D153" s="39">
        <f>D154</f>
        <v>20</v>
      </c>
      <c r="E153" s="39">
        <f t="shared" ref="E153:F153" si="36">E154</f>
        <v>0</v>
      </c>
      <c r="F153" s="39">
        <f t="shared" si="36"/>
        <v>0</v>
      </c>
      <c r="G153" s="103"/>
    </row>
    <row r="154" spans="1:7" ht="38.25">
      <c r="A154" s="165" t="s">
        <v>766</v>
      </c>
      <c r="B154" s="82" t="s">
        <v>214</v>
      </c>
      <c r="C154" s="98" t="s">
        <v>215</v>
      </c>
      <c r="D154" s="39">
        <v>20</v>
      </c>
      <c r="E154" s="39">
        <v>0</v>
      </c>
      <c r="F154" s="39">
        <v>0</v>
      </c>
      <c r="G154" s="103"/>
    </row>
    <row r="155" spans="1:7" ht="25.5">
      <c r="A155" s="21" t="s">
        <v>257</v>
      </c>
      <c r="B155" s="21"/>
      <c r="C155" s="101" t="s">
        <v>457</v>
      </c>
      <c r="D155" s="39">
        <f>D156+D158+D160</f>
        <v>14448.9</v>
      </c>
      <c r="E155" s="39">
        <f t="shared" ref="E155:F155" si="37">E156+E158+E160</f>
        <v>15144.999999999998</v>
      </c>
      <c r="F155" s="39">
        <f t="shared" si="37"/>
        <v>15144.999999999998</v>
      </c>
      <c r="G155" s="103"/>
    </row>
    <row r="156" spans="1:7" ht="25.5">
      <c r="A156" s="74">
        <v>210221100</v>
      </c>
      <c r="B156" s="16"/>
      <c r="C156" s="99" t="s">
        <v>175</v>
      </c>
      <c r="D156" s="39">
        <f>D157</f>
        <v>10657.1</v>
      </c>
      <c r="E156" s="39">
        <f>E157</f>
        <v>11353.199999999999</v>
      </c>
      <c r="F156" s="39">
        <f>F157</f>
        <v>11353.199999999999</v>
      </c>
      <c r="G156" s="103"/>
    </row>
    <row r="157" spans="1:7">
      <c r="A157" s="74">
        <v>210221100</v>
      </c>
      <c r="B157" s="21" t="s">
        <v>228</v>
      </c>
      <c r="C157" s="98" t="s">
        <v>227</v>
      </c>
      <c r="D157" s="1">
        <f>10427.2-6.1+236</f>
        <v>10657.1</v>
      </c>
      <c r="E157" s="1">
        <f>11359.3-6.1</f>
        <v>11353.199999999999</v>
      </c>
      <c r="F157" s="1">
        <f>11359.3-6.1</f>
        <v>11353.199999999999</v>
      </c>
      <c r="G157" s="103"/>
    </row>
    <row r="158" spans="1:7" ht="63.75">
      <c r="A158" s="74">
        <v>210210690</v>
      </c>
      <c r="B158" s="21"/>
      <c r="C158" s="98" t="s">
        <v>322</v>
      </c>
      <c r="D158" s="39">
        <f>D159</f>
        <v>3753.9</v>
      </c>
      <c r="E158" s="39">
        <f>E159</f>
        <v>3753.9</v>
      </c>
      <c r="F158" s="39">
        <f>F159</f>
        <v>3753.9</v>
      </c>
      <c r="G158" s="103"/>
    </row>
    <row r="159" spans="1:7">
      <c r="A159" s="74">
        <v>210210690</v>
      </c>
      <c r="B159" s="21" t="s">
        <v>228</v>
      </c>
      <c r="C159" s="98" t="s">
        <v>227</v>
      </c>
      <c r="D159" s="133">
        <v>3753.9</v>
      </c>
      <c r="E159" s="133">
        <v>3753.9</v>
      </c>
      <c r="F159" s="133">
        <v>3753.9</v>
      </c>
      <c r="G159" s="103"/>
    </row>
    <row r="160" spans="1:7" ht="51">
      <c r="A160" s="74" t="s">
        <v>458</v>
      </c>
      <c r="B160" s="82"/>
      <c r="C160" s="98" t="s">
        <v>323</v>
      </c>
      <c r="D160" s="39">
        <f>SUM(D161:D161)</f>
        <v>37.9</v>
      </c>
      <c r="E160" s="39">
        <f>SUM(E161:E161)</f>
        <v>37.9</v>
      </c>
      <c r="F160" s="39">
        <f>SUM(F161:F161)</f>
        <v>37.9</v>
      </c>
      <c r="G160" s="103"/>
    </row>
    <row r="161" spans="1:7">
      <c r="A161" s="74" t="s">
        <v>458</v>
      </c>
      <c r="B161" s="21" t="s">
        <v>228</v>
      </c>
      <c r="C161" s="98" t="s">
        <v>227</v>
      </c>
      <c r="D161" s="39">
        <f>31.8+6.1</f>
        <v>37.9</v>
      </c>
      <c r="E161" s="39">
        <f t="shared" ref="E161:F161" si="38">31.8+6.1</f>
        <v>37.9</v>
      </c>
      <c r="F161" s="39">
        <f t="shared" si="38"/>
        <v>37.9</v>
      </c>
      <c r="G161" s="103"/>
    </row>
    <row r="162" spans="1:7" ht="51">
      <c r="A162" s="21" t="s">
        <v>259</v>
      </c>
      <c r="B162" s="35"/>
      <c r="C162" s="98" t="s">
        <v>258</v>
      </c>
      <c r="D162" s="41">
        <f>D163+D165</f>
        <v>1569</v>
      </c>
      <c r="E162" s="41">
        <f t="shared" ref="E162:F162" si="39">E163+E165</f>
        <v>35</v>
      </c>
      <c r="F162" s="41">
        <f t="shared" si="39"/>
        <v>35</v>
      </c>
      <c r="G162" s="103"/>
    </row>
    <row r="163" spans="1:7" ht="51">
      <c r="A163" s="125" t="s">
        <v>459</v>
      </c>
      <c r="B163" s="82"/>
      <c r="C163" s="131" t="s">
        <v>375</v>
      </c>
      <c r="D163" s="39">
        <f>D164</f>
        <v>624</v>
      </c>
      <c r="E163" s="39">
        <f>E164</f>
        <v>35</v>
      </c>
      <c r="F163" s="39">
        <f>F164</f>
        <v>35</v>
      </c>
      <c r="G163" s="103"/>
    </row>
    <row r="164" spans="1:7">
      <c r="A164" s="125" t="s">
        <v>459</v>
      </c>
      <c r="B164" s="21" t="s">
        <v>228</v>
      </c>
      <c r="C164" s="98" t="s">
        <v>227</v>
      </c>
      <c r="D164" s="39">
        <f>13+611</f>
        <v>624</v>
      </c>
      <c r="E164" s="39">
        <v>35</v>
      </c>
      <c r="F164" s="39">
        <v>35</v>
      </c>
      <c r="G164" s="103"/>
    </row>
    <row r="165" spans="1:7" ht="42.75" customHeight="1">
      <c r="A165" s="134" t="s">
        <v>461</v>
      </c>
      <c r="B165" s="21"/>
      <c r="C165" s="98" t="s">
        <v>460</v>
      </c>
      <c r="D165" s="39">
        <f>D166</f>
        <v>945</v>
      </c>
      <c r="E165" s="39">
        <f>E166</f>
        <v>0</v>
      </c>
      <c r="F165" s="39">
        <f>F166</f>
        <v>0</v>
      </c>
      <c r="G165" s="103"/>
    </row>
    <row r="166" spans="1:7">
      <c r="A166" s="134" t="s">
        <v>461</v>
      </c>
      <c r="B166" s="21" t="s">
        <v>228</v>
      </c>
      <c r="C166" s="98" t="s">
        <v>227</v>
      </c>
      <c r="D166" s="39">
        <v>945</v>
      </c>
      <c r="E166" s="39">
        <v>0</v>
      </c>
      <c r="F166" s="39">
        <v>0</v>
      </c>
      <c r="G166" s="103"/>
    </row>
    <row r="167" spans="1:7" ht="37.5" customHeight="1">
      <c r="A167" s="134" t="s">
        <v>462</v>
      </c>
      <c r="B167" s="21"/>
      <c r="C167" s="98" t="s">
        <v>463</v>
      </c>
      <c r="D167" s="39">
        <f>D168+D170</f>
        <v>2</v>
      </c>
      <c r="E167" s="39">
        <f t="shared" ref="E167:F167" si="40">E168+E170</f>
        <v>1</v>
      </c>
      <c r="F167" s="39">
        <f t="shared" si="40"/>
        <v>1</v>
      </c>
      <c r="G167" s="103"/>
    </row>
    <row r="168" spans="1:7" ht="37.5" customHeight="1">
      <c r="A168" s="125" t="s">
        <v>674</v>
      </c>
      <c r="B168" s="82"/>
      <c r="C168" s="124" t="s">
        <v>675</v>
      </c>
      <c r="D168" s="39">
        <f>D169</f>
        <v>1</v>
      </c>
      <c r="E168" s="39">
        <f>E169</f>
        <v>0</v>
      </c>
      <c r="F168" s="39">
        <f>F169</f>
        <v>0</v>
      </c>
      <c r="G168" s="103"/>
    </row>
    <row r="169" spans="1:7" ht="15.75" customHeight="1">
      <c r="A169" s="125" t="s">
        <v>674</v>
      </c>
      <c r="B169" s="21" t="s">
        <v>228</v>
      </c>
      <c r="C169" s="98" t="s">
        <v>227</v>
      </c>
      <c r="D169" s="39">
        <v>1</v>
      </c>
      <c r="E169" s="39">
        <v>0</v>
      </c>
      <c r="F169" s="39">
        <v>0</v>
      </c>
      <c r="G169" s="103"/>
    </row>
    <row r="170" spans="1:7" ht="48.75" customHeight="1">
      <c r="A170" s="134" t="s">
        <v>465</v>
      </c>
      <c r="B170" s="21"/>
      <c r="C170" s="98" t="s">
        <v>464</v>
      </c>
      <c r="D170" s="39">
        <f>D171</f>
        <v>1</v>
      </c>
      <c r="E170" s="39">
        <f>E171</f>
        <v>1</v>
      </c>
      <c r="F170" s="39">
        <f>F171</f>
        <v>1</v>
      </c>
      <c r="G170" s="103"/>
    </row>
    <row r="171" spans="1:7">
      <c r="A171" s="134" t="s">
        <v>465</v>
      </c>
      <c r="B171" s="21" t="s">
        <v>228</v>
      </c>
      <c r="C171" s="98" t="s">
        <v>227</v>
      </c>
      <c r="D171" s="39">
        <v>1</v>
      </c>
      <c r="E171" s="39">
        <v>1</v>
      </c>
      <c r="F171" s="39">
        <v>1</v>
      </c>
      <c r="G171" s="103"/>
    </row>
    <row r="172" spans="1:7" ht="25.5">
      <c r="A172" s="21" t="s">
        <v>466</v>
      </c>
      <c r="B172" s="35"/>
      <c r="C172" s="101" t="s">
        <v>260</v>
      </c>
      <c r="D172" s="41">
        <f>D173+D175</f>
        <v>474</v>
      </c>
      <c r="E172" s="41">
        <f t="shared" ref="E172:F172" si="41">E173+E175</f>
        <v>300</v>
      </c>
      <c r="F172" s="41">
        <f t="shared" si="41"/>
        <v>300</v>
      </c>
      <c r="G172" s="103"/>
    </row>
    <row r="173" spans="1:7" ht="38.25">
      <c r="A173" s="21" t="s">
        <v>467</v>
      </c>
      <c r="B173" s="16"/>
      <c r="C173" s="98" t="s">
        <v>176</v>
      </c>
      <c r="D173" s="41">
        <f t="shared" ref="D173:F173" si="42">D174</f>
        <v>374</v>
      </c>
      <c r="E173" s="41">
        <f t="shared" si="42"/>
        <v>300</v>
      </c>
      <c r="F173" s="41">
        <f t="shared" si="42"/>
        <v>300</v>
      </c>
      <c r="G173" s="103"/>
    </row>
    <row r="174" spans="1:7" ht="38.25">
      <c r="A174" s="21" t="s">
        <v>467</v>
      </c>
      <c r="B174" s="82" t="s">
        <v>214</v>
      </c>
      <c r="C174" s="98" t="s">
        <v>215</v>
      </c>
      <c r="D174" s="41">
        <v>374</v>
      </c>
      <c r="E174" s="41">
        <v>300</v>
      </c>
      <c r="F174" s="41">
        <v>300</v>
      </c>
      <c r="G174" s="103"/>
    </row>
    <row r="175" spans="1:7" ht="25.5">
      <c r="A175" s="21" t="s">
        <v>768</v>
      </c>
      <c r="B175" s="82"/>
      <c r="C175" s="108" t="s">
        <v>769</v>
      </c>
      <c r="D175" s="41">
        <f>D176</f>
        <v>100</v>
      </c>
      <c r="E175" s="41">
        <f t="shared" ref="E175:F175" si="43">E176</f>
        <v>0</v>
      </c>
      <c r="F175" s="41">
        <f t="shared" si="43"/>
        <v>0</v>
      </c>
      <c r="G175" s="103"/>
    </row>
    <row r="176" spans="1:7" ht="38.25">
      <c r="A176" s="167" t="s">
        <v>768</v>
      </c>
      <c r="B176" s="82" t="s">
        <v>214</v>
      </c>
      <c r="C176" s="98" t="s">
        <v>215</v>
      </c>
      <c r="D176" s="41">
        <v>100</v>
      </c>
      <c r="E176" s="41">
        <v>0</v>
      </c>
      <c r="F176" s="41">
        <v>0</v>
      </c>
      <c r="G176" s="103"/>
    </row>
    <row r="177" spans="1:7" ht="38.25">
      <c r="A177" s="21" t="s">
        <v>678</v>
      </c>
      <c r="B177" s="82"/>
      <c r="C177" s="101" t="s">
        <v>694</v>
      </c>
      <c r="D177" s="41">
        <f>D178</f>
        <v>237.2</v>
      </c>
      <c r="E177" s="41">
        <f t="shared" ref="E177:F177" si="44">E178</f>
        <v>0</v>
      </c>
      <c r="F177" s="41">
        <f t="shared" si="44"/>
        <v>0</v>
      </c>
      <c r="G177" s="103"/>
    </row>
    <row r="178" spans="1:7" ht="25.5">
      <c r="A178" s="21" t="s">
        <v>711</v>
      </c>
      <c r="B178" s="82"/>
      <c r="C178" s="98" t="s">
        <v>676</v>
      </c>
      <c r="D178" s="41">
        <f>D179</f>
        <v>237.2</v>
      </c>
      <c r="E178" s="41">
        <f t="shared" ref="E178:F178" si="45">E179</f>
        <v>0</v>
      </c>
      <c r="F178" s="41">
        <f t="shared" si="45"/>
        <v>0</v>
      </c>
      <c r="G178" s="103"/>
    </row>
    <row r="179" spans="1:7">
      <c r="A179" s="21" t="s">
        <v>711</v>
      </c>
      <c r="B179" s="21" t="s">
        <v>228</v>
      </c>
      <c r="C179" s="98" t="s">
        <v>227</v>
      </c>
      <c r="D179" s="41">
        <v>237.2</v>
      </c>
      <c r="E179" s="41">
        <v>0</v>
      </c>
      <c r="F179" s="41">
        <v>0</v>
      </c>
      <c r="G179" s="103"/>
    </row>
    <row r="180" spans="1:7" ht="25.5">
      <c r="A180" s="52" t="s">
        <v>44</v>
      </c>
      <c r="B180" s="35"/>
      <c r="C180" s="48" t="s">
        <v>203</v>
      </c>
      <c r="D180" s="58">
        <f>D181+D190</f>
        <v>5986</v>
      </c>
      <c r="E180" s="58">
        <f t="shared" ref="E180:F180" si="46">E181+E190</f>
        <v>496.29999999999995</v>
      </c>
      <c r="F180" s="58">
        <f t="shared" si="46"/>
        <v>496.29999999999995</v>
      </c>
      <c r="G180" s="103"/>
    </row>
    <row r="181" spans="1:7" ht="76.5">
      <c r="A181" s="21" t="s">
        <v>261</v>
      </c>
      <c r="B181" s="35"/>
      <c r="C181" s="99" t="s">
        <v>262</v>
      </c>
      <c r="D181" s="58">
        <f>D182+D185+D188</f>
        <v>5736</v>
      </c>
      <c r="E181" s="58">
        <f t="shared" ref="E181:F181" si="47">E182+E185+E188</f>
        <v>496.29999999999995</v>
      </c>
      <c r="F181" s="58">
        <f t="shared" si="47"/>
        <v>496.29999999999995</v>
      </c>
      <c r="G181" s="103"/>
    </row>
    <row r="182" spans="1:7" ht="76.5">
      <c r="A182" s="21" t="s">
        <v>468</v>
      </c>
      <c r="B182" s="21"/>
      <c r="C182" s="99" t="s">
        <v>178</v>
      </c>
      <c r="D182" s="39">
        <f>SUM(D183:D184)</f>
        <v>543.70000000000005</v>
      </c>
      <c r="E182" s="39">
        <f t="shared" ref="E182:F182" si="48">SUM(E183:E184)</f>
        <v>415.7</v>
      </c>
      <c r="F182" s="39">
        <f t="shared" si="48"/>
        <v>415.7</v>
      </c>
      <c r="G182" s="103"/>
    </row>
    <row r="183" spans="1:7" ht="25.5">
      <c r="A183" s="21" t="s">
        <v>468</v>
      </c>
      <c r="B183" s="82" t="s">
        <v>65</v>
      </c>
      <c r="C183" s="55" t="s">
        <v>131</v>
      </c>
      <c r="D183" s="39">
        <v>130</v>
      </c>
      <c r="E183" s="39">
        <v>0</v>
      </c>
      <c r="F183" s="39">
        <v>0</v>
      </c>
      <c r="G183" s="103"/>
    </row>
    <row r="184" spans="1:7" ht="38.25">
      <c r="A184" s="21" t="s">
        <v>468</v>
      </c>
      <c r="B184" s="82" t="s">
        <v>214</v>
      </c>
      <c r="C184" s="98" t="s">
        <v>215</v>
      </c>
      <c r="D184" s="39">
        <f>543.7-130</f>
        <v>413.70000000000005</v>
      </c>
      <c r="E184" s="39">
        <v>415.7</v>
      </c>
      <c r="F184" s="39">
        <v>415.7</v>
      </c>
      <c r="G184" s="103"/>
    </row>
    <row r="185" spans="1:7" ht="51">
      <c r="A185" s="21" t="s">
        <v>469</v>
      </c>
      <c r="B185" s="21"/>
      <c r="C185" s="99" t="s">
        <v>62</v>
      </c>
      <c r="D185" s="39">
        <f>SUM(D186:D187)</f>
        <v>90.6</v>
      </c>
      <c r="E185" s="39">
        <f>SUM(E186:E187)</f>
        <v>80.599999999999994</v>
      </c>
      <c r="F185" s="39">
        <f>SUM(F186:F187)</f>
        <v>80.599999999999994</v>
      </c>
      <c r="G185" s="103"/>
    </row>
    <row r="186" spans="1:7" ht="25.5">
      <c r="A186" s="21" t="s">
        <v>469</v>
      </c>
      <c r="B186" s="82" t="s">
        <v>65</v>
      </c>
      <c r="C186" s="55" t="s">
        <v>131</v>
      </c>
      <c r="D186" s="39">
        <v>39.6</v>
      </c>
      <c r="E186" s="39">
        <v>39.6</v>
      </c>
      <c r="F186" s="39">
        <v>39.6</v>
      </c>
      <c r="G186" s="103"/>
    </row>
    <row r="187" spans="1:7" ht="38.25">
      <c r="A187" s="21" t="s">
        <v>469</v>
      </c>
      <c r="B187" s="82" t="s">
        <v>214</v>
      </c>
      <c r="C187" s="98" t="s">
        <v>215</v>
      </c>
      <c r="D187" s="39">
        <v>51</v>
      </c>
      <c r="E187" s="39">
        <v>41</v>
      </c>
      <c r="F187" s="39">
        <v>41</v>
      </c>
      <c r="G187" s="103"/>
    </row>
    <row r="188" spans="1:7" ht="25.5">
      <c r="A188" s="21" t="s">
        <v>729</v>
      </c>
      <c r="B188" s="82"/>
      <c r="C188" s="98" t="s">
        <v>728</v>
      </c>
      <c r="D188" s="39">
        <f>D189</f>
        <v>5101.7</v>
      </c>
      <c r="E188" s="39">
        <f t="shared" ref="E188:F188" si="49">E189</f>
        <v>0</v>
      </c>
      <c r="F188" s="39">
        <f t="shared" si="49"/>
        <v>0</v>
      </c>
      <c r="G188" s="103"/>
    </row>
    <row r="189" spans="1:7" ht="38.25">
      <c r="A189" s="21" t="s">
        <v>729</v>
      </c>
      <c r="B189" s="82" t="s">
        <v>214</v>
      </c>
      <c r="C189" s="98" t="s">
        <v>215</v>
      </c>
      <c r="D189" s="39">
        <v>5101.7</v>
      </c>
      <c r="E189" s="39">
        <v>0</v>
      </c>
      <c r="F189" s="39">
        <v>0</v>
      </c>
      <c r="G189" s="103"/>
    </row>
    <row r="190" spans="1:7" ht="25.5">
      <c r="A190" s="21" t="s">
        <v>696</v>
      </c>
      <c r="B190" s="82"/>
      <c r="C190" s="98" t="s">
        <v>695</v>
      </c>
      <c r="D190" s="39">
        <f>D191+D193</f>
        <v>250</v>
      </c>
      <c r="E190" s="39">
        <f t="shared" ref="E190:F190" si="50">E191+E193</f>
        <v>0</v>
      </c>
      <c r="F190" s="39">
        <f t="shared" si="50"/>
        <v>0</v>
      </c>
      <c r="G190" s="103"/>
    </row>
    <row r="191" spans="1:7" ht="42" customHeight="1">
      <c r="A191" s="21" t="s">
        <v>685</v>
      </c>
      <c r="B191" s="82"/>
      <c r="C191" s="98" t="s">
        <v>686</v>
      </c>
      <c r="D191" s="39">
        <f t="shared" ref="D191:F191" si="51">D192</f>
        <v>50</v>
      </c>
      <c r="E191" s="39">
        <f t="shared" si="51"/>
        <v>0</v>
      </c>
      <c r="F191" s="39">
        <f t="shared" si="51"/>
        <v>0</v>
      </c>
      <c r="G191" s="103"/>
    </row>
    <row r="192" spans="1:7" ht="38.25">
      <c r="A192" s="21" t="s">
        <v>685</v>
      </c>
      <c r="B192" s="82" t="s">
        <v>214</v>
      </c>
      <c r="C192" s="98" t="s">
        <v>215</v>
      </c>
      <c r="D192" s="39">
        <v>50</v>
      </c>
      <c r="E192" s="39">
        <v>0</v>
      </c>
      <c r="F192" s="39">
        <v>0</v>
      </c>
      <c r="G192" s="103"/>
    </row>
    <row r="193" spans="1:7" ht="38.25">
      <c r="A193" s="21" t="s">
        <v>741</v>
      </c>
      <c r="B193" s="82"/>
      <c r="C193" s="98" t="s">
        <v>742</v>
      </c>
      <c r="D193" s="39">
        <f>D194</f>
        <v>200</v>
      </c>
      <c r="E193" s="39">
        <f t="shared" ref="E193:F193" si="52">E194</f>
        <v>0</v>
      </c>
      <c r="F193" s="39">
        <f t="shared" si="52"/>
        <v>0</v>
      </c>
      <c r="G193" s="103"/>
    </row>
    <row r="194" spans="1:7" ht="38.25">
      <c r="A194" s="21" t="s">
        <v>741</v>
      </c>
      <c r="B194" s="82" t="s">
        <v>214</v>
      </c>
      <c r="C194" s="98" t="s">
        <v>215</v>
      </c>
      <c r="D194" s="39">
        <v>200</v>
      </c>
      <c r="E194" s="39">
        <v>0</v>
      </c>
      <c r="F194" s="39">
        <v>0</v>
      </c>
      <c r="G194" s="103"/>
    </row>
    <row r="195" spans="1:7" ht="25.5">
      <c r="A195" s="52" t="s">
        <v>31</v>
      </c>
      <c r="B195" s="21"/>
      <c r="C195" s="48" t="s">
        <v>179</v>
      </c>
      <c r="D195" s="41">
        <f>D196+D205+D208</f>
        <v>10604.300000000001</v>
      </c>
      <c r="E195" s="41">
        <f>E196+E205+E208</f>
        <v>7787.2</v>
      </c>
      <c r="F195" s="41">
        <f>F196+F205+F208</f>
        <v>7787.2</v>
      </c>
      <c r="G195" s="103"/>
    </row>
    <row r="196" spans="1:7" ht="25.5">
      <c r="A196" s="21" t="s">
        <v>212</v>
      </c>
      <c r="B196" s="16"/>
      <c r="C196" s="101" t="s">
        <v>314</v>
      </c>
      <c r="D196" s="41">
        <f>D197+D199+D201+D203</f>
        <v>357.20000000000005</v>
      </c>
      <c r="E196" s="41">
        <f>E197+E199+E201+E203</f>
        <v>361.20000000000005</v>
      </c>
      <c r="F196" s="41">
        <f>F197+F199+F201+F203</f>
        <v>361.20000000000005</v>
      </c>
      <c r="G196" s="103"/>
    </row>
    <row r="197" spans="1:7" ht="51">
      <c r="A197" s="136" t="s">
        <v>470</v>
      </c>
      <c r="B197" s="16"/>
      <c r="C197" s="100" t="s">
        <v>209</v>
      </c>
      <c r="D197" s="39">
        <f>D198</f>
        <v>6.6</v>
      </c>
      <c r="E197" s="39">
        <f>E198</f>
        <v>6.6</v>
      </c>
      <c r="F197" s="39">
        <f>F198</f>
        <v>6.6</v>
      </c>
      <c r="G197" s="103"/>
    </row>
    <row r="198" spans="1:7" ht="38.25">
      <c r="A198" s="136" t="s">
        <v>470</v>
      </c>
      <c r="B198" s="82" t="s">
        <v>214</v>
      </c>
      <c r="C198" s="98" t="s">
        <v>215</v>
      </c>
      <c r="D198" s="41">
        <v>6.6</v>
      </c>
      <c r="E198" s="41">
        <v>6.6</v>
      </c>
      <c r="F198" s="41">
        <v>6.6</v>
      </c>
      <c r="G198" s="103"/>
    </row>
    <row r="199" spans="1:7" ht="25.5">
      <c r="A199" s="136" t="s">
        <v>471</v>
      </c>
      <c r="B199" s="16"/>
      <c r="C199" s="98" t="s">
        <v>180</v>
      </c>
      <c r="D199" s="41">
        <f>D200</f>
        <v>285.60000000000002</v>
      </c>
      <c r="E199" s="41">
        <f>E200</f>
        <v>289.60000000000002</v>
      </c>
      <c r="F199" s="41">
        <f>F200</f>
        <v>289.60000000000002</v>
      </c>
      <c r="G199" s="103"/>
    </row>
    <row r="200" spans="1:7" ht="38.25">
      <c r="A200" s="136" t="s">
        <v>471</v>
      </c>
      <c r="B200" s="82" t="s">
        <v>214</v>
      </c>
      <c r="C200" s="98" t="s">
        <v>215</v>
      </c>
      <c r="D200" s="41">
        <f>289.6-4</f>
        <v>285.60000000000002</v>
      </c>
      <c r="E200" s="41">
        <v>289.60000000000002</v>
      </c>
      <c r="F200" s="41">
        <v>289.60000000000002</v>
      </c>
      <c r="G200" s="103"/>
    </row>
    <row r="201" spans="1:7" ht="51">
      <c r="A201" s="136" t="s">
        <v>472</v>
      </c>
      <c r="B201" s="16"/>
      <c r="C201" s="98" t="s">
        <v>78</v>
      </c>
      <c r="D201" s="41">
        <f>D202</f>
        <v>15</v>
      </c>
      <c r="E201" s="41">
        <f>E202</f>
        <v>15</v>
      </c>
      <c r="F201" s="41">
        <f>F202</f>
        <v>15</v>
      </c>
      <c r="G201" s="103"/>
    </row>
    <row r="202" spans="1:7" ht="38.25">
      <c r="A202" s="136" t="s">
        <v>472</v>
      </c>
      <c r="B202" s="82" t="s">
        <v>214</v>
      </c>
      <c r="C202" s="98" t="s">
        <v>215</v>
      </c>
      <c r="D202" s="41">
        <v>15</v>
      </c>
      <c r="E202" s="41">
        <v>15</v>
      </c>
      <c r="F202" s="41">
        <v>15</v>
      </c>
      <c r="G202" s="103"/>
    </row>
    <row r="203" spans="1:7">
      <c r="A203" s="136" t="s">
        <v>473</v>
      </c>
      <c r="B203" s="82"/>
      <c r="C203" s="54" t="s">
        <v>387</v>
      </c>
      <c r="D203" s="41">
        <f>D204</f>
        <v>50</v>
      </c>
      <c r="E203" s="41">
        <f>E204</f>
        <v>50</v>
      </c>
      <c r="F203" s="41">
        <f>F204</f>
        <v>50</v>
      </c>
      <c r="G203" s="103"/>
    </row>
    <row r="204" spans="1:7" ht="38.25">
      <c r="A204" s="136" t="s">
        <v>473</v>
      </c>
      <c r="B204" s="82" t="s">
        <v>214</v>
      </c>
      <c r="C204" s="98" t="s">
        <v>215</v>
      </c>
      <c r="D204" s="41">
        <v>50</v>
      </c>
      <c r="E204" s="41">
        <v>50</v>
      </c>
      <c r="F204" s="41">
        <v>50</v>
      </c>
      <c r="G204" s="103"/>
    </row>
    <row r="205" spans="1:7" ht="76.5">
      <c r="A205" s="21" t="s">
        <v>263</v>
      </c>
      <c r="B205" s="16"/>
      <c r="C205" s="101" t="s">
        <v>264</v>
      </c>
      <c r="D205" s="41">
        <f t="shared" ref="D205:F206" si="53">D206</f>
        <v>8963.4</v>
      </c>
      <c r="E205" s="41">
        <f t="shared" si="53"/>
        <v>7426</v>
      </c>
      <c r="F205" s="41">
        <f t="shared" si="53"/>
        <v>7426</v>
      </c>
      <c r="G205" s="103"/>
    </row>
    <row r="206" spans="1:7" ht="38.25">
      <c r="A206" s="74">
        <v>230221100</v>
      </c>
      <c r="B206" s="16"/>
      <c r="C206" s="98" t="s">
        <v>0</v>
      </c>
      <c r="D206" s="41">
        <f t="shared" si="53"/>
        <v>8963.4</v>
      </c>
      <c r="E206" s="41">
        <f t="shared" si="53"/>
        <v>7426</v>
      </c>
      <c r="F206" s="41">
        <f t="shared" si="53"/>
        <v>7426</v>
      </c>
      <c r="G206" s="103"/>
    </row>
    <row r="207" spans="1:7">
      <c r="A207" s="74">
        <v>230221100</v>
      </c>
      <c r="B207" s="82" t="s">
        <v>228</v>
      </c>
      <c r="C207" s="98" t="s">
        <v>227</v>
      </c>
      <c r="D207" s="41">
        <f>8853.6+109.8</f>
        <v>8963.4</v>
      </c>
      <c r="E207" s="41">
        <f>7316.2+109.8</f>
        <v>7426</v>
      </c>
      <c r="F207" s="41">
        <f>7316.2+109.8</f>
        <v>7426</v>
      </c>
      <c r="G207" s="103"/>
    </row>
    <row r="208" spans="1:7" ht="63.75">
      <c r="A208" s="21" t="s">
        <v>476</v>
      </c>
      <c r="B208" s="82"/>
      <c r="C208" s="98" t="s">
        <v>475</v>
      </c>
      <c r="D208" s="41">
        <f t="shared" ref="D208:F209" si="54">D209</f>
        <v>1283.7</v>
      </c>
      <c r="E208" s="41">
        <f t="shared" si="54"/>
        <v>0</v>
      </c>
      <c r="F208" s="41">
        <f t="shared" si="54"/>
        <v>0</v>
      </c>
      <c r="G208" s="103"/>
    </row>
    <row r="209" spans="1:7" ht="53.25" customHeight="1">
      <c r="A209" s="74">
        <v>230321210</v>
      </c>
      <c r="B209" s="82"/>
      <c r="C209" s="98" t="s">
        <v>474</v>
      </c>
      <c r="D209" s="41">
        <f t="shared" si="54"/>
        <v>1283.7</v>
      </c>
      <c r="E209" s="41">
        <f t="shared" si="54"/>
        <v>0</v>
      </c>
      <c r="F209" s="41">
        <f t="shared" si="54"/>
        <v>0</v>
      </c>
      <c r="G209" s="103"/>
    </row>
    <row r="210" spans="1:7">
      <c r="A210" s="74">
        <v>230321210</v>
      </c>
      <c r="B210" s="21" t="s">
        <v>228</v>
      </c>
      <c r="C210" s="98" t="s">
        <v>227</v>
      </c>
      <c r="D210" s="41">
        <v>1283.7</v>
      </c>
      <c r="E210" s="41">
        <v>0</v>
      </c>
      <c r="F210" s="41">
        <v>0</v>
      </c>
      <c r="G210" s="103"/>
    </row>
    <row r="211" spans="1:7">
      <c r="A211" s="52" t="s">
        <v>32</v>
      </c>
      <c r="B211" s="21"/>
      <c r="C211" s="66" t="s">
        <v>47</v>
      </c>
      <c r="D211" s="58">
        <f>D212</f>
        <v>3403.5</v>
      </c>
      <c r="E211" s="58">
        <f>E212</f>
        <v>3151</v>
      </c>
      <c r="F211" s="58">
        <f>F212</f>
        <v>3151</v>
      </c>
      <c r="G211" s="103"/>
    </row>
    <row r="212" spans="1:7" ht="63.75">
      <c r="A212" s="80">
        <v>290022200</v>
      </c>
      <c r="B212" s="21"/>
      <c r="C212" s="98" t="s">
        <v>266</v>
      </c>
      <c r="D212" s="94">
        <f>SUM(D213:D214)</f>
        <v>3403.5</v>
      </c>
      <c r="E212" s="94">
        <f>SUM(E213:E214)</f>
        <v>3151</v>
      </c>
      <c r="F212" s="94">
        <f>SUM(F213:F214)</f>
        <v>3151</v>
      </c>
      <c r="G212" s="103"/>
    </row>
    <row r="213" spans="1:7" ht="25.5">
      <c r="A213" s="80">
        <v>290022200</v>
      </c>
      <c r="B213" s="16" t="s">
        <v>63</v>
      </c>
      <c r="C213" s="55" t="s">
        <v>64</v>
      </c>
      <c r="D213" s="94">
        <f>3035.4+300.6</f>
        <v>3336</v>
      </c>
      <c r="E213" s="94">
        <f>2788.9+300.6</f>
        <v>3089.5</v>
      </c>
      <c r="F213" s="94">
        <f>2788.9+300.6</f>
        <v>3089.5</v>
      </c>
      <c r="G213" s="103"/>
    </row>
    <row r="214" spans="1:7" ht="38.25">
      <c r="A214" s="80">
        <v>290022200</v>
      </c>
      <c r="B214" s="82" t="s">
        <v>214</v>
      </c>
      <c r="C214" s="98" t="s">
        <v>215</v>
      </c>
      <c r="D214" s="41">
        <v>67.5</v>
      </c>
      <c r="E214" s="41">
        <v>61.5</v>
      </c>
      <c r="F214" s="41">
        <v>61.5</v>
      </c>
      <c r="G214" s="103"/>
    </row>
    <row r="215" spans="1:7" ht="77.25" customHeight="1">
      <c r="A215" s="73" t="s">
        <v>70</v>
      </c>
      <c r="B215" s="16"/>
      <c r="C215" s="143" t="s">
        <v>620</v>
      </c>
      <c r="D215" s="96">
        <f>D216+D228</f>
        <v>31813.200000000001</v>
      </c>
      <c r="E215" s="96">
        <f>E216+E228</f>
        <v>9623.5</v>
      </c>
      <c r="F215" s="96">
        <f>F216+F228</f>
        <v>10276.1</v>
      </c>
    </row>
    <row r="216" spans="1:7" ht="25.5">
      <c r="A216" s="52" t="s">
        <v>71</v>
      </c>
      <c r="B216" s="16"/>
      <c r="C216" s="48" t="s">
        <v>158</v>
      </c>
      <c r="D216" s="93">
        <f>D217+D220</f>
        <v>27433.9</v>
      </c>
      <c r="E216" s="93">
        <f>E217+E220</f>
        <v>7940</v>
      </c>
      <c r="F216" s="93">
        <f>F217+F220</f>
        <v>7940</v>
      </c>
    </row>
    <row r="217" spans="1:7" ht="38.25">
      <c r="A217" s="21" t="s">
        <v>247</v>
      </c>
      <c r="B217" s="16"/>
      <c r="C217" s="99" t="s">
        <v>248</v>
      </c>
      <c r="D217" s="39">
        <f t="shared" ref="D217:F218" si="55">D218</f>
        <v>261</v>
      </c>
      <c r="E217" s="39">
        <f t="shared" si="55"/>
        <v>250</v>
      </c>
      <c r="F217" s="39">
        <f t="shared" si="55"/>
        <v>250</v>
      </c>
    </row>
    <row r="218" spans="1:7" ht="38.25">
      <c r="A218" s="82" t="s">
        <v>477</v>
      </c>
      <c r="B218" s="16"/>
      <c r="C218" s="97" t="s">
        <v>159</v>
      </c>
      <c r="D218" s="41">
        <f t="shared" si="55"/>
        <v>261</v>
      </c>
      <c r="E218" s="41">
        <f t="shared" si="55"/>
        <v>250</v>
      </c>
      <c r="F218" s="41">
        <f t="shared" si="55"/>
        <v>250</v>
      </c>
    </row>
    <row r="219" spans="1:7" ht="38.25">
      <c r="A219" s="82" t="s">
        <v>477</v>
      </c>
      <c r="B219" s="82" t="s">
        <v>214</v>
      </c>
      <c r="C219" s="98" t="s">
        <v>215</v>
      </c>
      <c r="D219" s="41">
        <f>250+40-29</f>
        <v>261</v>
      </c>
      <c r="E219" s="41">
        <v>250</v>
      </c>
      <c r="F219" s="41">
        <v>250</v>
      </c>
    </row>
    <row r="220" spans="1:7" ht="51.75" customHeight="1">
      <c r="A220" s="21" t="s">
        <v>249</v>
      </c>
      <c r="B220" s="82"/>
      <c r="C220" s="99" t="s">
        <v>250</v>
      </c>
      <c r="D220" s="41">
        <f>D221+D223+D225</f>
        <v>27172.9</v>
      </c>
      <c r="E220" s="41">
        <f>E221+E223+E225</f>
        <v>7690</v>
      </c>
      <c r="F220" s="41">
        <f>F221+F223+F225</f>
        <v>7690</v>
      </c>
    </row>
    <row r="221" spans="1:7" ht="51">
      <c r="A221" s="136" t="s">
        <v>478</v>
      </c>
      <c r="B221" s="16"/>
      <c r="C221" s="97" t="s">
        <v>160</v>
      </c>
      <c r="D221" s="41">
        <f>D222</f>
        <v>171</v>
      </c>
      <c r="E221" s="41">
        <f>E222</f>
        <v>100</v>
      </c>
      <c r="F221" s="41">
        <f>F222</f>
        <v>100</v>
      </c>
    </row>
    <row r="222" spans="1:7" ht="38.25">
      <c r="A222" s="136" t="s">
        <v>478</v>
      </c>
      <c r="B222" s="82" t="s">
        <v>214</v>
      </c>
      <c r="C222" s="98" t="s">
        <v>215</v>
      </c>
      <c r="D222" s="41">
        <f>100+29+42</f>
        <v>171</v>
      </c>
      <c r="E222" s="41">
        <v>100</v>
      </c>
      <c r="F222" s="41">
        <v>100</v>
      </c>
    </row>
    <row r="223" spans="1:7" ht="76.5">
      <c r="A223" s="136" t="s">
        <v>479</v>
      </c>
      <c r="B223" s="16"/>
      <c r="C223" s="97" t="s">
        <v>161</v>
      </c>
      <c r="D223" s="41">
        <f>D224</f>
        <v>324.8</v>
      </c>
      <c r="E223" s="41">
        <f>E224</f>
        <v>100</v>
      </c>
      <c r="F223" s="41">
        <f>F224</f>
        <v>100</v>
      </c>
    </row>
    <row r="224" spans="1:7" ht="38.25">
      <c r="A224" s="136" t="s">
        <v>479</v>
      </c>
      <c r="B224" s="82" t="s">
        <v>214</v>
      </c>
      <c r="C224" s="98" t="s">
        <v>215</v>
      </c>
      <c r="D224" s="41">
        <f>330-5.2</f>
        <v>324.8</v>
      </c>
      <c r="E224" s="41">
        <v>100</v>
      </c>
      <c r="F224" s="41">
        <v>100</v>
      </c>
    </row>
    <row r="225" spans="1:6" ht="38.25">
      <c r="A225" s="74">
        <v>310223174</v>
      </c>
      <c r="B225" s="16"/>
      <c r="C225" s="97" t="s">
        <v>162</v>
      </c>
      <c r="D225" s="41">
        <f>SUM(D226:D227)</f>
        <v>26677.100000000002</v>
      </c>
      <c r="E225" s="41">
        <f t="shared" ref="E225:F225" si="56">SUM(E226:E227)</f>
        <v>7490</v>
      </c>
      <c r="F225" s="41">
        <f t="shared" si="56"/>
        <v>7490</v>
      </c>
    </row>
    <row r="226" spans="1:6" ht="38.25">
      <c r="A226" s="74">
        <v>310223174</v>
      </c>
      <c r="B226" s="82" t="s">
        <v>214</v>
      </c>
      <c r="C226" s="98" t="s">
        <v>215</v>
      </c>
      <c r="D226" s="41">
        <f>9373.3+1497.8+15466.2+97.4+222.5-36.8</f>
        <v>26620.400000000001</v>
      </c>
      <c r="E226" s="41">
        <v>7490</v>
      </c>
      <c r="F226" s="41">
        <v>7490</v>
      </c>
    </row>
    <row r="227" spans="1:6">
      <c r="A227" s="74">
        <v>310223174</v>
      </c>
      <c r="B227" s="82" t="s">
        <v>132</v>
      </c>
      <c r="C227" s="98" t="s">
        <v>133</v>
      </c>
      <c r="D227" s="41">
        <f>16.3+40.4</f>
        <v>56.7</v>
      </c>
      <c r="E227" s="41">
        <v>0</v>
      </c>
      <c r="F227" s="41">
        <v>0</v>
      </c>
    </row>
    <row r="228" spans="1:6" ht="38.25">
      <c r="A228" s="52" t="s">
        <v>164</v>
      </c>
      <c r="B228" s="16"/>
      <c r="C228" s="48" t="s">
        <v>163</v>
      </c>
      <c r="D228" s="93">
        <f>D229+D232</f>
        <v>4379.3</v>
      </c>
      <c r="E228" s="93">
        <f>E229+E232</f>
        <v>1683.5</v>
      </c>
      <c r="F228" s="93">
        <f>F229+F232</f>
        <v>2336.1</v>
      </c>
    </row>
    <row r="229" spans="1:6" ht="63.75">
      <c r="A229" s="21" t="s">
        <v>251</v>
      </c>
      <c r="B229" s="16"/>
      <c r="C229" s="99" t="s">
        <v>315</v>
      </c>
      <c r="D229" s="41">
        <f t="shared" ref="D229:F230" si="57">D230</f>
        <v>165.1</v>
      </c>
      <c r="E229" s="41">
        <f t="shared" si="57"/>
        <v>147.5</v>
      </c>
      <c r="F229" s="41">
        <f t="shared" si="57"/>
        <v>140.19999999999999</v>
      </c>
    </row>
    <row r="230" spans="1:6" ht="51">
      <c r="A230" s="21" t="s">
        <v>480</v>
      </c>
      <c r="B230" s="30"/>
      <c r="C230" s="97" t="s">
        <v>165</v>
      </c>
      <c r="D230" s="41">
        <f t="shared" si="57"/>
        <v>165.1</v>
      </c>
      <c r="E230" s="41">
        <f t="shared" si="57"/>
        <v>147.5</v>
      </c>
      <c r="F230" s="41">
        <f t="shared" si="57"/>
        <v>140.19999999999999</v>
      </c>
    </row>
    <row r="231" spans="1:6" ht="38.25">
      <c r="A231" s="21" t="s">
        <v>480</v>
      </c>
      <c r="B231" s="82" t="s">
        <v>214</v>
      </c>
      <c r="C231" s="98" t="s">
        <v>215</v>
      </c>
      <c r="D231" s="39">
        <f>164+1.1</f>
        <v>165.1</v>
      </c>
      <c r="E231" s="39">
        <f>164-16.5</f>
        <v>147.5</v>
      </c>
      <c r="F231" s="39">
        <f>164-23.8</f>
        <v>140.19999999999999</v>
      </c>
    </row>
    <row r="232" spans="1:6" ht="25.5">
      <c r="A232" s="21" t="s">
        <v>349</v>
      </c>
      <c r="B232" s="82"/>
      <c r="C232" s="99" t="s">
        <v>345</v>
      </c>
      <c r="D232" s="41">
        <f>D233+D235+D237</f>
        <v>4214.2</v>
      </c>
      <c r="E232" s="41">
        <f t="shared" ref="E232:F232" si="58">E233+E235+E237</f>
        <v>1536</v>
      </c>
      <c r="F232" s="41">
        <f t="shared" si="58"/>
        <v>2195.9</v>
      </c>
    </row>
    <row r="233" spans="1:6" ht="38.25">
      <c r="A233" s="82" t="s">
        <v>481</v>
      </c>
      <c r="B233" s="30"/>
      <c r="C233" s="97" t="s">
        <v>168</v>
      </c>
      <c r="D233" s="41">
        <f>D234</f>
        <v>27.9</v>
      </c>
      <c r="E233" s="41">
        <f t="shared" ref="E233:F233" si="59">E234</f>
        <v>36</v>
      </c>
      <c r="F233" s="41">
        <f t="shared" si="59"/>
        <v>36</v>
      </c>
    </row>
    <row r="234" spans="1:6" ht="38.25">
      <c r="A234" s="82" t="s">
        <v>481</v>
      </c>
      <c r="B234" s="82" t="s">
        <v>214</v>
      </c>
      <c r="C234" s="98" t="s">
        <v>215</v>
      </c>
      <c r="D234" s="41">
        <f>36-8.1</f>
        <v>27.9</v>
      </c>
      <c r="E234" s="41">
        <v>36</v>
      </c>
      <c r="F234" s="41">
        <v>36</v>
      </c>
    </row>
    <row r="235" spans="1:6" ht="54" customHeight="1">
      <c r="A235" s="82" t="s">
        <v>661</v>
      </c>
      <c r="B235" s="82"/>
      <c r="C235" s="98" t="s">
        <v>665</v>
      </c>
      <c r="D235" s="41">
        <f>D236</f>
        <v>213.3</v>
      </c>
      <c r="E235" s="41">
        <f t="shared" ref="E235:F235" si="60">E236</f>
        <v>0</v>
      </c>
      <c r="F235" s="41">
        <f t="shared" si="60"/>
        <v>0</v>
      </c>
    </row>
    <row r="236" spans="1:6" ht="38.25">
      <c r="A236" s="82" t="s">
        <v>661</v>
      </c>
      <c r="B236" s="82" t="s">
        <v>214</v>
      </c>
      <c r="C236" s="98" t="s">
        <v>215</v>
      </c>
      <c r="D236" s="41">
        <f>250-43.7+7</f>
        <v>213.3</v>
      </c>
      <c r="E236" s="41">
        <v>0</v>
      </c>
      <c r="F236" s="41">
        <v>0</v>
      </c>
    </row>
    <row r="237" spans="1:6" ht="27" customHeight="1">
      <c r="A237" s="21" t="s">
        <v>683</v>
      </c>
      <c r="B237" s="16"/>
      <c r="C237" s="99" t="s">
        <v>752</v>
      </c>
      <c r="D237" s="39">
        <f>D238</f>
        <v>3973</v>
      </c>
      <c r="E237" s="39">
        <f t="shared" ref="E237:F237" si="61">E238</f>
        <v>1500</v>
      </c>
      <c r="F237" s="39">
        <f t="shared" si="61"/>
        <v>2159.9</v>
      </c>
    </row>
    <row r="238" spans="1:6" ht="38.25">
      <c r="A238" s="21" t="s">
        <v>683</v>
      </c>
      <c r="B238" s="82" t="s">
        <v>214</v>
      </c>
      <c r="C238" s="98" t="s">
        <v>215</v>
      </c>
      <c r="D238" s="39">
        <f>43.7+3929.3</f>
        <v>3973</v>
      </c>
      <c r="E238" s="39">
        <f>16.5+1483.5</f>
        <v>1500</v>
      </c>
      <c r="F238" s="39">
        <f>23.8+2136.1</f>
        <v>2159.9</v>
      </c>
    </row>
    <row r="239" spans="1:6" ht="75.75" customHeight="1">
      <c r="A239" s="76">
        <v>400000000</v>
      </c>
      <c r="B239" s="30"/>
      <c r="C239" s="142" t="s">
        <v>619</v>
      </c>
      <c r="D239" s="96">
        <f>D240+D264+D279</f>
        <v>23211.5</v>
      </c>
      <c r="E239" s="96">
        <f t="shared" ref="E239:F239" si="62">E240+E264+E279</f>
        <v>10399.1</v>
      </c>
      <c r="F239" s="96">
        <f t="shared" si="62"/>
        <v>11727.6</v>
      </c>
    </row>
    <row r="240" spans="1:6" ht="51">
      <c r="A240" s="75">
        <v>410000000</v>
      </c>
      <c r="B240" s="30"/>
      <c r="C240" s="46" t="s">
        <v>482</v>
      </c>
      <c r="D240" s="93">
        <f>D241+D244+D253</f>
        <v>3002.3</v>
      </c>
      <c r="E240" s="93">
        <f t="shared" ref="E240:F240" si="63">E241+E244+E253</f>
        <v>1533</v>
      </c>
      <c r="F240" s="93">
        <f t="shared" si="63"/>
        <v>1533</v>
      </c>
    </row>
    <row r="241" spans="1:6" ht="38.25">
      <c r="A241" s="74">
        <v>410100000</v>
      </c>
      <c r="B241" s="30"/>
      <c r="C241" s="97" t="s">
        <v>483</v>
      </c>
      <c r="D241" s="93">
        <f t="shared" ref="D241:F242" si="64">D242</f>
        <v>1048.8</v>
      </c>
      <c r="E241" s="93">
        <f t="shared" si="64"/>
        <v>63</v>
      </c>
      <c r="F241" s="93">
        <f t="shared" si="64"/>
        <v>63</v>
      </c>
    </row>
    <row r="242" spans="1:6" ht="25.5">
      <c r="A242" s="136" t="s">
        <v>706</v>
      </c>
      <c r="B242" s="16"/>
      <c r="C242" s="99" t="s">
        <v>170</v>
      </c>
      <c r="D242" s="39">
        <f t="shared" si="64"/>
        <v>1048.8</v>
      </c>
      <c r="E242" s="39">
        <f t="shared" si="64"/>
        <v>63</v>
      </c>
      <c r="F242" s="39">
        <f t="shared" si="64"/>
        <v>63</v>
      </c>
    </row>
    <row r="243" spans="1:6" ht="38.25">
      <c r="A243" s="136" t="s">
        <v>706</v>
      </c>
      <c r="B243" s="82" t="s">
        <v>214</v>
      </c>
      <c r="C243" s="98" t="s">
        <v>215</v>
      </c>
      <c r="D243" s="39">
        <f>1382.3-333.5</f>
        <v>1048.8</v>
      </c>
      <c r="E243" s="39">
        <v>63</v>
      </c>
      <c r="F243" s="39">
        <v>63</v>
      </c>
    </row>
    <row r="244" spans="1:6" ht="51">
      <c r="A244" s="74">
        <v>410200000</v>
      </c>
      <c r="B244" s="30"/>
      <c r="C244" s="97" t="s">
        <v>487</v>
      </c>
      <c r="D244" s="39">
        <f>D245+D247+D249+D251</f>
        <v>167.5</v>
      </c>
      <c r="E244" s="39">
        <f t="shared" ref="E244:F244" si="65">E245+E247+E249+E251</f>
        <v>70</v>
      </c>
      <c r="F244" s="39">
        <f t="shared" si="65"/>
        <v>70</v>
      </c>
    </row>
    <row r="245" spans="1:6" ht="68.25" customHeight="1">
      <c r="A245" s="136" t="s">
        <v>699</v>
      </c>
      <c r="B245" s="82"/>
      <c r="C245" s="98" t="s">
        <v>639</v>
      </c>
      <c r="D245" s="39">
        <f t="shared" ref="D245:F245" si="66">D246</f>
        <v>50</v>
      </c>
      <c r="E245" s="39">
        <f t="shared" si="66"/>
        <v>50</v>
      </c>
      <c r="F245" s="39">
        <f t="shared" si="66"/>
        <v>50</v>
      </c>
    </row>
    <row r="246" spans="1:6" ht="38.25">
      <c r="A246" s="136" t="s">
        <v>699</v>
      </c>
      <c r="B246" s="82" t="s">
        <v>214</v>
      </c>
      <c r="C246" s="98" t="s">
        <v>215</v>
      </c>
      <c r="D246" s="39">
        <v>50</v>
      </c>
      <c r="E246" s="39">
        <v>50</v>
      </c>
      <c r="F246" s="39">
        <v>50</v>
      </c>
    </row>
    <row r="247" spans="1:6" ht="27" customHeight="1">
      <c r="A247" s="136" t="s">
        <v>698</v>
      </c>
      <c r="B247" s="82"/>
      <c r="C247" s="98" t="s">
        <v>485</v>
      </c>
      <c r="D247" s="39">
        <f>D248</f>
        <v>30</v>
      </c>
      <c r="E247" s="39">
        <f>E248</f>
        <v>20</v>
      </c>
      <c r="F247" s="39">
        <f>F248</f>
        <v>20</v>
      </c>
    </row>
    <row r="248" spans="1:6" ht="38.25">
      <c r="A248" s="136" t="s">
        <v>698</v>
      </c>
      <c r="B248" s="82" t="s">
        <v>214</v>
      </c>
      <c r="C248" s="98" t="s">
        <v>215</v>
      </c>
      <c r="D248" s="39">
        <v>30</v>
      </c>
      <c r="E248" s="39">
        <v>20</v>
      </c>
      <c r="F248" s="39">
        <v>20</v>
      </c>
    </row>
    <row r="249" spans="1:6" ht="38.25">
      <c r="A249" s="136" t="s">
        <v>697</v>
      </c>
      <c r="B249" s="82"/>
      <c r="C249" s="98" t="s">
        <v>640</v>
      </c>
      <c r="D249" s="39">
        <f>D250</f>
        <v>82.5</v>
      </c>
      <c r="E249" s="39">
        <f t="shared" ref="E249:F249" si="67">E250</f>
        <v>0</v>
      </c>
      <c r="F249" s="39">
        <f t="shared" si="67"/>
        <v>0</v>
      </c>
    </row>
    <row r="250" spans="1:6" ht="38.25">
      <c r="A250" s="136" t="s">
        <v>697</v>
      </c>
      <c r="B250" s="82" t="s">
        <v>214</v>
      </c>
      <c r="C250" s="98" t="s">
        <v>215</v>
      </c>
      <c r="D250" s="39">
        <v>82.5</v>
      </c>
      <c r="E250" s="39">
        <v>0</v>
      </c>
      <c r="F250" s="39">
        <v>0</v>
      </c>
    </row>
    <row r="251" spans="1:6">
      <c r="A251" s="136" t="s">
        <v>700</v>
      </c>
      <c r="B251" s="82"/>
      <c r="C251" s="98" t="s">
        <v>641</v>
      </c>
      <c r="D251" s="39">
        <f>D252</f>
        <v>5</v>
      </c>
      <c r="E251" s="39">
        <f t="shared" ref="E251:F251" si="68">E252</f>
        <v>0</v>
      </c>
      <c r="F251" s="39">
        <f t="shared" si="68"/>
        <v>0</v>
      </c>
    </row>
    <row r="252" spans="1:6" ht="38.25">
      <c r="A252" s="136" t="s">
        <v>700</v>
      </c>
      <c r="B252" s="82" t="s">
        <v>214</v>
      </c>
      <c r="C252" s="98" t="s">
        <v>215</v>
      </c>
      <c r="D252" s="39">
        <v>5</v>
      </c>
      <c r="E252" s="39">
        <v>0</v>
      </c>
      <c r="F252" s="39">
        <v>0</v>
      </c>
    </row>
    <row r="253" spans="1:6" ht="38.25">
      <c r="A253" s="136" t="s">
        <v>489</v>
      </c>
      <c r="B253" s="82"/>
      <c r="C253" s="97" t="s">
        <v>488</v>
      </c>
      <c r="D253" s="39">
        <f>D254+D256+D258+D260+D262</f>
        <v>1786</v>
      </c>
      <c r="E253" s="39">
        <f t="shared" ref="E253:F253" si="69">E254+E256+E258+E260+E262</f>
        <v>1400</v>
      </c>
      <c r="F253" s="39">
        <f t="shared" si="69"/>
        <v>1400</v>
      </c>
    </row>
    <row r="254" spans="1:6" ht="52.5" customHeight="1">
      <c r="A254" s="136" t="s">
        <v>701</v>
      </c>
      <c r="B254" s="82"/>
      <c r="C254" s="98" t="s">
        <v>642</v>
      </c>
      <c r="D254" s="39">
        <f>D255</f>
        <v>150</v>
      </c>
      <c r="E254" s="39">
        <f t="shared" ref="E254:F254" si="70">E255</f>
        <v>100</v>
      </c>
      <c r="F254" s="39">
        <f t="shared" si="70"/>
        <v>100</v>
      </c>
    </row>
    <row r="255" spans="1:6" ht="63.75">
      <c r="A255" s="136" t="s">
        <v>701</v>
      </c>
      <c r="B255" s="16" t="s">
        <v>12</v>
      </c>
      <c r="C255" s="98" t="s">
        <v>374</v>
      </c>
      <c r="D255" s="39">
        <v>150</v>
      </c>
      <c r="E255" s="39">
        <v>100</v>
      </c>
      <c r="F255" s="39">
        <v>100</v>
      </c>
    </row>
    <row r="256" spans="1:6" ht="61.5" customHeight="1">
      <c r="A256" s="136" t="s">
        <v>702</v>
      </c>
      <c r="B256" s="82"/>
      <c r="C256" s="98" t="s">
        <v>490</v>
      </c>
      <c r="D256" s="39">
        <f>D257</f>
        <v>500</v>
      </c>
      <c r="E256" s="39">
        <f t="shared" ref="E256:F256" si="71">E257</f>
        <v>500</v>
      </c>
      <c r="F256" s="39">
        <f t="shared" si="71"/>
        <v>500</v>
      </c>
    </row>
    <row r="257" spans="1:6" ht="63.75">
      <c r="A257" s="136" t="s">
        <v>702</v>
      </c>
      <c r="B257" s="16" t="s">
        <v>12</v>
      </c>
      <c r="C257" s="98" t="s">
        <v>374</v>
      </c>
      <c r="D257" s="39">
        <f>1000-500</f>
        <v>500</v>
      </c>
      <c r="E257" s="39">
        <v>500</v>
      </c>
      <c r="F257" s="39">
        <v>500</v>
      </c>
    </row>
    <row r="258" spans="1:6" ht="88.5" customHeight="1">
      <c r="A258" s="136" t="s">
        <v>703</v>
      </c>
      <c r="B258" s="82"/>
      <c r="C258" s="98" t="s">
        <v>491</v>
      </c>
      <c r="D258" s="39">
        <f>D259</f>
        <v>80</v>
      </c>
      <c r="E258" s="39">
        <f t="shared" ref="E258:F258" si="72">E259</f>
        <v>100</v>
      </c>
      <c r="F258" s="39">
        <f t="shared" si="72"/>
        <v>100</v>
      </c>
    </row>
    <row r="259" spans="1:6" ht="63.75">
      <c r="A259" s="136" t="s">
        <v>703</v>
      </c>
      <c r="B259" s="16" t="s">
        <v>12</v>
      </c>
      <c r="C259" s="98" t="s">
        <v>374</v>
      </c>
      <c r="D259" s="39">
        <v>80</v>
      </c>
      <c r="E259" s="39">
        <v>100</v>
      </c>
      <c r="F259" s="39">
        <v>100</v>
      </c>
    </row>
    <row r="260" spans="1:6" ht="81" customHeight="1">
      <c r="A260" s="136" t="s">
        <v>704</v>
      </c>
      <c r="B260" s="82"/>
      <c r="C260" s="98" t="s">
        <v>492</v>
      </c>
      <c r="D260" s="39">
        <f>D261</f>
        <v>700</v>
      </c>
      <c r="E260" s="39">
        <f t="shared" ref="E260:F260" si="73">E261</f>
        <v>700</v>
      </c>
      <c r="F260" s="39">
        <f t="shared" si="73"/>
        <v>700</v>
      </c>
    </row>
    <row r="261" spans="1:6" ht="63.75">
      <c r="A261" s="136" t="s">
        <v>704</v>
      </c>
      <c r="B261" s="16" t="s">
        <v>12</v>
      </c>
      <c r="C261" s="98" t="s">
        <v>374</v>
      </c>
      <c r="D261" s="39">
        <v>700</v>
      </c>
      <c r="E261" s="39">
        <v>700</v>
      </c>
      <c r="F261" s="39">
        <v>700</v>
      </c>
    </row>
    <row r="262" spans="1:6" ht="80.25" customHeight="1">
      <c r="A262" s="136" t="s">
        <v>705</v>
      </c>
      <c r="B262" s="16"/>
      <c r="C262" s="98" t="s">
        <v>643</v>
      </c>
      <c r="D262" s="39">
        <f>D263</f>
        <v>356</v>
      </c>
      <c r="E262" s="39">
        <f t="shared" ref="E262:F262" si="74">E263</f>
        <v>0</v>
      </c>
      <c r="F262" s="39">
        <f t="shared" si="74"/>
        <v>0</v>
      </c>
    </row>
    <row r="263" spans="1:6" ht="63.75">
      <c r="A263" s="136" t="s">
        <v>705</v>
      </c>
      <c r="B263" s="16" t="s">
        <v>12</v>
      </c>
      <c r="C263" s="98" t="s">
        <v>374</v>
      </c>
      <c r="D263" s="39">
        <v>356</v>
      </c>
      <c r="E263" s="39">
        <v>0</v>
      </c>
      <c r="F263" s="39">
        <v>0</v>
      </c>
    </row>
    <row r="264" spans="1:6" ht="51">
      <c r="A264" s="75">
        <v>420000000</v>
      </c>
      <c r="B264" s="30"/>
      <c r="C264" s="46" t="s">
        <v>235</v>
      </c>
      <c r="D264" s="93">
        <f>D265+D274</f>
        <v>3836.5</v>
      </c>
      <c r="E264" s="93">
        <f t="shared" ref="E264:F264" si="75">E265+E274</f>
        <v>3536.5</v>
      </c>
      <c r="F264" s="93">
        <f t="shared" si="75"/>
        <v>3536.5</v>
      </c>
    </row>
    <row r="265" spans="1:6" ht="102">
      <c r="A265" s="74">
        <v>420100000</v>
      </c>
      <c r="B265" s="16"/>
      <c r="C265" s="97" t="s">
        <v>493</v>
      </c>
      <c r="D265" s="41">
        <f>D266+D268+D270+D272</f>
        <v>2824.4</v>
      </c>
      <c r="E265" s="41">
        <f t="shared" ref="E265:F265" si="76">E266+E268+E270+E272</f>
        <v>2524.4</v>
      </c>
      <c r="F265" s="41">
        <f t="shared" si="76"/>
        <v>2524.4</v>
      </c>
    </row>
    <row r="266" spans="1:6" ht="38.25">
      <c r="A266" s="74" t="s">
        <v>494</v>
      </c>
      <c r="B266" s="16"/>
      <c r="C266" s="98" t="s">
        <v>361</v>
      </c>
      <c r="D266" s="41">
        <f>D267</f>
        <v>600</v>
      </c>
      <c r="E266" s="41">
        <f t="shared" ref="E266:F266" si="77">E267</f>
        <v>300</v>
      </c>
      <c r="F266" s="41">
        <f t="shared" si="77"/>
        <v>300</v>
      </c>
    </row>
    <row r="267" spans="1:6" ht="63.75">
      <c r="A267" s="74" t="s">
        <v>494</v>
      </c>
      <c r="B267" s="16" t="s">
        <v>19</v>
      </c>
      <c r="C267" s="99" t="s">
        <v>369</v>
      </c>
      <c r="D267" s="41">
        <v>600</v>
      </c>
      <c r="E267" s="41">
        <v>300</v>
      </c>
      <c r="F267" s="41">
        <v>300</v>
      </c>
    </row>
    <row r="268" spans="1:6" ht="75.75" customHeight="1">
      <c r="A268" s="74">
        <v>420123230</v>
      </c>
      <c r="B268" s="16"/>
      <c r="C268" s="99" t="s">
        <v>495</v>
      </c>
      <c r="D268" s="41">
        <f>D269</f>
        <v>1200</v>
      </c>
      <c r="E268" s="41">
        <f t="shared" ref="E268:F268" si="78">E269</f>
        <v>1300</v>
      </c>
      <c r="F268" s="41">
        <f t="shared" si="78"/>
        <v>1300</v>
      </c>
    </row>
    <row r="269" spans="1:6" ht="38.25">
      <c r="A269" s="74">
        <v>420123230</v>
      </c>
      <c r="B269" s="82" t="s">
        <v>214</v>
      </c>
      <c r="C269" s="98" t="s">
        <v>215</v>
      </c>
      <c r="D269" s="41">
        <v>1200</v>
      </c>
      <c r="E269" s="41">
        <v>1300</v>
      </c>
      <c r="F269" s="41">
        <v>1300</v>
      </c>
    </row>
    <row r="270" spans="1:6" ht="38.25">
      <c r="A270" s="74">
        <v>420110320</v>
      </c>
      <c r="B270" s="1"/>
      <c r="C270" s="135" t="s">
        <v>496</v>
      </c>
      <c r="D270" s="41">
        <f>D271</f>
        <v>924.4</v>
      </c>
      <c r="E270" s="41">
        <f t="shared" ref="E270:F270" si="79">E271</f>
        <v>924.4</v>
      </c>
      <c r="F270" s="41">
        <f t="shared" si="79"/>
        <v>924.4</v>
      </c>
    </row>
    <row r="271" spans="1:6" ht="63.75">
      <c r="A271" s="74">
        <v>420110320</v>
      </c>
      <c r="B271" s="16" t="s">
        <v>19</v>
      </c>
      <c r="C271" s="99" t="s">
        <v>369</v>
      </c>
      <c r="D271" s="41">
        <f>895.5+28.9</f>
        <v>924.4</v>
      </c>
      <c r="E271" s="41">
        <f t="shared" ref="E271:F271" si="80">895.5+28.9</f>
        <v>924.4</v>
      </c>
      <c r="F271" s="41">
        <f t="shared" si="80"/>
        <v>924.4</v>
      </c>
    </row>
    <row r="272" spans="1:6" ht="37.5" customHeight="1">
      <c r="A272" s="74" t="s">
        <v>498</v>
      </c>
      <c r="B272" s="16"/>
      <c r="C272" s="99" t="s">
        <v>499</v>
      </c>
      <c r="D272" s="41">
        <f>D273</f>
        <v>100</v>
      </c>
      <c r="E272" s="41">
        <f t="shared" ref="E272:F272" si="81">E273</f>
        <v>0</v>
      </c>
      <c r="F272" s="41">
        <f t="shared" si="81"/>
        <v>0</v>
      </c>
    </row>
    <row r="273" spans="1:6" ht="63.75">
      <c r="A273" s="74" t="s">
        <v>498</v>
      </c>
      <c r="B273" s="16" t="s">
        <v>19</v>
      </c>
      <c r="C273" s="99" t="s">
        <v>369</v>
      </c>
      <c r="D273" s="41">
        <v>100</v>
      </c>
      <c r="E273" s="41">
        <v>0</v>
      </c>
      <c r="F273" s="41">
        <v>0</v>
      </c>
    </row>
    <row r="274" spans="1:6" ht="102" customHeight="1">
      <c r="A274" s="74">
        <v>420200000</v>
      </c>
      <c r="B274" s="16"/>
      <c r="C274" s="97" t="s">
        <v>497</v>
      </c>
      <c r="D274" s="41">
        <f>D275+D277</f>
        <v>1012.0999999999999</v>
      </c>
      <c r="E274" s="41">
        <f t="shared" ref="E274:F274" si="82">E275+E277</f>
        <v>1012.0999999999999</v>
      </c>
      <c r="F274" s="41">
        <f t="shared" si="82"/>
        <v>1012.0999999999999</v>
      </c>
    </row>
    <row r="275" spans="1:6" ht="76.5">
      <c r="A275" s="74">
        <v>420223235</v>
      </c>
      <c r="B275" s="30"/>
      <c r="C275" s="98" t="s">
        <v>171</v>
      </c>
      <c r="D275" s="41">
        <f>D276</f>
        <v>575.29999999999995</v>
      </c>
      <c r="E275" s="41">
        <f>E276</f>
        <v>575.29999999999995</v>
      </c>
      <c r="F275" s="41">
        <f>F276</f>
        <v>575.29999999999995</v>
      </c>
    </row>
    <row r="276" spans="1:6" ht="38.25">
      <c r="A276" s="74">
        <v>420223235</v>
      </c>
      <c r="B276" s="82" t="s">
        <v>214</v>
      </c>
      <c r="C276" s="98" t="s">
        <v>215</v>
      </c>
      <c r="D276" s="41">
        <v>575.29999999999995</v>
      </c>
      <c r="E276" s="41">
        <v>575.29999999999995</v>
      </c>
      <c r="F276" s="41">
        <v>575.29999999999995</v>
      </c>
    </row>
    <row r="277" spans="1:6" ht="76.5">
      <c r="A277" s="74">
        <v>420223240</v>
      </c>
      <c r="B277" s="82"/>
      <c r="C277" s="98" t="s">
        <v>207</v>
      </c>
      <c r="D277" s="41">
        <f>D278</f>
        <v>436.8</v>
      </c>
      <c r="E277" s="41">
        <f t="shared" ref="E277:F277" si="83">E278</f>
        <v>436.8</v>
      </c>
      <c r="F277" s="41">
        <f t="shared" si="83"/>
        <v>436.8</v>
      </c>
    </row>
    <row r="278" spans="1:6" ht="38.25">
      <c r="A278" s="74">
        <v>420223240</v>
      </c>
      <c r="B278" s="82" t="s">
        <v>214</v>
      </c>
      <c r="C278" s="98" t="s">
        <v>215</v>
      </c>
      <c r="D278" s="41">
        <v>436.8</v>
      </c>
      <c r="E278" s="41">
        <v>436.8</v>
      </c>
      <c r="F278" s="41">
        <v>436.8</v>
      </c>
    </row>
    <row r="279" spans="1:6" ht="77.25" customHeight="1">
      <c r="A279" s="75">
        <v>430000000</v>
      </c>
      <c r="B279" s="16"/>
      <c r="C279" s="46" t="s">
        <v>733</v>
      </c>
      <c r="D279" s="39">
        <f>D280+D285</f>
        <v>16372.699999999999</v>
      </c>
      <c r="E279" s="39">
        <f>E280+E285</f>
        <v>5329.6</v>
      </c>
      <c r="F279" s="39">
        <f>F280+F285</f>
        <v>6658.1</v>
      </c>
    </row>
    <row r="280" spans="1:6" ht="51">
      <c r="A280" s="74">
        <v>430100000</v>
      </c>
      <c r="B280" s="30"/>
      <c r="C280" s="97" t="s">
        <v>236</v>
      </c>
      <c r="D280" s="39">
        <f>D281+D283</f>
        <v>1180.9000000000001</v>
      </c>
      <c r="E280" s="39">
        <f t="shared" ref="E280:F280" si="84">E281+E283</f>
        <v>1180.9000000000001</v>
      </c>
      <c r="F280" s="39">
        <f t="shared" si="84"/>
        <v>1180.9000000000001</v>
      </c>
    </row>
    <row r="281" spans="1:6" ht="102">
      <c r="A281" s="79">
        <v>430127310</v>
      </c>
      <c r="B281" s="16"/>
      <c r="C281" s="98" t="s">
        <v>638</v>
      </c>
      <c r="D281" s="41">
        <f>D282</f>
        <v>1000</v>
      </c>
      <c r="E281" s="41">
        <f>E282</f>
        <v>1000</v>
      </c>
      <c r="F281" s="41">
        <f>F282</f>
        <v>1000</v>
      </c>
    </row>
    <row r="282" spans="1:6" ht="63.75">
      <c r="A282" s="79">
        <v>430127310</v>
      </c>
      <c r="B282" s="16" t="s">
        <v>12</v>
      </c>
      <c r="C282" s="98" t="s">
        <v>326</v>
      </c>
      <c r="D282" s="41">
        <v>1000</v>
      </c>
      <c r="E282" s="41">
        <v>1000</v>
      </c>
      <c r="F282" s="41">
        <v>1000</v>
      </c>
    </row>
    <row r="283" spans="1:6" ht="102" customHeight="1">
      <c r="A283" s="79">
        <v>430127320</v>
      </c>
      <c r="B283" s="16"/>
      <c r="C283" s="98" t="s">
        <v>502</v>
      </c>
      <c r="D283" s="41">
        <f>D284</f>
        <v>180.9</v>
      </c>
      <c r="E283" s="41">
        <f t="shared" ref="E283:F283" si="85">E284</f>
        <v>180.9</v>
      </c>
      <c r="F283" s="41">
        <f t="shared" si="85"/>
        <v>180.9</v>
      </c>
    </row>
    <row r="284" spans="1:6" ht="63.75">
      <c r="A284" s="79">
        <v>430127320</v>
      </c>
      <c r="B284" s="16" t="s">
        <v>12</v>
      </c>
      <c r="C284" s="98" t="s">
        <v>326</v>
      </c>
      <c r="D284" s="41">
        <v>180.9</v>
      </c>
      <c r="E284" s="41">
        <v>180.9</v>
      </c>
      <c r="F284" s="41">
        <v>180.9</v>
      </c>
    </row>
    <row r="285" spans="1:6" ht="38.25">
      <c r="A285" s="74">
        <v>430200000</v>
      </c>
      <c r="B285" s="82"/>
      <c r="C285" s="97" t="s">
        <v>298</v>
      </c>
      <c r="D285" s="41">
        <f>D286+D288+D290+D292+D294+D296</f>
        <v>15191.8</v>
      </c>
      <c r="E285" s="41">
        <f t="shared" ref="E285:F285" si="86">E286+E288+E290+E292+E294+E296</f>
        <v>4148.7</v>
      </c>
      <c r="F285" s="41">
        <f t="shared" si="86"/>
        <v>5477.2</v>
      </c>
    </row>
    <row r="286" spans="1:6" ht="102">
      <c r="A286" s="74">
        <v>430227340</v>
      </c>
      <c r="B286" s="16"/>
      <c r="C286" s="98" t="s">
        <v>657</v>
      </c>
      <c r="D286" s="39">
        <f>D287</f>
        <v>1720</v>
      </c>
      <c r="E286" s="39">
        <f t="shared" ref="E286:F286" si="87">E287</f>
        <v>1250</v>
      </c>
      <c r="F286" s="39">
        <f t="shared" si="87"/>
        <v>1720</v>
      </c>
    </row>
    <row r="287" spans="1:6" ht="63.75">
      <c r="A287" s="74">
        <v>430227340</v>
      </c>
      <c r="B287" s="16" t="s">
        <v>12</v>
      </c>
      <c r="C287" s="98" t="s">
        <v>326</v>
      </c>
      <c r="D287" s="39">
        <v>1720</v>
      </c>
      <c r="E287" s="39">
        <v>1250</v>
      </c>
      <c r="F287" s="39">
        <v>1720</v>
      </c>
    </row>
    <row r="288" spans="1:6" ht="114.75">
      <c r="A288" s="74">
        <v>430227350</v>
      </c>
      <c r="B288" s="16"/>
      <c r="C288" s="98" t="s">
        <v>644</v>
      </c>
      <c r="D288" s="39">
        <f>D289</f>
        <v>21.7</v>
      </c>
      <c r="E288" s="39">
        <f t="shared" ref="E288:F288" si="88">E289</f>
        <v>0</v>
      </c>
      <c r="F288" s="39">
        <f t="shared" si="88"/>
        <v>21.7</v>
      </c>
    </row>
    <row r="289" spans="1:6" ht="63.75">
      <c r="A289" s="74">
        <v>430227350</v>
      </c>
      <c r="B289" s="16" t="s">
        <v>12</v>
      </c>
      <c r="C289" s="98" t="s">
        <v>326</v>
      </c>
      <c r="D289" s="39">
        <v>21.7</v>
      </c>
      <c r="E289" s="39">
        <v>0</v>
      </c>
      <c r="F289" s="39">
        <v>21.7</v>
      </c>
    </row>
    <row r="290" spans="1:6" ht="114.75">
      <c r="A290" s="74">
        <v>430227360</v>
      </c>
      <c r="B290" s="16"/>
      <c r="C290" s="98" t="s">
        <v>645</v>
      </c>
      <c r="D290" s="39">
        <f>D291</f>
        <v>5227.7</v>
      </c>
      <c r="E290" s="39">
        <f t="shared" ref="E290:F290" si="89">E291</f>
        <v>0</v>
      </c>
      <c r="F290" s="39">
        <f t="shared" si="89"/>
        <v>1661.6</v>
      </c>
    </row>
    <row r="291" spans="1:6" ht="63.75">
      <c r="A291" s="74">
        <v>430227360</v>
      </c>
      <c r="B291" s="16" t="s">
        <v>12</v>
      </c>
      <c r="C291" s="98" t="s">
        <v>326</v>
      </c>
      <c r="D291" s="39">
        <v>5227.7</v>
      </c>
      <c r="E291" s="39">
        <v>0</v>
      </c>
      <c r="F291" s="39">
        <v>1661.6</v>
      </c>
    </row>
    <row r="292" spans="1:6" ht="165.75">
      <c r="A292" s="74">
        <v>430227370</v>
      </c>
      <c r="B292" s="16"/>
      <c r="C292" s="98" t="s">
        <v>658</v>
      </c>
      <c r="D292" s="39">
        <f>D293</f>
        <v>706.59999999999991</v>
      </c>
      <c r="E292" s="39">
        <f t="shared" ref="E292:F292" si="90">E293</f>
        <v>0</v>
      </c>
      <c r="F292" s="39">
        <f t="shared" si="90"/>
        <v>1107.7</v>
      </c>
    </row>
    <row r="293" spans="1:6" ht="63.75">
      <c r="A293" s="74">
        <v>430227370</v>
      </c>
      <c r="B293" s="16" t="s">
        <v>12</v>
      </c>
      <c r="C293" s="98" t="s">
        <v>326</v>
      </c>
      <c r="D293" s="39">
        <f>1606.6-900</f>
        <v>706.59999999999991</v>
      </c>
      <c r="E293" s="39">
        <v>0</v>
      </c>
      <c r="F293" s="39">
        <v>1107.7</v>
      </c>
    </row>
    <row r="294" spans="1:6" ht="113.25" customHeight="1">
      <c r="A294" s="74">
        <v>430227390</v>
      </c>
      <c r="B294" s="16"/>
      <c r="C294" s="98" t="s">
        <v>730</v>
      </c>
      <c r="D294" s="39">
        <f>D295</f>
        <v>3115.8</v>
      </c>
      <c r="E294" s="39">
        <f t="shared" ref="E294:F294" si="91">E295</f>
        <v>2898.7</v>
      </c>
      <c r="F294" s="39">
        <f t="shared" si="91"/>
        <v>966.2</v>
      </c>
    </row>
    <row r="295" spans="1:6" ht="63.75">
      <c r="A295" s="74">
        <v>430227390</v>
      </c>
      <c r="B295" s="16" t="s">
        <v>12</v>
      </c>
      <c r="C295" s="98" t="s">
        <v>326</v>
      </c>
      <c r="D295" s="39">
        <v>3115.8</v>
      </c>
      <c r="E295" s="39">
        <v>2898.7</v>
      </c>
      <c r="F295" s="39">
        <v>966.2</v>
      </c>
    </row>
    <row r="296" spans="1:6" s="169" customFormat="1" ht="102">
      <c r="A296" s="74">
        <v>430227400</v>
      </c>
      <c r="B296" s="16"/>
      <c r="C296" s="98" t="s">
        <v>774</v>
      </c>
      <c r="D296" s="39">
        <f>D297</f>
        <v>4400</v>
      </c>
      <c r="E296" s="39">
        <f t="shared" ref="E296:F296" si="92">E297</f>
        <v>0</v>
      </c>
      <c r="F296" s="39">
        <f t="shared" si="92"/>
        <v>0</v>
      </c>
    </row>
    <row r="297" spans="1:6" s="169" customFormat="1" ht="63.75">
      <c r="A297" s="74">
        <v>430227400</v>
      </c>
      <c r="B297" s="16" t="s">
        <v>12</v>
      </c>
      <c r="C297" s="98" t="s">
        <v>326</v>
      </c>
      <c r="D297" s="39">
        <v>4400</v>
      </c>
      <c r="E297" s="39">
        <v>0</v>
      </c>
      <c r="F297" s="39">
        <v>0</v>
      </c>
    </row>
    <row r="298" spans="1:6" ht="75.75" customHeight="1">
      <c r="A298" s="73" t="s">
        <v>155</v>
      </c>
      <c r="B298" s="16"/>
      <c r="C298" s="142" t="s">
        <v>618</v>
      </c>
      <c r="D298" s="96">
        <f>D299+D307+D323</f>
        <v>7602.2</v>
      </c>
      <c r="E298" s="96">
        <f>E299+E307+E323</f>
        <v>6043.9</v>
      </c>
      <c r="F298" s="96">
        <f>F299+F307+F323</f>
        <v>6087.8</v>
      </c>
    </row>
    <row r="299" spans="1:6" ht="38.25">
      <c r="A299" s="52" t="s">
        <v>151</v>
      </c>
      <c r="B299" s="16"/>
      <c r="C299" s="48" t="s">
        <v>302</v>
      </c>
      <c r="D299" s="93">
        <f>D300+D304</f>
        <v>1618</v>
      </c>
      <c r="E299" s="93">
        <f t="shared" ref="E299:F299" si="93">E300+E304</f>
        <v>906.1</v>
      </c>
      <c r="F299" s="93">
        <f t="shared" si="93"/>
        <v>950</v>
      </c>
    </row>
    <row r="300" spans="1:6" ht="38.25">
      <c r="A300" s="21" t="s">
        <v>267</v>
      </c>
      <c r="B300" s="16"/>
      <c r="C300" s="99" t="s">
        <v>269</v>
      </c>
      <c r="D300" s="93">
        <f>D301</f>
        <v>1040.5</v>
      </c>
      <c r="E300" s="93">
        <f>E301</f>
        <v>150</v>
      </c>
      <c r="F300" s="93">
        <f>F301</f>
        <v>150</v>
      </c>
    </row>
    <row r="301" spans="1:6" ht="38.25">
      <c r="A301" s="137" t="s">
        <v>503</v>
      </c>
      <c r="B301" s="3"/>
      <c r="C301" s="98" t="s">
        <v>268</v>
      </c>
      <c r="D301" s="41">
        <f>SUM(D302:D303)</f>
        <v>1040.5</v>
      </c>
      <c r="E301" s="41">
        <f t="shared" ref="E301:F301" si="94">SUM(E302:E303)</f>
        <v>150</v>
      </c>
      <c r="F301" s="41">
        <f t="shared" si="94"/>
        <v>150</v>
      </c>
    </row>
    <row r="302" spans="1:6" ht="38.25">
      <c r="A302" s="137" t="s">
        <v>503</v>
      </c>
      <c r="B302" s="82" t="s">
        <v>214</v>
      </c>
      <c r="C302" s="98" t="s">
        <v>215</v>
      </c>
      <c r="D302" s="41">
        <f>100+853.3+72.8+2.5</f>
        <v>1028.5999999999999</v>
      </c>
      <c r="E302" s="41">
        <v>150</v>
      </c>
      <c r="F302" s="41">
        <v>150</v>
      </c>
    </row>
    <row r="303" spans="1:6">
      <c r="A303" s="137" t="s">
        <v>503</v>
      </c>
      <c r="B303" s="82" t="s">
        <v>726</v>
      </c>
      <c r="C303" s="98" t="s">
        <v>727</v>
      </c>
      <c r="D303" s="41">
        <f>7.6+4.3</f>
        <v>11.899999999999999</v>
      </c>
      <c r="E303" s="41">
        <v>0</v>
      </c>
      <c r="F303" s="41">
        <v>0</v>
      </c>
    </row>
    <row r="304" spans="1:6" ht="38.25">
      <c r="A304" s="21" t="s">
        <v>303</v>
      </c>
      <c r="B304" s="16"/>
      <c r="C304" s="99" t="s">
        <v>270</v>
      </c>
      <c r="D304" s="93">
        <f t="shared" ref="D304:F304" si="95">D305</f>
        <v>577.5</v>
      </c>
      <c r="E304" s="93">
        <f t="shared" si="95"/>
        <v>756.1</v>
      </c>
      <c r="F304" s="93">
        <f t="shared" si="95"/>
        <v>800</v>
      </c>
    </row>
    <row r="305" spans="1:6" ht="25.5">
      <c r="A305" s="21" t="s">
        <v>504</v>
      </c>
      <c r="B305" s="3"/>
      <c r="C305" s="98" t="s">
        <v>343</v>
      </c>
      <c r="D305" s="41">
        <f>D306</f>
        <v>577.5</v>
      </c>
      <c r="E305" s="41">
        <f>E306</f>
        <v>756.1</v>
      </c>
      <c r="F305" s="41">
        <f>F306</f>
        <v>800</v>
      </c>
    </row>
    <row r="306" spans="1:6" ht="38.25">
      <c r="A306" s="21" t="s">
        <v>504</v>
      </c>
      <c r="B306" s="82" t="s">
        <v>214</v>
      </c>
      <c r="C306" s="98" t="s">
        <v>215</v>
      </c>
      <c r="D306" s="39">
        <f>800-222.5</f>
        <v>577.5</v>
      </c>
      <c r="E306" s="39">
        <f>800-43.9</f>
        <v>756.1</v>
      </c>
      <c r="F306" s="39">
        <v>800</v>
      </c>
    </row>
    <row r="307" spans="1:6" ht="38.25">
      <c r="A307" s="52" t="s">
        <v>152</v>
      </c>
      <c r="B307" s="16"/>
      <c r="C307" s="48" t="s">
        <v>149</v>
      </c>
      <c r="D307" s="93">
        <f>D308+D315</f>
        <v>2607.5</v>
      </c>
      <c r="E307" s="93">
        <f t="shared" ref="E307:F307" si="96">E308+E315</f>
        <v>2223.6999999999998</v>
      </c>
      <c r="F307" s="93">
        <f t="shared" si="96"/>
        <v>1810</v>
      </c>
    </row>
    <row r="308" spans="1:6" ht="25.5">
      <c r="A308" s="21" t="s">
        <v>271</v>
      </c>
      <c r="B308" s="82"/>
      <c r="C308" s="99" t="s">
        <v>272</v>
      </c>
      <c r="D308" s="93">
        <f>D309+D311+D313</f>
        <v>220</v>
      </c>
      <c r="E308" s="93">
        <f t="shared" ref="E308:F308" si="97">E309+E311+E313</f>
        <v>260</v>
      </c>
      <c r="F308" s="93">
        <f t="shared" si="97"/>
        <v>290</v>
      </c>
    </row>
    <row r="309" spans="1:6" ht="114.75">
      <c r="A309" s="79">
        <v>520123261</v>
      </c>
      <c r="B309" s="3"/>
      <c r="C309" s="98" t="s">
        <v>273</v>
      </c>
      <c r="D309" s="41">
        <f>D310</f>
        <v>0</v>
      </c>
      <c r="E309" s="41">
        <f>E310</f>
        <v>100</v>
      </c>
      <c r="F309" s="41">
        <f>F310</f>
        <v>100</v>
      </c>
    </row>
    <row r="310" spans="1:6" ht="38.25">
      <c r="A310" s="79">
        <v>520123261</v>
      </c>
      <c r="B310" s="82" t="s">
        <v>214</v>
      </c>
      <c r="C310" s="98" t="s">
        <v>215</v>
      </c>
      <c r="D310" s="41">
        <v>0</v>
      </c>
      <c r="E310" s="41">
        <v>100</v>
      </c>
      <c r="F310" s="41">
        <v>100</v>
      </c>
    </row>
    <row r="311" spans="1:6" ht="38.25">
      <c r="A311" s="79">
        <v>520123262</v>
      </c>
      <c r="B311" s="16"/>
      <c r="C311" s="98" t="s">
        <v>304</v>
      </c>
      <c r="D311" s="41">
        <f>D312</f>
        <v>20</v>
      </c>
      <c r="E311" s="41">
        <f>E312</f>
        <v>0</v>
      </c>
      <c r="F311" s="41">
        <f>F312</f>
        <v>20</v>
      </c>
    </row>
    <row r="312" spans="1:6" ht="38.25">
      <c r="A312" s="79">
        <v>520123262</v>
      </c>
      <c r="B312" s="82" t="s">
        <v>214</v>
      </c>
      <c r="C312" s="98" t="s">
        <v>215</v>
      </c>
      <c r="D312" s="41">
        <v>20</v>
      </c>
      <c r="E312" s="41">
        <v>0</v>
      </c>
      <c r="F312" s="41">
        <v>20</v>
      </c>
    </row>
    <row r="313" spans="1:6" ht="16.5" customHeight="1">
      <c r="A313" s="137" t="s">
        <v>505</v>
      </c>
      <c r="B313" s="82"/>
      <c r="C313" s="98" t="s">
        <v>506</v>
      </c>
      <c r="D313" s="41">
        <f>D314</f>
        <v>200</v>
      </c>
      <c r="E313" s="41">
        <f t="shared" ref="E313:F313" si="98">E314</f>
        <v>160</v>
      </c>
      <c r="F313" s="41">
        <f t="shared" si="98"/>
        <v>170</v>
      </c>
    </row>
    <row r="314" spans="1:6" ht="38.25">
      <c r="A314" s="137" t="s">
        <v>505</v>
      </c>
      <c r="B314" s="82" t="s">
        <v>214</v>
      </c>
      <c r="C314" s="98" t="s">
        <v>215</v>
      </c>
      <c r="D314" s="41">
        <v>200</v>
      </c>
      <c r="E314" s="41">
        <v>160</v>
      </c>
      <c r="F314" s="41">
        <v>170</v>
      </c>
    </row>
    <row r="315" spans="1:6" ht="25.5">
      <c r="A315" s="21" t="s">
        <v>274</v>
      </c>
      <c r="B315" s="82"/>
      <c r="C315" s="99" t="s">
        <v>507</v>
      </c>
      <c r="D315" s="41">
        <f>D316+D319+D321</f>
        <v>2387.5</v>
      </c>
      <c r="E315" s="41">
        <f>E316+E319+E321</f>
        <v>1963.7</v>
      </c>
      <c r="F315" s="41">
        <f>F316+F319+F321</f>
        <v>1520</v>
      </c>
    </row>
    <row r="316" spans="1:6" ht="39" customHeight="1">
      <c r="A316" s="79">
        <v>520223264</v>
      </c>
      <c r="B316" s="82"/>
      <c r="C316" s="98" t="s">
        <v>508</v>
      </c>
      <c r="D316" s="41">
        <f>SUM(D317:D318)</f>
        <v>2387.5</v>
      </c>
      <c r="E316" s="41">
        <f t="shared" ref="E316:F316" si="99">E317+E318</f>
        <v>300</v>
      </c>
      <c r="F316" s="41">
        <f t="shared" si="99"/>
        <v>0</v>
      </c>
    </row>
    <row r="317" spans="1:6">
      <c r="A317" s="79">
        <v>520223264</v>
      </c>
      <c r="B317" s="82" t="s">
        <v>726</v>
      </c>
      <c r="C317" s="98" t="s">
        <v>727</v>
      </c>
      <c r="D317" s="41">
        <f>67.5+9.8</f>
        <v>77.3</v>
      </c>
      <c r="E317" s="41">
        <v>0</v>
      </c>
      <c r="F317" s="41">
        <v>0</v>
      </c>
    </row>
    <row r="318" spans="1:6">
      <c r="A318" s="79">
        <v>520223264</v>
      </c>
      <c r="B318" s="82" t="s">
        <v>132</v>
      </c>
      <c r="C318" s="98" t="s">
        <v>133</v>
      </c>
      <c r="D318" s="41">
        <f>1648+325.2+337</f>
        <v>2310.1999999999998</v>
      </c>
      <c r="E318" s="41">
        <v>300</v>
      </c>
      <c r="F318" s="41">
        <v>0</v>
      </c>
    </row>
    <row r="319" spans="1:6" ht="51" customHeight="1">
      <c r="A319" s="79">
        <v>520223265</v>
      </c>
      <c r="B319" s="82"/>
      <c r="C319" s="98" t="s">
        <v>509</v>
      </c>
      <c r="D319" s="41">
        <f>D320</f>
        <v>0</v>
      </c>
      <c r="E319" s="41">
        <f t="shared" ref="E319:F319" si="100">E320</f>
        <v>1463.7</v>
      </c>
      <c r="F319" s="41">
        <f t="shared" si="100"/>
        <v>1220</v>
      </c>
    </row>
    <row r="320" spans="1:6">
      <c r="A320" s="79">
        <v>520223265</v>
      </c>
      <c r="B320" s="82" t="s">
        <v>253</v>
      </c>
      <c r="C320" s="99" t="s">
        <v>276</v>
      </c>
      <c r="D320" s="41">
        <f>1296.4-307.6-988.8</f>
        <v>0</v>
      </c>
      <c r="E320" s="41">
        <v>1463.7</v>
      </c>
      <c r="F320" s="41">
        <v>1220</v>
      </c>
    </row>
    <row r="321" spans="1:6" ht="25.5">
      <c r="A321" s="21" t="s">
        <v>510</v>
      </c>
      <c r="B321" s="82"/>
      <c r="C321" s="99" t="s">
        <v>277</v>
      </c>
      <c r="D321" s="41">
        <f>D322</f>
        <v>0</v>
      </c>
      <c r="E321" s="41">
        <f>E322</f>
        <v>200</v>
      </c>
      <c r="F321" s="41">
        <f>F322</f>
        <v>300</v>
      </c>
    </row>
    <row r="322" spans="1:6" ht="38.25">
      <c r="A322" s="21" t="s">
        <v>510</v>
      </c>
      <c r="B322" s="82" t="s">
        <v>214</v>
      </c>
      <c r="C322" s="98" t="s">
        <v>215</v>
      </c>
      <c r="D322" s="41">
        <v>0</v>
      </c>
      <c r="E322" s="39">
        <v>200</v>
      </c>
      <c r="F322" s="39">
        <v>300</v>
      </c>
    </row>
    <row r="323" spans="1:6" ht="51">
      <c r="A323" s="52" t="s">
        <v>153</v>
      </c>
      <c r="B323" s="16"/>
      <c r="C323" s="48" t="s">
        <v>150</v>
      </c>
      <c r="D323" s="93">
        <f>D324+D327</f>
        <v>3376.7</v>
      </c>
      <c r="E323" s="93">
        <f>E324+E327</f>
        <v>2914.1</v>
      </c>
      <c r="F323" s="93">
        <f>F324+F327</f>
        <v>3327.8</v>
      </c>
    </row>
    <row r="324" spans="1:6" ht="62.25" customHeight="1">
      <c r="A324" s="21" t="s">
        <v>278</v>
      </c>
      <c r="B324" s="82"/>
      <c r="C324" s="99" t="s">
        <v>316</v>
      </c>
      <c r="D324" s="39">
        <f t="shared" ref="D324:F325" si="101">D325</f>
        <v>1454.6000000000001</v>
      </c>
      <c r="E324" s="39">
        <f t="shared" si="101"/>
        <v>1487.8</v>
      </c>
      <c r="F324" s="39">
        <f t="shared" si="101"/>
        <v>1487.8</v>
      </c>
    </row>
    <row r="325" spans="1:6" ht="63.75">
      <c r="A325" s="79">
        <v>530123271</v>
      </c>
      <c r="B325" s="16"/>
      <c r="C325" s="98" t="s">
        <v>154</v>
      </c>
      <c r="D325" s="41">
        <f t="shared" si="101"/>
        <v>1454.6000000000001</v>
      </c>
      <c r="E325" s="41">
        <f t="shared" si="101"/>
        <v>1487.8</v>
      </c>
      <c r="F325" s="41">
        <f t="shared" si="101"/>
        <v>1487.8</v>
      </c>
    </row>
    <row r="326" spans="1:6" ht="38.25">
      <c r="A326" s="79">
        <v>530123271</v>
      </c>
      <c r="B326" s="82" t="s">
        <v>214</v>
      </c>
      <c r="C326" s="98" t="s">
        <v>215</v>
      </c>
      <c r="D326" s="1">
        <f>1461.4-6.8</f>
        <v>1454.6000000000001</v>
      </c>
      <c r="E326" s="1">
        <v>1487.8</v>
      </c>
      <c r="F326" s="1">
        <v>1487.8</v>
      </c>
    </row>
    <row r="327" spans="1:6" ht="51">
      <c r="A327" s="21" t="s">
        <v>279</v>
      </c>
      <c r="B327" s="16"/>
      <c r="C327" s="99" t="s">
        <v>511</v>
      </c>
      <c r="D327" s="41">
        <f t="shared" ref="D327:F328" si="102">D328</f>
        <v>1922.1</v>
      </c>
      <c r="E327" s="41">
        <f t="shared" si="102"/>
        <v>1426.3</v>
      </c>
      <c r="F327" s="41">
        <f t="shared" si="102"/>
        <v>1840</v>
      </c>
    </row>
    <row r="328" spans="1:6" ht="39" customHeight="1">
      <c r="A328" s="79">
        <v>530223272</v>
      </c>
      <c r="B328" s="16"/>
      <c r="C328" s="98" t="s">
        <v>512</v>
      </c>
      <c r="D328" s="41">
        <f t="shared" si="102"/>
        <v>1922.1</v>
      </c>
      <c r="E328" s="41">
        <f t="shared" si="102"/>
        <v>1426.3</v>
      </c>
      <c r="F328" s="41">
        <f t="shared" si="102"/>
        <v>1840</v>
      </c>
    </row>
    <row r="329" spans="1:6" ht="38.25">
      <c r="A329" s="79">
        <v>530223272</v>
      </c>
      <c r="B329" s="82" t="s">
        <v>214</v>
      </c>
      <c r="C329" s="98" t="s">
        <v>215</v>
      </c>
      <c r="D329" s="41">
        <v>1922.1</v>
      </c>
      <c r="E329" s="41">
        <v>1426.3</v>
      </c>
      <c r="F329" s="41">
        <v>1840</v>
      </c>
    </row>
    <row r="330" spans="1:6" ht="79.5" customHeight="1">
      <c r="A330" s="78" t="s">
        <v>66</v>
      </c>
      <c r="B330" s="16"/>
      <c r="C330" s="63" t="s">
        <v>617</v>
      </c>
      <c r="D330" s="96">
        <f t="shared" ref="D330:F333" si="103">D331</f>
        <v>524.5</v>
      </c>
      <c r="E330" s="96">
        <f t="shared" si="103"/>
        <v>529.29999999999995</v>
      </c>
      <c r="F330" s="96">
        <f t="shared" si="103"/>
        <v>529.29999999999995</v>
      </c>
    </row>
    <row r="331" spans="1:6" ht="40.5" customHeight="1">
      <c r="A331" s="77" t="s">
        <v>67</v>
      </c>
      <c r="B331" s="16"/>
      <c r="C331" s="60" t="s">
        <v>515</v>
      </c>
      <c r="D331" s="93">
        <f t="shared" si="103"/>
        <v>524.5</v>
      </c>
      <c r="E331" s="93">
        <f t="shared" si="103"/>
        <v>529.29999999999995</v>
      </c>
      <c r="F331" s="93">
        <f t="shared" si="103"/>
        <v>529.29999999999995</v>
      </c>
    </row>
    <row r="332" spans="1:6" ht="63.75">
      <c r="A332" s="74">
        <v>610100000</v>
      </c>
      <c r="B332" s="16"/>
      <c r="C332" s="98" t="s">
        <v>514</v>
      </c>
      <c r="D332" s="39">
        <f>D333+D335</f>
        <v>524.5</v>
      </c>
      <c r="E332" s="39">
        <f t="shared" ref="E332:F332" si="104">E333+E335</f>
        <v>529.29999999999995</v>
      </c>
      <c r="F332" s="39">
        <f t="shared" si="104"/>
        <v>529.29999999999995</v>
      </c>
    </row>
    <row r="333" spans="1:6" ht="38.25">
      <c r="A333" s="138" t="s">
        <v>513</v>
      </c>
      <c r="B333" s="16"/>
      <c r="C333" s="98" t="s">
        <v>651</v>
      </c>
      <c r="D333" s="41">
        <f t="shared" si="103"/>
        <v>515.5</v>
      </c>
      <c r="E333" s="41">
        <f t="shared" si="103"/>
        <v>520.29999999999995</v>
      </c>
      <c r="F333" s="41">
        <f t="shared" si="103"/>
        <v>520.29999999999995</v>
      </c>
    </row>
    <row r="334" spans="1:6" ht="38.25">
      <c r="A334" s="138" t="s">
        <v>513</v>
      </c>
      <c r="B334" s="82" t="s">
        <v>214</v>
      </c>
      <c r="C334" s="98" t="s">
        <v>215</v>
      </c>
      <c r="D334" s="41">
        <f>520.3+300-304.8</f>
        <v>515.5</v>
      </c>
      <c r="E334" s="41">
        <v>520.29999999999995</v>
      </c>
      <c r="F334" s="41">
        <v>520.29999999999995</v>
      </c>
    </row>
    <row r="335" spans="1:6" ht="30" customHeight="1">
      <c r="A335" s="138" t="s">
        <v>585</v>
      </c>
      <c r="B335" s="82"/>
      <c r="C335" s="98" t="s">
        <v>586</v>
      </c>
      <c r="D335" s="41">
        <f>D336</f>
        <v>9</v>
      </c>
      <c r="E335" s="41">
        <f t="shared" ref="E335:F335" si="105">E336</f>
        <v>9</v>
      </c>
      <c r="F335" s="41">
        <f t="shared" si="105"/>
        <v>9</v>
      </c>
    </row>
    <row r="336" spans="1:6" ht="38.25">
      <c r="A336" s="138" t="s">
        <v>585</v>
      </c>
      <c r="B336" s="82" t="s">
        <v>214</v>
      </c>
      <c r="C336" s="98" t="s">
        <v>215</v>
      </c>
      <c r="D336" s="41">
        <v>9</v>
      </c>
      <c r="E336" s="41">
        <v>9</v>
      </c>
      <c r="F336" s="41">
        <v>9</v>
      </c>
    </row>
    <row r="337" spans="1:7" ht="90" customHeight="1">
      <c r="A337" s="81" t="s">
        <v>33</v>
      </c>
      <c r="B337" s="16"/>
      <c r="C337" s="53" t="s">
        <v>621</v>
      </c>
      <c r="D337" s="96">
        <f>D338+D347+D356</f>
        <v>12786.1</v>
      </c>
      <c r="E337" s="96">
        <f t="shared" ref="E337:F337" si="106">E338+E347+E356</f>
        <v>5465</v>
      </c>
      <c r="F337" s="96">
        <f t="shared" si="106"/>
        <v>5465</v>
      </c>
    </row>
    <row r="338" spans="1:7" ht="25.5" customHeight="1">
      <c r="A338" s="52" t="s">
        <v>34</v>
      </c>
      <c r="B338" s="16"/>
      <c r="C338" s="48" t="s">
        <v>589</v>
      </c>
      <c r="D338" s="93">
        <f>D339+D342</f>
        <v>495.7</v>
      </c>
      <c r="E338" s="93">
        <f>E339+E342</f>
        <v>565</v>
      </c>
      <c r="F338" s="93">
        <f>F339+F342</f>
        <v>565</v>
      </c>
      <c r="G338" s="103"/>
    </row>
    <row r="339" spans="1:7" ht="38.25">
      <c r="A339" s="21" t="s">
        <v>238</v>
      </c>
      <c r="B339" s="16"/>
      <c r="C339" s="99" t="s">
        <v>237</v>
      </c>
      <c r="D339" s="93">
        <f t="shared" ref="D339:F340" si="107">D340</f>
        <v>485.7</v>
      </c>
      <c r="E339" s="93">
        <f t="shared" si="107"/>
        <v>445</v>
      </c>
      <c r="F339" s="93">
        <f t="shared" si="107"/>
        <v>445</v>
      </c>
    </row>
    <row r="340" spans="1:7" ht="25.5">
      <c r="A340" s="21" t="s">
        <v>516</v>
      </c>
      <c r="B340" s="3"/>
      <c r="C340" s="98" t="s">
        <v>190</v>
      </c>
      <c r="D340" s="41">
        <f t="shared" si="107"/>
        <v>485.7</v>
      </c>
      <c r="E340" s="41">
        <f t="shared" si="107"/>
        <v>445</v>
      </c>
      <c r="F340" s="41">
        <f t="shared" si="107"/>
        <v>445</v>
      </c>
    </row>
    <row r="341" spans="1:7" ht="38.25">
      <c r="A341" s="21" t="s">
        <v>516</v>
      </c>
      <c r="B341" s="82" t="s">
        <v>214</v>
      </c>
      <c r="C341" s="98" t="s">
        <v>215</v>
      </c>
      <c r="D341" s="41">
        <v>485.7</v>
      </c>
      <c r="E341" s="39">
        <v>445</v>
      </c>
      <c r="F341" s="39">
        <v>445</v>
      </c>
      <c r="G341" s="103"/>
    </row>
    <row r="342" spans="1:7" ht="38.25">
      <c r="A342" s="21" t="s">
        <v>518</v>
      </c>
      <c r="B342" s="82"/>
      <c r="C342" s="99" t="s">
        <v>342</v>
      </c>
      <c r="D342" s="41">
        <f t="shared" ref="D342" si="108">D343</f>
        <v>10</v>
      </c>
      <c r="E342" s="41">
        <f t="shared" ref="E342:F342" si="109">E343+E345</f>
        <v>120</v>
      </c>
      <c r="F342" s="41">
        <f t="shared" si="109"/>
        <v>120</v>
      </c>
      <c r="G342" s="103"/>
    </row>
    <row r="343" spans="1:7" ht="25.5">
      <c r="A343" s="21" t="s">
        <v>517</v>
      </c>
      <c r="B343" s="16"/>
      <c r="C343" s="98" t="s">
        <v>341</v>
      </c>
      <c r="D343" s="41">
        <f>8.3+1.7</f>
        <v>10</v>
      </c>
      <c r="E343" s="41">
        <f t="shared" ref="E343:F343" si="110">E344</f>
        <v>40</v>
      </c>
      <c r="F343" s="41">
        <f t="shared" si="110"/>
        <v>40</v>
      </c>
      <c r="G343" s="103"/>
    </row>
    <row r="344" spans="1:7" ht="38.25">
      <c r="A344" s="21" t="s">
        <v>517</v>
      </c>
      <c r="B344" s="82" t="s">
        <v>214</v>
      </c>
      <c r="C344" s="98" t="s">
        <v>215</v>
      </c>
      <c r="D344" s="41">
        <v>20</v>
      </c>
      <c r="E344" s="41">
        <v>40</v>
      </c>
      <c r="F344" s="41">
        <v>40</v>
      </c>
      <c r="G344" s="103"/>
    </row>
    <row r="345" spans="1:7" ht="38.25">
      <c r="A345" s="21" t="s">
        <v>590</v>
      </c>
      <c r="B345" s="82"/>
      <c r="C345" s="98" t="s">
        <v>591</v>
      </c>
      <c r="D345" s="41">
        <f>D346</f>
        <v>0</v>
      </c>
      <c r="E345" s="41">
        <f t="shared" ref="E345:F345" si="111">E346</f>
        <v>80</v>
      </c>
      <c r="F345" s="41">
        <f t="shared" si="111"/>
        <v>80</v>
      </c>
      <c r="G345" s="103"/>
    </row>
    <row r="346" spans="1:7" ht="38.25">
      <c r="A346" s="21" t="s">
        <v>590</v>
      </c>
      <c r="B346" s="82" t="s">
        <v>214</v>
      </c>
      <c r="C346" s="98" t="s">
        <v>215</v>
      </c>
      <c r="D346" s="41">
        <v>0</v>
      </c>
      <c r="E346" s="41">
        <v>80</v>
      </c>
      <c r="F346" s="41">
        <v>80</v>
      </c>
      <c r="G346" s="103"/>
    </row>
    <row r="347" spans="1:7" ht="25.5">
      <c r="A347" s="52" t="s">
        <v>378</v>
      </c>
      <c r="B347" s="16"/>
      <c r="C347" s="46" t="s">
        <v>350</v>
      </c>
      <c r="D347" s="93">
        <f>D348+D353</f>
        <v>1026.8999999999996</v>
      </c>
      <c r="E347" s="93">
        <f t="shared" ref="E347:F347" si="112">E348+E353</f>
        <v>2900</v>
      </c>
      <c r="F347" s="93">
        <f t="shared" si="112"/>
        <v>2900</v>
      </c>
      <c r="G347" s="103"/>
    </row>
    <row r="348" spans="1:7" ht="38.25">
      <c r="A348" s="21" t="s">
        <v>519</v>
      </c>
      <c r="B348" s="16"/>
      <c r="C348" s="99" t="s">
        <v>307</v>
      </c>
      <c r="D348" s="39">
        <f>D349+D351</f>
        <v>1026.8999999999996</v>
      </c>
      <c r="E348" s="39">
        <f t="shared" ref="E348:F348" si="113">E349+E351</f>
        <v>800</v>
      </c>
      <c r="F348" s="39">
        <f t="shared" si="113"/>
        <v>800</v>
      </c>
      <c r="G348" s="103"/>
    </row>
    <row r="349" spans="1:7" ht="36" customHeight="1">
      <c r="A349" s="21" t="s">
        <v>520</v>
      </c>
      <c r="B349" s="16"/>
      <c r="C349" s="97" t="s">
        <v>191</v>
      </c>
      <c r="D349" s="41">
        <f>D350</f>
        <v>178</v>
      </c>
      <c r="E349" s="41">
        <f>E350</f>
        <v>250</v>
      </c>
      <c r="F349" s="41">
        <f>F350</f>
        <v>250</v>
      </c>
      <c r="G349" s="103"/>
    </row>
    <row r="350" spans="1:7" ht="38.25">
      <c r="A350" s="21" t="s">
        <v>520</v>
      </c>
      <c r="B350" s="82" t="s">
        <v>214</v>
      </c>
      <c r="C350" s="98" t="s">
        <v>215</v>
      </c>
      <c r="D350" s="41">
        <f>200-20.3-1.7</f>
        <v>178</v>
      </c>
      <c r="E350" s="41">
        <v>250</v>
      </c>
      <c r="F350" s="41">
        <v>250</v>
      </c>
      <c r="G350" s="103"/>
    </row>
    <row r="351" spans="1:7" ht="27" customHeight="1">
      <c r="A351" s="21" t="s">
        <v>522</v>
      </c>
      <c r="B351" s="82"/>
      <c r="C351" s="98" t="s">
        <v>521</v>
      </c>
      <c r="D351" s="41">
        <f>D352</f>
        <v>848.89999999999964</v>
      </c>
      <c r="E351" s="41">
        <f t="shared" ref="E351:F351" si="114">E352</f>
        <v>550</v>
      </c>
      <c r="F351" s="41">
        <f t="shared" si="114"/>
        <v>550</v>
      </c>
      <c r="G351" s="103"/>
    </row>
    <row r="352" spans="1:7" ht="38.25">
      <c r="A352" s="21" t="s">
        <v>522</v>
      </c>
      <c r="B352" s="82" t="s">
        <v>214</v>
      </c>
      <c r="C352" s="98" t="s">
        <v>215</v>
      </c>
      <c r="D352" s="41">
        <f>500+146.9+280-78+5000-5000</f>
        <v>848.89999999999964</v>
      </c>
      <c r="E352" s="41">
        <v>550</v>
      </c>
      <c r="F352" s="41">
        <v>550</v>
      </c>
      <c r="G352" s="103"/>
    </row>
    <row r="353" spans="1:7" ht="25.5">
      <c r="A353" s="21" t="s">
        <v>524</v>
      </c>
      <c r="B353" s="82"/>
      <c r="C353" s="99" t="s">
        <v>377</v>
      </c>
      <c r="D353" s="41">
        <f t="shared" ref="D353:F354" si="115">D354</f>
        <v>0</v>
      </c>
      <c r="E353" s="41">
        <f t="shared" si="115"/>
        <v>2100</v>
      </c>
      <c r="F353" s="41">
        <f t="shared" si="115"/>
        <v>2100</v>
      </c>
      <c r="G353" s="103"/>
    </row>
    <row r="354" spans="1:7" ht="38.25">
      <c r="A354" s="21" t="s">
        <v>523</v>
      </c>
      <c r="B354" s="16"/>
      <c r="C354" s="98" t="s">
        <v>623</v>
      </c>
      <c r="D354" s="41">
        <f t="shared" si="115"/>
        <v>0</v>
      </c>
      <c r="E354" s="41">
        <f t="shared" si="115"/>
        <v>2100</v>
      </c>
      <c r="F354" s="41">
        <f t="shared" si="115"/>
        <v>2100</v>
      </c>
      <c r="G354" s="103"/>
    </row>
    <row r="355" spans="1:7" ht="38.25">
      <c r="A355" s="21" t="s">
        <v>523</v>
      </c>
      <c r="B355" s="82" t="s">
        <v>214</v>
      </c>
      <c r="C355" s="98" t="s">
        <v>215</v>
      </c>
      <c r="D355" s="41">
        <f>2000+700-2700</f>
        <v>0</v>
      </c>
      <c r="E355" s="41">
        <v>2100</v>
      </c>
      <c r="F355" s="41">
        <v>2100</v>
      </c>
      <c r="G355" s="103"/>
    </row>
    <row r="356" spans="1:7" ht="38.25">
      <c r="A356" s="52" t="s">
        <v>35</v>
      </c>
      <c r="B356" s="16"/>
      <c r="C356" s="46" t="s">
        <v>525</v>
      </c>
      <c r="D356" s="41">
        <f>D357+D362</f>
        <v>11263.5</v>
      </c>
      <c r="E356" s="41">
        <f t="shared" ref="E356:F356" si="116">E357+E362</f>
        <v>2000</v>
      </c>
      <c r="F356" s="41">
        <f t="shared" si="116"/>
        <v>2000</v>
      </c>
      <c r="G356" s="103"/>
    </row>
    <row r="357" spans="1:7" ht="49.5" customHeight="1">
      <c r="A357" s="21" t="s">
        <v>239</v>
      </c>
      <c r="B357" s="16"/>
      <c r="C357" s="99" t="s">
        <v>754</v>
      </c>
      <c r="D357" s="41">
        <f>D358+D360</f>
        <v>9817.5</v>
      </c>
      <c r="E357" s="41">
        <f t="shared" ref="E357:F357" si="117">E358+E360</f>
        <v>1000</v>
      </c>
      <c r="F357" s="41">
        <f t="shared" si="117"/>
        <v>1000</v>
      </c>
      <c r="G357" s="103"/>
    </row>
    <row r="358" spans="1:7" ht="39.75" customHeight="1">
      <c r="A358" s="21" t="s">
        <v>527</v>
      </c>
      <c r="B358" s="16"/>
      <c r="C358" s="99" t="s">
        <v>526</v>
      </c>
      <c r="D358" s="41">
        <f>D359</f>
        <v>9726.5</v>
      </c>
      <c r="E358" s="41">
        <f t="shared" ref="E358:F358" si="118">E359</f>
        <v>1000</v>
      </c>
      <c r="F358" s="41">
        <f t="shared" si="118"/>
        <v>1000</v>
      </c>
      <c r="G358" s="103"/>
    </row>
    <row r="359" spans="1:7" ht="42.75" customHeight="1">
      <c r="A359" s="21" t="s">
        <v>527</v>
      </c>
      <c r="B359" s="82" t="s">
        <v>214</v>
      </c>
      <c r="C359" s="98" t="s">
        <v>215</v>
      </c>
      <c r="D359" s="41">
        <f>1700-700+700+3849.7+87.7+20.3+43.6+3961.7+63.5</f>
        <v>9726.5</v>
      </c>
      <c r="E359" s="41">
        <v>1000</v>
      </c>
      <c r="F359" s="41">
        <v>1000</v>
      </c>
      <c r="G359" s="103"/>
    </row>
    <row r="360" spans="1:7" ht="49.5" customHeight="1">
      <c r="A360" s="21" t="s">
        <v>736</v>
      </c>
      <c r="B360" s="82"/>
      <c r="C360" s="98" t="s">
        <v>735</v>
      </c>
      <c r="D360" s="41">
        <f>D361</f>
        <v>91</v>
      </c>
      <c r="E360" s="41">
        <f t="shared" ref="E360:F360" si="119">E361</f>
        <v>0</v>
      </c>
      <c r="F360" s="41">
        <f t="shared" si="119"/>
        <v>0</v>
      </c>
      <c r="G360" s="103"/>
    </row>
    <row r="361" spans="1:7" ht="42.75" customHeight="1">
      <c r="A361" s="21" t="s">
        <v>736</v>
      </c>
      <c r="B361" s="82" t="s">
        <v>214</v>
      </c>
      <c r="C361" s="98" t="s">
        <v>215</v>
      </c>
      <c r="D361" s="41">
        <v>91</v>
      </c>
      <c r="E361" s="41">
        <v>0</v>
      </c>
      <c r="F361" s="41">
        <v>0</v>
      </c>
      <c r="G361" s="103"/>
    </row>
    <row r="362" spans="1:7" ht="25.5" customHeight="1">
      <c r="A362" s="21" t="s">
        <v>376</v>
      </c>
      <c r="B362" s="82"/>
      <c r="C362" s="99" t="s">
        <v>622</v>
      </c>
      <c r="D362" s="41">
        <f>D363</f>
        <v>1446</v>
      </c>
      <c r="E362" s="41">
        <f t="shared" ref="E362:F363" si="120">E363</f>
        <v>1000</v>
      </c>
      <c r="F362" s="41">
        <f t="shared" si="120"/>
        <v>1000</v>
      </c>
      <c r="G362" s="103"/>
    </row>
    <row r="363" spans="1:7" ht="26.25" customHeight="1">
      <c r="A363" s="21" t="s">
        <v>528</v>
      </c>
      <c r="B363" s="16"/>
      <c r="C363" s="99" t="s">
        <v>380</v>
      </c>
      <c r="D363" s="41">
        <f>D364</f>
        <v>1446</v>
      </c>
      <c r="E363" s="41">
        <f t="shared" si="120"/>
        <v>1000</v>
      </c>
      <c r="F363" s="41">
        <f t="shared" si="120"/>
        <v>1000</v>
      </c>
      <c r="G363" s="103"/>
    </row>
    <row r="364" spans="1:7" ht="12.75" customHeight="1">
      <c r="A364" s="21" t="s">
        <v>528</v>
      </c>
      <c r="B364" s="82" t="s">
        <v>253</v>
      </c>
      <c r="C364" s="99" t="s">
        <v>276</v>
      </c>
      <c r="D364" s="41">
        <f>1515.6-69.6</f>
        <v>1446</v>
      </c>
      <c r="E364" s="41">
        <v>1000</v>
      </c>
      <c r="F364" s="41">
        <v>1000</v>
      </c>
      <c r="G364" s="103"/>
    </row>
    <row r="365" spans="1:7" ht="77.25" customHeight="1">
      <c r="A365" s="73" t="s">
        <v>147</v>
      </c>
      <c r="B365" s="16"/>
      <c r="C365" s="63" t="s">
        <v>624</v>
      </c>
      <c r="D365" s="96">
        <f>D367</f>
        <v>1356.4</v>
      </c>
      <c r="E365" s="96">
        <f>E367</f>
        <v>300</v>
      </c>
      <c r="F365" s="96">
        <f>F367</f>
        <v>300</v>
      </c>
    </row>
    <row r="366" spans="1:7" ht="51">
      <c r="A366" s="21" t="s">
        <v>148</v>
      </c>
      <c r="B366" s="16"/>
      <c r="C366" s="48" t="s">
        <v>529</v>
      </c>
      <c r="D366" s="93">
        <f>D367</f>
        <v>1356.4</v>
      </c>
      <c r="E366" s="93">
        <f>E367</f>
        <v>300</v>
      </c>
      <c r="F366" s="93">
        <f>F367</f>
        <v>300</v>
      </c>
    </row>
    <row r="367" spans="1:7" ht="76.5" customHeight="1">
      <c r="A367" s="21" t="s">
        <v>213</v>
      </c>
      <c r="B367" s="16"/>
      <c r="C367" s="99" t="s">
        <v>530</v>
      </c>
      <c r="D367" s="39">
        <f>D368+D370+D372+D374</f>
        <v>1356.4</v>
      </c>
      <c r="E367" s="39">
        <f t="shared" ref="E367:F367" si="121">E368+E370+E372+E374</f>
        <v>300</v>
      </c>
      <c r="F367" s="39">
        <f t="shared" si="121"/>
        <v>300</v>
      </c>
    </row>
    <row r="368" spans="1:7" ht="51.75" customHeight="1">
      <c r="A368" s="138" t="s">
        <v>531</v>
      </c>
      <c r="B368" s="16"/>
      <c r="C368" s="99" t="s">
        <v>587</v>
      </c>
      <c r="D368" s="39">
        <f>D369</f>
        <v>0</v>
      </c>
      <c r="E368" s="39">
        <f>E369</f>
        <v>0</v>
      </c>
      <c r="F368" s="39">
        <f>F369</f>
        <v>300</v>
      </c>
    </row>
    <row r="369" spans="1:7" ht="38.25">
      <c r="A369" s="138" t="s">
        <v>531</v>
      </c>
      <c r="B369" s="82" t="s">
        <v>214</v>
      </c>
      <c r="C369" s="98" t="s">
        <v>215</v>
      </c>
      <c r="D369" s="39">
        <v>0</v>
      </c>
      <c r="E369" s="39">
        <v>0</v>
      </c>
      <c r="F369" s="39">
        <v>300</v>
      </c>
    </row>
    <row r="370" spans="1:7" ht="76.5" customHeight="1">
      <c r="A370" s="74">
        <v>810123102</v>
      </c>
      <c r="B370" s="16"/>
      <c r="C370" s="99" t="s">
        <v>532</v>
      </c>
      <c r="D370" s="39">
        <f>D371</f>
        <v>591</v>
      </c>
      <c r="E370" s="39">
        <f>E371</f>
        <v>100</v>
      </c>
      <c r="F370" s="39">
        <f>F371</f>
        <v>0</v>
      </c>
    </row>
    <row r="371" spans="1:7" ht="38.25">
      <c r="A371" s="74">
        <v>810123102</v>
      </c>
      <c r="B371" s="82" t="s">
        <v>214</v>
      </c>
      <c r="C371" s="98" t="s">
        <v>215</v>
      </c>
      <c r="D371" s="39">
        <v>591</v>
      </c>
      <c r="E371" s="39">
        <v>100</v>
      </c>
      <c r="F371" s="39">
        <v>0</v>
      </c>
    </row>
    <row r="372" spans="1:7" ht="65.25" customHeight="1">
      <c r="A372" s="74">
        <v>810123103</v>
      </c>
      <c r="B372" s="82"/>
      <c r="C372" s="98" t="s">
        <v>533</v>
      </c>
      <c r="D372" s="39">
        <f t="shared" ref="D372:F372" si="122">D373</f>
        <v>435</v>
      </c>
      <c r="E372" s="39">
        <f t="shared" si="122"/>
        <v>100</v>
      </c>
      <c r="F372" s="39">
        <f t="shared" si="122"/>
        <v>0</v>
      </c>
    </row>
    <row r="373" spans="1:7" ht="38.25">
      <c r="A373" s="74">
        <v>810123103</v>
      </c>
      <c r="B373" s="82" t="s">
        <v>214</v>
      </c>
      <c r="C373" s="98" t="s">
        <v>215</v>
      </c>
      <c r="D373" s="39">
        <v>435</v>
      </c>
      <c r="E373" s="39">
        <v>100</v>
      </c>
      <c r="F373" s="39">
        <v>0</v>
      </c>
    </row>
    <row r="374" spans="1:7" ht="81.75" customHeight="1">
      <c r="A374" s="74">
        <v>810123104</v>
      </c>
      <c r="B374" s="82"/>
      <c r="C374" s="98" t="s">
        <v>534</v>
      </c>
      <c r="D374" s="39">
        <f>D375</f>
        <v>330.4</v>
      </c>
      <c r="E374" s="39">
        <f t="shared" ref="E374:F374" si="123">E375</f>
        <v>100</v>
      </c>
      <c r="F374" s="39">
        <f t="shared" si="123"/>
        <v>0</v>
      </c>
    </row>
    <row r="375" spans="1:7" ht="38.25">
      <c r="A375" s="74">
        <v>810123104</v>
      </c>
      <c r="B375" s="82" t="s">
        <v>214</v>
      </c>
      <c r="C375" s="98" t="s">
        <v>215</v>
      </c>
      <c r="D375" s="39">
        <f>295.4+35</f>
        <v>330.4</v>
      </c>
      <c r="E375" s="39">
        <v>100</v>
      </c>
      <c r="F375" s="39">
        <v>0</v>
      </c>
    </row>
    <row r="376" spans="1:7" ht="76.5" customHeight="1">
      <c r="A376" s="73" t="s">
        <v>68</v>
      </c>
      <c r="B376" s="30"/>
      <c r="C376" s="142" t="s">
        <v>625</v>
      </c>
      <c r="D376" s="96">
        <f>D377+D403</f>
        <v>196106.2</v>
      </c>
      <c r="E376" s="96">
        <f>E377+E403</f>
        <v>149113.5</v>
      </c>
      <c r="F376" s="96">
        <f>F377+F403</f>
        <v>167229.29999999999</v>
      </c>
      <c r="G376" s="103"/>
    </row>
    <row r="377" spans="1:7" ht="54" customHeight="1">
      <c r="A377" s="52" t="s">
        <v>69</v>
      </c>
      <c r="B377" s="30"/>
      <c r="C377" s="46" t="s">
        <v>166</v>
      </c>
      <c r="D377" s="93">
        <f>D378</f>
        <v>168779.80000000002</v>
      </c>
      <c r="E377" s="93">
        <f t="shared" ref="E377:F377" si="124">E378</f>
        <v>123760.1</v>
      </c>
      <c r="F377" s="93">
        <f t="shared" si="124"/>
        <v>141899.9</v>
      </c>
      <c r="G377" s="103"/>
    </row>
    <row r="378" spans="1:7" ht="38.25">
      <c r="A378" s="21" t="s">
        <v>300</v>
      </c>
      <c r="B378" s="30"/>
      <c r="C378" s="97" t="s">
        <v>312</v>
      </c>
      <c r="D378" s="93">
        <f>D379+D381+D383+D385+D387+D389+D391+D393+D395+D397+D399+D401</f>
        <v>168779.80000000002</v>
      </c>
      <c r="E378" s="93">
        <f t="shared" ref="E378:F378" si="125">E379+E381+E383+E385+E387+E389+E391+E393+E395+E397+E399+E401</f>
        <v>123760.1</v>
      </c>
      <c r="F378" s="93">
        <f t="shared" si="125"/>
        <v>141899.9</v>
      </c>
      <c r="G378" s="103"/>
    </row>
    <row r="379" spans="1:7" ht="76.5">
      <c r="A379" s="74">
        <v>910123405</v>
      </c>
      <c r="B379" s="30"/>
      <c r="C379" s="97" t="s">
        <v>299</v>
      </c>
      <c r="D379" s="39">
        <f>D380</f>
        <v>15376.7</v>
      </c>
      <c r="E379" s="39">
        <f>E380</f>
        <v>8086.9</v>
      </c>
      <c r="F379" s="39">
        <f>F380</f>
        <v>15386.8</v>
      </c>
      <c r="G379" s="103"/>
    </row>
    <row r="380" spans="1:7" ht="38.25">
      <c r="A380" s="74">
        <v>910123405</v>
      </c>
      <c r="B380" s="82" t="s">
        <v>214</v>
      </c>
      <c r="C380" s="98" t="s">
        <v>215</v>
      </c>
      <c r="D380" s="39">
        <v>15376.7</v>
      </c>
      <c r="E380" s="39">
        <v>8086.9</v>
      </c>
      <c r="F380" s="39">
        <v>15386.8</v>
      </c>
    </row>
    <row r="381" spans="1:7" ht="63.75">
      <c r="A381" s="74">
        <v>910110520</v>
      </c>
      <c r="B381" s="30"/>
      <c r="C381" s="97" t="s">
        <v>186</v>
      </c>
      <c r="D381" s="39">
        <f>D382</f>
        <v>20020.599999999999</v>
      </c>
      <c r="E381" s="39">
        <f>E382</f>
        <v>20821.400000000001</v>
      </c>
      <c r="F381" s="39">
        <f>F382</f>
        <v>21654.3</v>
      </c>
      <c r="G381" s="103"/>
    </row>
    <row r="382" spans="1:7" ht="38.25">
      <c r="A382" s="74">
        <v>910110520</v>
      </c>
      <c r="B382" s="82" t="s">
        <v>214</v>
      </c>
      <c r="C382" s="98" t="s">
        <v>215</v>
      </c>
      <c r="D382" s="1">
        <v>20020.599999999999</v>
      </c>
      <c r="E382" s="39">
        <v>20821.400000000001</v>
      </c>
      <c r="F382" s="1">
        <v>21654.3</v>
      </c>
      <c r="G382" s="103"/>
    </row>
    <row r="383" spans="1:7" ht="25.5">
      <c r="A383" s="74">
        <v>910123410</v>
      </c>
      <c r="B383" s="16"/>
      <c r="C383" s="98" t="s">
        <v>187</v>
      </c>
      <c r="D383" s="39">
        <f>D384</f>
        <v>19002.400000000001</v>
      </c>
      <c r="E383" s="39">
        <f>E384</f>
        <v>8022.4000000000005</v>
      </c>
      <c r="F383" s="39">
        <f>F384</f>
        <v>16457</v>
      </c>
      <c r="G383" s="103"/>
    </row>
    <row r="384" spans="1:7" ht="38.25">
      <c r="A384" s="74">
        <v>910123410</v>
      </c>
      <c r="B384" s="82" t="s">
        <v>214</v>
      </c>
      <c r="C384" s="98" t="s">
        <v>215</v>
      </c>
      <c r="D384" s="39">
        <f>16457+1413.5+1131.9</f>
        <v>19002.400000000001</v>
      </c>
      <c r="E384" s="39">
        <f>8177.3-154.9</f>
        <v>8022.4000000000005</v>
      </c>
      <c r="F384" s="39">
        <v>16457</v>
      </c>
    </row>
    <row r="385" spans="1:6" ht="89.25">
      <c r="A385" s="74">
        <v>910123415</v>
      </c>
      <c r="B385" s="82"/>
      <c r="C385" s="131" t="s">
        <v>734</v>
      </c>
      <c r="D385" s="39">
        <f>D386</f>
        <v>1913.4</v>
      </c>
      <c r="E385" s="39">
        <f t="shared" ref="E385:F385" si="126">E386</f>
        <v>0</v>
      </c>
      <c r="F385" s="39">
        <f t="shared" si="126"/>
        <v>0</v>
      </c>
    </row>
    <row r="386" spans="1:6" ht="38.25">
      <c r="A386" s="74">
        <v>910123415</v>
      </c>
      <c r="B386" s="82" t="s">
        <v>214</v>
      </c>
      <c r="C386" s="98" t="s">
        <v>215</v>
      </c>
      <c r="D386" s="39">
        <f>100+380+5000-3566.6</f>
        <v>1913.4</v>
      </c>
      <c r="E386" s="39">
        <v>0</v>
      </c>
      <c r="F386" s="39">
        <v>0</v>
      </c>
    </row>
    <row r="387" spans="1:6" ht="76.5">
      <c r="A387" s="74" t="s">
        <v>750</v>
      </c>
      <c r="B387" s="82"/>
      <c r="C387" s="124" t="s">
        <v>749</v>
      </c>
      <c r="D387" s="39">
        <f>D388</f>
        <v>1161.8</v>
      </c>
      <c r="E387" s="39">
        <f t="shared" ref="E387:F387" si="127">E388</f>
        <v>0</v>
      </c>
      <c r="F387" s="39">
        <f t="shared" si="127"/>
        <v>0</v>
      </c>
    </row>
    <row r="388" spans="1:6" ht="38.25">
      <c r="A388" s="74" t="s">
        <v>750</v>
      </c>
      <c r="B388" s="82" t="s">
        <v>214</v>
      </c>
      <c r="C388" s="98" t="s">
        <v>215</v>
      </c>
      <c r="D388" s="39">
        <v>1161.8</v>
      </c>
      <c r="E388" s="39">
        <v>0</v>
      </c>
      <c r="F388" s="39">
        <v>0</v>
      </c>
    </row>
    <row r="389" spans="1:6" ht="89.25">
      <c r="A389" s="74">
        <v>910110220</v>
      </c>
      <c r="B389" s="82"/>
      <c r="C389" s="124" t="s">
        <v>751</v>
      </c>
      <c r="D389" s="39">
        <f>D390</f>
        <v>10456.4</v>
      </c>
      <c r="E389" s="39">
        <f t="shared" ref="E389:F389" si="128">E390</f>
        <v>0</v>
      </c>
      <c r="F389" s="39">
        <f t="shared" si="128"/>
        <v>0</v>
      </c>
    </row>
    <row r="390" spans="1:6" ht="38.25">
      <c r="A390" s="74">
        <v>910110220</v>
      </c>
      <c r="B390" s="82" t="s">
        <v>214</v>
      </c>
      <c r="C390" s="98" t="s">
        <v>215</v>
      </c>
      <c r="D390" s="39">
        <v>10456.4</v>
      </c>
      <c r="E390" s="39">
        <v>0</v>
      </c>
      <c r="F390" s="39">
        <v>0</v>
      </c>
    </row>
    <row r="391" spans="1:6" ht="51">
      <c r="A391" s="74" t="s">
        <v>355</v>
      </c>
      <c r="B391" s="82"/>
      <c r="C391" s="123" t="s">
        <v>354</v>
      </c>
      <c r="D391" s="39">
        <f>D392</f>
        <v>4436.8</v>
      </c>
      <c r="E391" s="39">
        <f>E392</f>
        <v>2410.3000000000002</v>
      </c>
      <c r="F391" s="39">
        <f>F392</f>
        <v>2506.8000000000002</v>
      </c>
    </row>
    <row r="392" spans="1:6" ht="38.25">
      <c r="A392" s="74" t="s">
        <v>355</v>
      </c>
      <c r="B392" s="82" t="s">
        <v>214</v>
      </c>
      <c r="C392" s="98" t="s">
        <v>215</v>
      </c>
      <c r="D392" s="39">
        <f>2317.6-1000+3130.1-10.9</f>
        <v>4436.8</v>
      </c>
      <c r="E392" s="39">
        <v>2410.3000000000002</v>
      </c>
      <c r="F392" s="39">
        <v>2506.8000000000002</v>
      </c>
    </row>
    <row r="393" spans="1:6" ht="51">
      <c r="A393" s="138" t="s">
        <v>535</v>
      </c>
      <c r="B393" s="82"/>
      <c r="C393" s="123" t="s">
        <v>356</v>
      </c>
      <c r="D393" s="39">
        <f>D394</f>
        <v>9270.5</v>
      </c>
      <c r="E393" s="39">
        <f>E394</f>
        <v>9641.2999999999993</v>
      </c>
      <c r="F393" s="39">
        <f>F394</f>
        <v>10027</v>
      </c>
    </row>
    <row r="394" spans="1:6" ht="38.25">
      <c r="A394" s="138" t="s">
        <v>535</v>
      </c>
      <c r="B394" s="82" t="s">
        <v>214</v>
      </c>
      <c r="C394" s="98" t="s">
        <v>215</v>
      </c>
      <c r="D394" s="1">
        <v>9270.5</v>
      </c>
      <c r="E394" s="39">
        <v>9641.2999999999993</v>
      </c>
      <c r="F394" s="149">
        <v>10027</v>
      </c>
    </row>
    <row r="395" spans="1:6" ht="25.5">
      <c r="A395" s="74" t="s">
        <v>351</v>
      </c>
      <c r="B395" s="82"/>
      <c r="C395" s="98" t="s">
        <v>352</v>
      </c>
      <c r="D395" s="39">
        <f>D396</f>
        <v>10850.8</v>
      </c>
      <c r="E395" s="39">
        <f>E396</f>
        <v>14955.6</v>
      </c>
      <c r="F395" s="39">
        <f>F396</f>
        <v>15173.6</v>
      </c>
    </row>
    <row r="396" spans="1:6" ht="38.25">
      <c r="A396" s="74" t="s">
        <v>351</v>
      </c>
      <c r="B396" s="82" t="s">
        <v>214</v>
      </c>
      <c r="C396" s="98" t="s">
        <v>215</v>
      </c>
      <c r="D396" s="39">
        <f>14380.3+396.5-800-5193.4-1842.6+3931.5-21.5</f>
        <v>10850.8</v>
      </c>
      <c r="E396" s="39">
        <v>14955.6</v>
      </c>
      <c r="F396" s="39">
        <v>15173.6</v>
      </c>
    </row>
    <row r="397" spans="1:6" ht="25.5">
      <c r="A397" s="140" t="s">
        <v>536</v>
      </c>
      <c r="B397" s="82"/>
      <c r="C397" s="98" t="s">
        <v>353</v>
      </c>
      <c r="D397" s="39">
        <f>D398</f>
        <v>57521.3</v>
      </c>
      <c r="E397" s="39">
        <f>E398</f>
        <v>59822.2</v>
      </c>
      <c r="F397" s="39">
        <f>F398</f>
        <v>60694.400000000001</v>
      </c>
    </row>
    <row r="398" spans="1:6" ht="38.25">
      <c r="A398" s="140" t="s">
        <v>536</v>
      </c>
      <c r="B398" s="82" t="s">
        <v>214</v>
      </c>
      <c r="C398" s="98" t="s">
        <v>215</v>
      </c>
      <c r="D398" s="39">
        <v>57521.3</v>
      </c>
      <c r="E398" s="1">
        <v>59822.2</v>
      </c>
      <c r="F398" s="1">
        <v>60694.400000000001</v>
      </c>
    </row>
    <row r="399" spans="1:6" ht="25.5">
      <c r="A399" s="74">
        <v>910123425</v>
      </c>
      <c r="B399" s="82"/>
      <c r="C399" s="98" t="s">
        <v>386</v>
      </c>
      <c r="D399" s="39">
        <f>D400</f>
        <v>17615.100000000002</v>
      </c>
      <c r="E399" s="39">
        <f>E400</f>
        <v>0</v>
      </c>
      <c r="F399" s="39">
        <f>F400</f>
        <v>0</v>
      </c>
    </row>
    <row r="400" spans="1:6" ht="38.25">
      <c r="A400" s="74">
        <v>910123425</v>
      </c>
      <c r="B400" s="82" t="s">
        <v>214</v>
      </c>
      <c r="C400" s="98" t="s">
        <v>215</v>
      </c>
      <c r="D400" s="39">
        <f>1590+1493.2+1306.4+2176+2289.3+8760.2</f>
        <v>17615.100000000002</v>
      </c>
      <c r="E400" s="39">
        <v>0</v>
      </c>
      <c r="F400" s="39">
        <v>0</v>
      </c>
    </row>
    <row r="401" spans="1:7">
      <c r="A401" s="74">
        <v>910123430</v>
      </c>
      <c r="B401" s="82"/>
      <c r="C401" s="98" t="s">
        <v>662</v>
      </c>
      <c r="D401" s="39">
        <f>D402</f>
        <v>1154</v>
      </c>
      <c r="E401" s="39">
        <f t="shared" ref="E401:F401" si="129">E402</f>
        <v>0</v>
      </c>
      <c r="F401" s="39">
        <f t="shared" si="129"/>
        <v>0</v>
      </c>
    </row>
    <row r="402" spans="1:7" ht="38.25">
      <c r="A402" s="74">
        <v>910123430</v>
      </c>
      <c r="B402" s="82" t="s">
        <v>214</v>
      </c>
      <c r="C402" s="98" t="s">
        <v>215</v>
      </c>
      <c r="D402" s="39">
        <f>817+337</f>
        <v>1154</v>
      </c>
      <c r="E402" s="39">
        <v>0</v>
      </c>
      <c r="F402" s="39">
        <v>0</v>
      </c>
    </row>
    <row r="403" spans="1:7" ht="63.75">
      <c r="A403" s="52" t="s">
        <v>217</v>
      </c>
      <c r="B403" s="30"/>
      <c r="C403" s="46" t="s">
        <v>188</v>
      </c>
      <c r="D403" s="93">
        <f>D404</f>
        <v>27326.400000000001</v>
      </c>
      <c r="E403" s="93">
        <f t="shared" ref="E403:F403" si="130">E404</f>
        <v>25353.4</v>
      </c>
      <c r="F403" s="93">
        <f t="shared" si="130"/>
        <v>25329.4</v>
      </c>
    </row>
    <row r="404" spans="1:7" ht="25.5">
      <c r="A404" s="74">
        <v>920100000</v>
      </c>
      <c r="B404" s="30"/>
      <c r="C404" s="97" t="s">
        <v>301</v>
      </c>
      <c r="D404" s="39">
        <f>D405+D407+D409+D411</f>
        <v>27326.400000000001</v>
      </c>
      <c r="E404" s="39">
        <f t="shared" ref="E404:F404" si="131">E405+E407+E409+E411</f>
        <v>25353.4</v>
      </c>
      <c r="F404" s="39">
        <f t="shared" si="131"/>
        <v>25329.4</v>
      </c>
    </row>
    <row r="405" spans="1:7" ht="63.75">
      <c r="A405" s="74" t="s">
        <v>310</v>
      </c>
      <c r="B405" s="30"/>
      <c r="C405" s="97" t="s">
        <v>218</v>
      </c>
      <c r="D405" s="39">
        <f>D406</f>
        <v>5028.8</v>
      </c>
      <c r="E405" s="39">
        <f>E406</f>
        <v>5039.7</v>
      </c>
      <c r="F405" s="39">
        <f>F406</f>
        <v>5054.8999999999996</v>
      </c>
      <c r="G405" s="103"/>
    </row>
    <row r="406" spans="1:7" ht="38.25">
      <c r="A406" s="74" t="s">
        <v>310</v>
      </c>
      <c r="B406" s="82" t="s">
        <v>214</v>
      </c>
      <c r="C406" s="98" t="s">
        <v>215</v>
      </c>
      <c r="D406" s="39">
        <v>5028.8</v>
      </c>
      <c r="E406" s="39">
        <v>5039.7</v>
      </c>
      <c r="F406" s="39">
        <v>5054.8999999999996</v>
      </c>
    </row>
    <row r="407" spans="1:7" ht="51">
      <c r="A407" s="74">
        <v>920110300</v>
      </c>
      <c r="B407" s="16"/>
      <c r="C407" s="97" t="s">
        <v>770</v>
      </c>
      <c r="D407" s="39">
        <f>D408</f>
        <v>20115.2</v>
      </c>
      <c r="E407" s="39">
        <f>E408</f>
        <v>20158.8</v>
      </c>
      <c r="F407" s="39">
        <f>F408</f>
        <v>20219.5</v>
      </c>
    </row>
    <row r="408" spans="1:7" ht="38.25">
      <c r="A408" s="74">
        <v>920110300</v>
      </c>
      <c r="B408" s="82" t="s">
        <v>214</v>
      </c>
      <c r="C408" s="98" t="s">
        <v>215</v>
      </c>
      <c r="D408" s="39">
        <v>20115.2</v>
      </c>
      <c r="E408" s="39">
        <v>20158.8</v>
      </c>
      <c r="F408" s="39">
        <v>20219.5</v>
      </c>
    </row>
    <row r="409" spans="1:7" ht="52.5" customHeight="1">
      <c r="A409" s="74">
        <v>920123490</v>
      </c>
      <c r="B409" s="82"/>
      <c r="C409" s="54" t="s">
        <v>538</v>
      </c>
      <c r="D409" s="39">
        <f>D410</f>
        <v>0</v>
      </c>
      <c r="E409" s="39">
        <f t="shared" ref="E409:F409" si="132">E410</f>
        <v>0</v>
      </c>
      <c r="F409" s="39">
        <f t="shared" si="132"/>
        <v>55</v>
      </c>
    </row>
    <row r="410" spans="1:7" ht="38.25">
      <c r="A410" s="74">
        <v>920123490</v>
      </c>
      <c r="B410" s="82" t="s">
        <v>214</v>
      </c>
      <c r="C410" s="98" t="s">
        <v>215</v>
      </c>
      <c r="D410" s="39">
        <v>0</v>
      </c>
      <c r="E410" s="39">
        <v>0</v>
      </c>
      <c r="F410" s="39">
        <v>55</v>
      </c>
    </row>
    <row r="411" spans="1:7" ht="63.75">
      <c r="A411" s="74">
        <v>920123495</v>
      </c>
      <c r="B411" s="82"/>
      <c r="C411" s="54" t="s">
        <v>605</v>
      </c>
      <c r="D411" s="39">
        <f>D412</f>
        <v>2182.4</v>
      </c>
      <c r="E411" s="39">
        <f>E412</f>
        <v>154.9</v>
      </c>
      <c r="F411" s="39">
        <f>F412</f>
        <v>0</v>
      </c>
    </row>
    <row r="412" spans="1:7" ht="38.25">
      <c r="A412" s="74">
        <v>920123495</v>
      </c>
      <c r="B412" s="82" t="s">
        <v>214</v>
      </c>
      <c r="C412" s="98" t="s">
        <v>215</v>
      </c>
      <c r="D412" s="39">
        <f>2116.9+65.5</f>
        <v>2182.4</v>
      </c>
      <c r="E412" s="39">
        <v>154.9</v>
      </c>
      <c r="F412" s="39">
        <v>0</v>
      </c>
    </row>
    <row r="413" spans="1:7" ht="77.25" customHeight="1">
      <c r="A413" s="73" t="s">
        <v>72</v>
      </c>
      <c r="B413" s="16"/>
      <c r="C413" s="53" t="s">
        <v>626</v>
      </c>
      <c r="D413" s="96">
        <f>D414+D418</f>
        <v>244</v>
      </c>
      <c r="E413" s="96">
        <f t="shared" ref="E413:F413" si="133">E414+E418</f>
        <v>84</v>
      </c>
      <c r="F413" s="96">
        <f t="shared" si="133"/>
        <v>84</v>
      </c>
    </row>
    <row r="414" spans="1:7" ht="51">
      <c r="A414" s="52" t="s">
        <v>73</v>
      </c>
      <c r="B414" s="16"/>
      <c r="C414" s="60" t="s">
        <v>189</v>
      </c>
      <c r="D414" s="58">
        <f t="shared" ref="D414:F415" si="134">D415</f>
        <v>34</v>
      </c>
      <c r="E414" s="58">
        <f t="shared" si="134"/>
        <v>34</v>
      </c>
      <c r="F414" s="58">
        <f t="shared" si="134"/>
        <v>34</v>
      </c>
    </row>
    <row r="415" spans="1:7" ht="38.25">
      <c r="A415" s="21" t="s">
        <v>229</v>
      </c>
      <c r="B415" s="82"/>
      <c r="C415" s="98" t="s">
        <v>346</v>
      </c>
      <c r="D415" s="41">
        <f>D416</f>
        <v>34</v>
      </c>
      <c r="E415" s="41">
        <f t="shared" si="134"/>
        <v>34</v>
      </c>
      <c r="F415" s="41">
        <f t="shared" si="134"/>
        <v>34</v>
      </c>
    </row>
    <row r="416" spans="1:7" ht="63.75">
      <c r="A416" s="21" t="s">
        <v>539</v>
      </c>
      <c r="B416" s="16"/>
      <c r="C416" s="98" t="s">
        <v>347</v>
      </c>
      <c r="D416" s="41">
        <f>D417</f>
        <v>34</v>
      </c>
      <c r="E416" s="41">
        <f>E417</f>
        <v>34</v>
      </c>
      <c r="F416" s="41">
        <f>F417</f>
        <v>34</v>
      </c>
    </row>
    <row r="417" spans="1:6" ht="25.5">
      <c r="A417" s="21" t="s">
        <v>539</v>
      </c>
      <c r="B417" s="82" t="s">
        <v>65</v>
      </c>
      <c r="C417" s="55" t="s">
        <v>131</v>
      </c>
      <c r="D417" s="41">
        <v>34</v>
      </c>
      <c r="E417" s="41">
        <v>34</v>
      </c>
      <c r="F417" s="41">
        <v>34</v>
      </c>
    </row>
    <row r="418" spans="1:6" ht="63.75">
      <c r="A418" s="52" t="s">
        <v>540</v>
      </c>
      <c r="B418" s="16"/>
      <c r="C418" s="48" t="s">
        <v>181</v>
      </c>
      <c r="D418" s="93">
        <f>D419+D424</f>
        <v>210</v>
      </c>
      <c r="E418" s="93">
        <f t="shared" ref="E418:F418" si="135">E419+E424</f>
        <v>50</v>
      </c>
      <c r="F418" s="93">
        <f t="shared" si="135"/>
        <v>50</v>
      </c>
    </row>
    <row r="419" spans="1:6" ht="51">
      <c r="A419" s="21" t="s">
        <v>541</v>
      </c>
      <c r="B419" s="16"/>
      <c r="C419" s="99" t="s">
        <v>319</v>
      </c>
      <c r="D419" s="39">
        <f>D420+D422</f>
        <v>40</v>
      </c>
      <c r="E419" s="39">
        <f>E420+E422</f>
        <v>50</v>
      </c>
      <c r="F419" s="39">
        <f>F420+F422</f>
        <v>50</v>
      </c>
    </row>
    <row r="420" spans="1:6" ht="77.25" customHeight="1">
      <c r="A420" s="74">
        <v>1020123085</v>
      </c>
      <c r="B420" s="16"/>
      <c r="C420" s="98" t="s">
        <v>182</v>
      </c>
      <c r="D420" s="41">
        <f>D421</f>
        <v>5</v>
      </c>
      <c r="E420" s="41">
        <f>E421</f>
        <v>5</v>
      </c>
      <c r="F420" s="41">
        <f>F421</f>
        <v>5</v>
      </c>
    </row>
    <row r="421" spans="1:6" ht="38.25">
      <c r="A421" s="74">
        <v>1020123085</v>
      </c>
      <c r="B421" s="82" t="s">
        <v>214</v>
      </c>
      <c r="C421" s="98" t="s">
        <v>215</v>
      </c>
      <c r="D421" s="41">
        <v>5</v>
      </c>
      <c r="E421" s="41">
        <v>5</v>
      </c>
      <c r="F421" s="41">
        <v>5</v>
      </c>
    </row>
    <row r="422" spans="1:6">
      <c r="A422" s="74">
        <v>1020123086</v>
      </c>
      <c r="B422" s="16"/>
      <c r="C422" s="98" t="s">
        <v>183</v>
      </c>
      <c r="D422" s="41">
        <f>D423</f>
        <v>35</v>
      </c>
      <c r="E422" s="41">
        <f>E423</f>
        <v>45</v>
      </c>
      <c r="F422" s="41">
        <f>F423</f>
        <v>45</v>
      </c>
    </row>
    <row r="423" spans="1:6" ht="38.25">
      <c r="A423" s="74">
        <v>1020123086</v>
      </c>
      <c r="B423" s="82" t="s">
        <v>214</v>
      </c>
      <c r="C423" s="98" t="s">
        <v>215</v>
      </c>
      <c r="D423" s="41">
        <v>35</v>
      </c>
      <c r="E423" s="41">
        <v>45</v>
      </c>
      <c r="F423" s="41">
        <v>45</v>
      </c>
    </row>
    <row r="424" spans="1:6" ht="53.25" customHeight="1">
      <c r="A424" s="52" t="s">
        <v>670</v>
      </c>
      <c r="B424" s="82"/>
      <c r="C424" s="98" t="s">
        <v>708</v>
      </c>
      <c r="D424" s="41">
        <f>D425</f>
        <v>170</v>
      </c>
      <c r="E424" s="41">
        <f t="shared" ref="E424:F424" si="136">E425</f>
        <v>0</v>
      </c>
      <c r="F424" s="41">
        <f t="shared" si="136"/>
        <v>0</v>
      </c>
    </row>
    <row r="425" spans="1:6" ht="30" customHeight="1">
      <c r="A425" s="74">
        <v>1030300000</v>
      </c>
      <c r="B425" s="82"/>
      <c r="C425" s="98" t="s">
        <v>677</v>
      </c>
      <c r="D425" s="41">
        <f>D426+D428+D430</f>
        <v>170</v>
      </c>
      <c r="E425" s="41">
        <f t="shared" ref="E425:F425" si="137">E426+E428+E430</f>
        <v>0</v>
      </c>
      <c r="F425" s="41">
        <f t="shared" si="137"/>
        <v>0</v>
      </c>
    </row>
    <row r="426" spans="1:6" ht="38.25">
      <c r="A426" s="74">
        <v>1030323090</v>
      </c>
      <c r="B426" s="82"/>
      <c r="C426" s="98" t="s">
        <v>671</v>
      </c>
      <c r="D426" s="41">
        <f>D427</f>
        <v>10</v>
      </c>
      <c r="E426" s="41">
        <f t="shared" ref="E426:F426" si="138">E427</f>
        <v>0</v>
      </c>
      <c r="F426" s="41">
        <f t="shared" si="138"/>
        <v>0</v>
      </c>
    </row>
    <row r="427" spans="1:6" ht="38.25">
      <c r="A427" s="74">
        <v>1030323090</v>
      </c>
      <c r="B427" s="82" t="s">
        <v>214</v>
      </c>
      <c r="C427" s="98" t="s">
        <v>215</v>
      </c>
      <c r="D427" s="41">
        <v>10</v>
      </c>
      <c r="E427" s="41">
        <v>0</v>
      </c>
      <c r="F427" s="41">
        <v>0</v>
      </c>
    </row>
    <row r="428" spans="1:6" ht="25.5">
      <c r="A428" s="74">
        <v>1030323091</v>
      </c>
      <c r="B428" s="82"/>
      <c r="C428" s="98" t="s">
        <v>672</v>
      </c>
      <c r="D428" s="41">
        <f>D429</f>
        <v>130</v>
      </c>
      <c r="E428" s="41">
        <f t="shared" ref="E428:F428" si="139">E429</f>
        <v>0</v>
      </c>
      <c r="F428" s="41">
        <f t="shared" si="139"/>
        <v>0</v>
      </c>
    </row>
    <row r="429" spans="1:6" ht="38.25">
      <c r="A429" s="74">
        <v>1030323091</v>
      </c>
      <c r="B429" s="82" t="s">
        <v>214</v>
      </c>
      <c r="C429" s="98" t="s">
        <v>215</v>
      </c>
      <c r="D429" s="41">
        <v>130</v>
      </c>
      <c r="E429" s="41">
        <v>0</v>
      </c>
      <c r="F429" s="41">
        <v>0</v>
      </c>
    </row>
    <row r="430" spans="1:6" ht="38.25">
      <c r="A430" s="74">
        <v>1030323092</v>
      </c>
      <c r="B430" s="82"/>
      <c r="C430" s="98" t="s">
        <v>673</v>
      </c>
      <c r="D430" s="41">
        <f>D431</f>
        <v>30</v>
      </c>
      <c r="E430" s="41">
        <f t="shared" ref="E430:F430" si="140">E431</f>
        <v>0</v>
      </c>
      <c r="F430" s="41">
        <f t="shared" si="140"/>
        <v>0</v>
      </c>
    </row>
    <row r="431" spans="1:6" ht="38.25">
      <c r="A431" s="74">
        <v>1030323092</v>
      </c>
      <c r="B431" s="82" t="s">
        <v>214</v>
      </c>
      <c r="C431" s="98" t="s">
        <v>215</v>
      </c>
      <c r="D431" s="41">
        <v>30</v>
      </c>
      <c r="E431" s="41">
        <v>0</v>
      </c>
      <c r="F431" s="41">
        <v>0</v>
      </c>
    </row>
    <row r="432" spans="1:6" ht="90" customHeight="1">
      <c r="A432" s="73" t="s">
        <v>51</v>
      </c>
      <c r="B432" s="16"/>
      <c r="C432" s="64" t="s">
        <v>627</v>
      </c>
      <c r="D432" s="59">
        <f>D433+D439+D444+D450</f>
        <v>2334.7999999999997</v>
      </c>
      <c r="E432" s="59">
        <f>E433+E439+E444+E450</f>
        <v>1500</v>
      </c>
      <c r="F432" s="59">
        <f>F433+F439+F444+F450</f>
        <v>1500</v>
      </c>
    </row>
    <row r="433" spans="1:6" ht="51">
      <c r="A433" s="52" t="s">
        <v>52</v>
      </c>
      <c r="B433" s="16"/>
      <c r="C433" s="48" t="s">
        <v>205</v>
      </c>
      <c r="D433" s="93">
        <f>D435+D437</f>
        <v>337.4</v>
      </c>
      <c r="E433" s="93">
        <f>E435+E437</f>
        <v>80</v>
      </c>
      <c r="F433" s="93">
        <f>F435+F437</f>
        <v>80</v>
      </c>
    </row>
    <row r="434" spans="1:6" ht="63.75">
      <c r="A434" s="21" t="s">
        <v>221</v>
      </c>
      <c r="B434" s="16"/>
      <c r="C434" s="99" t="s">
        <v>297</v>
      </c>
      <c r="D434" s="39">
        <f>D435+D437</f>
        <v>337.4</v>
      </c>
      <c r="E434" s="39">
        <f t="shared" ref="E434:F434" si="141">E435+E437</f>
        <v>80</v>
      </c>
      <c r="F434" s="39">
        <f t="shared" si="141"/>
        <v>80</v>
      </c>
    </row>
    <row r="435" spans="1:6" ht="25.5">
      <c r="A435" s="74">
        <v>1110123305</v>
      </c>
      <c r="B435" s="16"/>
      <c r="C435" s="99" t="s">
        <v>220</v>
      </c>
      <c r="D435" s="39">
        <f>D436</f>
        <v>297.39999999999998</v>
      </c>
      <c r="E435" s="39">
        <f>E436</f>
        <v>40</v>
      </c>
      <c r="F435" s="39">
        <f>F436</f>
        <v>40</v>
      </c>
    </row>
    <row r="436" spans="1:6" ht="38.25">
      <c r="A436" s="74">
        <v>1110123305</v>
      </c>
      <c r="B436" s="82" t="s">
        <v>214</v>
      </c>
      <c r="C436" s="98" t="s">
        <v>215</v>
      </c>
      <c r="D436" s="39">
        <v>297.39999999999998</v>
      </c>
      <c r="E436" s="39">
        <v>40</v>
      </c>
      <c r="F436" s="39">
        <v>40</v>
      </c>
    </row>
    <row r="437" spans="1:6" ht="51">
      <c r="A437" s="74">
        <v>1110123310</v>
      </c>
      <c r="B437" s="16"/>
      <c r="C437" s="99" t="s">
        <v>208</v>
      </c>
      <c r="D437" s="41">
        <f>D438</f>
        <v>40</v>
      </c>
      <c r="E437" s="41">
        <f>E438</f>
        <v>40</v>
      </c>
      <c r="F437" s="41">
        <f>F438</f>
        <v>40</v>
      </c>
    </row>
    <row r="438" spans="1:6" ht="38.25">
      <c r="A438" s="74">
        <v>1110123310</v>
      </c>
      <c r="B438" s="82" t="s">
        <v>214</v>
      </c>
      <c r="C438" s="98" t="s">
        <v>215</v>
      </c>
      <c r="D438" s="41">
        <v>40</v>
      </c>
      <c r="E438" s="41">
        <v>40</v>
      </c>
      <c r="F438" s="41">
        <v>40</v>
      </c>
    </row>
    <row r="439" spans="1:6" ht="38.25">
      <c r="A439" s="52" t="s">
        <v>53</v>
      </c>
      <c r="B439" s="82"/>
      <c r="C439" s="48" t="s">
        <v>201</v>
      </c>
      <c r="D439" s="41">
        <f t="shared" ref="D439:F440" si="142">D440</f>
        <v>1972.3999999999999</v>
      </c>
      <c r="E439" s="41">
        <f t="shared" si="142"/>
        <v>1400</v>
      </c>
      <c r="F439" s="41">
        <f t="shared" si="142"/>
        <v>1400</v>
      </c>
    </row>
    <row r="440" spans="1:6" ht="51">
      <c r="A440" s="21" t="s">
        <v>222</v>
      </c>
      <c r="B440" s="82"/>
      <c r="C440" s="99" t="s">
        <v>308</v>
      </c>
      <c r="D440" s="41">
        <f t="shared" si="142"/>
        <v>1972.3999999999999</v>
      </c>
      <c r="E440" s="41">
        <f t="shared" si="142"/>
        <v>1400</v>
      </c>
      <c r="F440" s="41">
        <f t="shared" si="142"/>
        <v>1400</v>
      </c>
    </row>
    <row r="441" spans="1:6" ht="38.25">
      <c r="A441" s="74">
        <v>1120123315</v>
      </c>
      <c r="B441" s="16"/>
      <c r="C441" s="98" t="s">
        <v>542</v>
      </c>
      <c r="D441" s="41">
        <f>SUM(D442:D443)</f>
        <v>1972.3999999999999</v>
      </c>
      <c r="E441" s="41">
        <f>SUM(E442:E443)</f>
        <v>1400</v>
      </c>
      <c r="F441" s="41">
        <f>SUM(F442:F443)</f>
        <v>1400</v>
      </c>
    </row>
    <row r="442" spans="1:6" ht="25.5">
      <c r="A442" s="74">
        <v>1120123315</v>
      </c>
      <c r="B442" s="82" t="s">
        <v>65</v>
      </c>
      <c r="C442" s="55" t="s">
        <v>131</v>
      </c>
      <c r="D442" s="41">
        <v>118.1</v>
      </c>
      <c r="E442" s="41">
        <v>51.2</v>
      </c>
      <c r="F442" s="41">
        <v>51.2</v>
      </c>
    </row>
    <row r="443" spans="1:6" ht="38.25">
      <c r="A443" s="74">
        <v>1120123315</v>
      </c>
      <c r="B443" s="82" t="s">
        <v>214</v>
      </c>
      <c r="C443" s="98" t="s">
        <v>215</v>
      </c>
      <c r="D443" s="41">
        <v>1854.3</v>
      </c>
      <c r="E443" s="41">
        <v>1348.8</v>
      </c>
      <c r="F443" s="41">
        <v>1348.8</v>
      </c>
    </row>
    <row r="444" spans="1:6" ht="39" customHeight="1">
      <c r="A444" s="52" t="s">
        <v>54</v>
      </c>
      <c r="B444" s="16"/>
      <c r="C444" s="48" t="s">
        <v>255</v>
      </c>
      <c r="D444" s="93">
        <f>D445</f>
        <v>10</v>
      </c>
      <c r="E444" s="93">
        <f>E445</f>
        <v>5</v>
      </c>
      <c r="F444" s="93">
        <f>F445</f>
        <v>5</v>
      </c>
    </row>
    <row r="445" spans="1:6" ht="63.75">
      <c r="A445" s="21" t="s">
        <v>223</v>
      </c>
      <c r="B445" s="16"/>
      <c r="C445" s="99" t="s">
        <v>317</v>
      </c>
      <c r="D445" s="39">
        <f>D446+D448</f>
        <v>10</v>
      </c>
      <c r="E445" s="39">
        <f>E446+E448</f>
        <v>5</v>
      </c>
      <c r="F445" s="39">
        <f>F446+F448</f>
        <v>5</v>
      </c>
    </row>
    <row r="446" spans="1:6" ht="25.5">
      <c r="A446" s="74">
        <v>1130123320</v>
      </c>
      <c r="B446" s="16"/>
      <c r="C446" s="98" t="s">
        <v>256</v>
      </c>
      <c r="D446" s="41">
        <f>D447</f>
        <v>6.8</v>
      </c>
      <c r="E446" s="41">
        <f>E447</f>
        <v>4</v>
      </c>
      <c r="F446" s="41">
        <f>F447</f>
        <v>4</v>
      </c>
    </row>
    <row r="447" spans="1:6" ht="38.25">
      <c r="A447" s="74">
        <v>1130123320</v>
      </c>
      <c r="B447" s="82" t="s">
        <v>214</v>
      </c>
      <c r="C447" s="98" t="s">
        <v>215</v>
      </c>
      <c r="D447" s="41">
        <f>8-1.2</f>
        <v>6.8</v>
      </c>
      <c r="E447" s="41">
        <v>4</v>
      </c>
      <c r="F447" s="41">
        <v>4</v>
      </c>
    </row>
    <row r="448" spans="1:6" ht="24" customHeight="1">
      <c r="A448" s="74">
        <v>1130123325</v>
      </c>
      <c r="B448" s="16"/>
      <c r="C448" s="98" t="s">
        <v>224</v>
      </c>
      <c r="D448" s="41">
        <f>D449</f>
        <v>3.2</v>
      </c>
      <c r="E448" s="41">
        <f>E449</f>
        <v>1</v>
      </c>
      <c r="F448" s="41">
        <f>F449</f>
        <v>1</v>
      </c>
    </row>
    <row r="449" spans="1:7" ht="38.25">
      <c r="A449" s="74">
        <v>1130123325</v>
      </c>
      <c r="B449" s="82" t="s">
        <v>214</v>
      </c>
      <c r="C449" s="98" t="s">
        <v>215</v>
      </c>
      <c r="D449" s="41">
        <f>2+1.2</f>
        <v>3.2</v>
      </c>
      <c r="E449" s="41">
        <v>1</v>
      </c>
      <c r="F449" s="41">
        <v>1</v>
      </c>
    </row>
    <row r="450" spans="1:7" ht="51">
      <c r="A450" s="52" t="s">
        <v>55</v>
      </c>
      <c r="B450" s="16"/>
      <c r="C450" s="48" t="s">
        <v>206</v>
      </c>
      <c r="D450" s="93">
        <f>D451</f>
        <v>15</v>
      </c>
      <c r="E450" s="93">
        <f t="shared" ref="E450:F450" si="143">E451</f>
        <v>15</v>
      </c>
      <c r="F450" s="93">
        <f t="shared" si="143"/>
        <v>15</v>
      </c>
    </row>
    <row r="451" spans="1:7" ht="51">
      <c r="A451" s="21" t="s">
        <v>296</v>
      </c>
      <c r="B451" s="82"/>
      <c r="C451" s="98" t="s">
        <v>225</v>
      </c>
      <c r="D451" s="41">
        <f>D452+D454</f>
        <v>15</v>
      </c>
      <c r="E451" s="41">
        <f t="shared" ref="E451:F451" si="144">E452+E454</f>
        <v>15</v>
      </c>
      <c r="F451" s="41">
        <f t="shared" si="144"/>
        <v>15</v>
      </c>
    </row>
    <row r="452" spans="1:7" ht="25.5">
      <c r="A452" s="74">
        <v>1140123330</v>
      </c>
      <c r="B452" s="16"/>
      <c r="C452" s="98" t="s">
        <v>195</v>
      </c>
      <c r="D452" s="41">
        <f>D453</f>
        <v>12</v>
      </c>
      <c r="E452" s="41">
        <f>E453</f>
        <v>12</v>
      </c>
      <c r="F452" s="41">
        <f>F453</f>
        <v>12</v>
      </c>
    </row>
    <row r="453" spans="1:7" ht="38.25">
      <c r="A453" s="74">
        <v>1140123330</v>
      </c>
      <c r="B453" s="82" t="s">
        <v>214</v>
      </c>
      <c r="C453" s="98" t="s">
        <v>215</v>
      </c>
      <c r="D453" s="41">
        <v>12</v>
      </c>
      <c r="E453" s="41">
        <v>12</v>
      </c>
      <c r="F453" s="41">
        <v>12</v>
      </c>
    </row>
    <row r="454" spans="1:7" ht="29.25" customHeight="1">
      <c r="A454" s="74">
        <v>1140123335</v>
      </c>
      <c r="B454" s="16"/>
      <c r="C454" s="98" t="s">
        <v>226</v>
      </c>
      <c r="D454" s="41">
        <f>D455</f>
        <v>3</v>
      </c>
      <c r="E454" s="41">
        <f>E455</f>
        <v>3</v>
      </c>
      <c r="F454" s="41">
        <f>F455</f>
        <v>3</v>
      </c>
    </row>
    <row r="455" spans="1:7" ht="38.25">
      <c r="A455" s="74">
        <v>1140123335</v>
      </c>
      <c r="B455" s="82" t="s">
        <v>214</v>
      </c>
      <c r="C455" s="98" t="s">
        <v>215</v>
      </c>
      <c r="D455" s="41">
        <v>3</v>
      </c>
      <c r="E455" s="41">
        <v>3</v>
      </c>
      <c r="F455" s="41">
        <v>3</v>
      </c>
    </row>
    <row r="456" spans="1:7" ht="77.25" customHeight="1">
      <c r="A456" s="73" t="s">
        <v>56</v>
      </c>
      <c r="B456" s="16"/>
      <c r="C456" s="53" t="s">
        <v>628</v>
      </c>
      <c r="D456" s="96">
        <f>D457+D469+D476+D485</f>
        <v>30608.400000000001</v>
      </c>
      <c r="E456" s="96">
        <f t="shared" ref="E456:F456" si="145">E457+E469+E476+E485</f>
        <v>16307</v>
      </c>
      <c r="F456" s="96">
        <f t="shared" si="145"/>
        <v>16307</v>
      </c>
      <c r="G456" s="103"/>
    </row>
    <row r="457" spans="1:7" ht="38.25">
      <c r="A457" s="52" t="s">
        <v>57</v>
      </c>
      <c r="B457" s="47"/>
      <c r="C457" s="48" t="s">
        <v>773</v>
      </c>
      <c r="D457" s="93">
        <f>D458+D466</f>
        <v>10792.7</v>
      </c>
      <c r="E457" s="93">
        <f t="shared" ref="E457:F457" si="146">E458+E466</f>
        <v>5450</v>
      </c>
      <c r="F457" s="93">
        <f t="shared" si="146"/>
        <v>5450</v>
      </c>
      <c r="G457" s="103"/>
    </row>
    <row r="458" spans="1:7" ht="38.25">
      <c r="A458" s="21" t="s">
        <v>240</v>
      </c>
      <c r="B458" s="47"/>
      <c r="C458" s="168" t="s">
        <v>659</v>
      </c>
      <c r="D458" s="93">
        <f>D459+D461+D464</f>
        <v>10442.700000000001</v>
      </c>
      <c r="E458" s="93">
        <f t="shared" ref="E458:F458" si="147">E459+E461+E464</f>
        <v>5100</v>
      </c>
      <c r="F458" s="93">
        <f t="shared" si="147"/>
        <v>5100</v>
      </c>
    </row>
    <row r="459" spans="1:7" ht="42" customHeight="1">
      <c r="A459" s="74">
        <v>1210123505</v>
      </c>
      <c r="B459" s="21"/>
      <c r="C459" s="98" t="s">
        <v>543</v>
      </c>
      <c r="D459" s="41">
        <f>D460</f>
        <v>4068.2000000000003</v>
      </c>
      <c r="E459" s="41">
        <f>E460</f>
        <v>1750</v>
      </c>
      <c r="F459" s="41">
        <f>F460</f>
        <v>1750</v>
      </c>
    </row>
    <row r="460" spans="1:7" ht="38.25">
      <c r="A460" s="74">
        <v>1210123505</v>
      </c>
      <c r="B460" s="82" t="s">
        <v>214</v>
      </c>
      <c r="C460" s="98" t="s">
        <v>215</v>
      </c>
      <c r="D460" s="39">
        <f>4057.1+14.3-3.2</f>
        <v>4068.2000000000003</v>
      </c>
      <c r="E460" s="39">
        <v>1750</v>
      </c>
      <c r="F460" s="39">
        <v>1750</v>
      </c>
    </row>
    <row r="461" spans="1:7" ht="63" customHeight="1">
      <c r="A461" s="74">
        <v>1210123510</v>
      </c>
      <c r="B461" s="21"/>
      <c r="C461" s="98" t="s">
        <v>241</v>
      </c>
      <c r="D461" s="41">
        <f>SUM(D462:D463)</f>
        <v>5242.6000000000004</v>
      </c>
      <c r="E461" s="41">
        <f t="shared" ref="E461:F461" si="148">SUM(E462:E463)</f>
        <v>2850</v>
      </c>
      <c r="F461" s="41">
        <f t="shared" si="148"/>
        <v>2850</v>
      </c>
    </row>
    <row r="462" spans="1:7" ht="38.25">
      <c r="A462" s="74">
        <v>1210123510</v>
      </c>
      <c r="B462" s="82" t="s">
        <v>214</v>
      </c>
      <c r="C462" s="98" t="s">
        <v>215</v>
      </c>
      <c r="D462" s="41">
        <f>5538.8-14.3-63.9-0.2-218</f>
        <v>5242.4000000000005</v>
      </c>
      <c r="E462" s="41">
        <v>2850</v>
      </c>
      <c r="F462" s="41">
        <v>2850</v>
      </c>
    </row>
    <row r="463" spans="1:7" s="170" customFormat="1">
      <c r="A463" s="74">
        <v>1210123510</v>
      </c>
      <c r="B463" s="82" t="s">
        <v>726</v>
      </c>
      <c r="C463" s="98" t="s">
        <v>727</v>
      </c>
      <c r="D463" s="41">
        <v>0.2</v>
      </c>
      <c r="E463" s="41">
        <v>0</v>
      </c>
      <c r="F463" s="41">
        <v>0</v>
      </c>
    </row>
    <row r="464" spans="1:7" ht="25.5">
      <c r="A464" s="74">
        <v>1210123515</v>
      </c>
      <c r="B464" s="16"/>
      <c r="C464" s="98" t="s">
        <v>23</v>
      </c>
      <c r="D464" s="41">
        <f>D465</f>
        <v>1131.9000000000001</v>
      </c>
      <c r="E464" s="41">
        <f>E465</f>
        <v>500</v>
      </c>
      <c r="F464" s="41">
        <f>F465</f>
        <v>500</v>
      </c>
    </row>
    <row r="465" spans="1:7" ht="38.25">
      <c r="A465" s="74">
        <v>1210123515</v>
      </c>
      <c r="B465" s="82" t="s">
        <v>214</v>
      </c>
      <c r="C465" s="98" t="s">
        <v>215</v>
      </c>
      <c r="D465" s="41">
        <v>1131.9000000000001</v>
      </c>
      <c r="E465" s="41">
        <v>500</v>
      </c>
      <c r="F465" s="41">
        <v>500</v>
      </c>
    </row>
    <row r="466" spans="1:7" ht="25.5">
      <c r="A466" s="21" t="s">
        <v>294</v>
      </c>
      <c r="B466" s="82"/>
      <c r="C466" s="99" t="s">
        <v>295</v>
      </c>
      <c r="D466" s="41">
        <f>D467</f>
        <v>350</v>
      </c>
      <c r="E466" s="41">
        <f t="shared" ref="E466:F466" si="149">E467</f>
        <v>350</v>
      </c>
      <c r="F466" s="41">
        <f t="shared" si="149"/>
        <v>350</v>
      </c>
    </row>
    <row r="467" spans="1:7" ht="25.5">
      <c r="A467" s="74">
        <v>1210223520</v>
      </c>
      <c r="B467" s="16"/>
      <c r="C467" s="98" t="s">
        <v>242</v>
      </c>
      <c r="D467" s="41">
        <f>D468</f>
        <v>350</v>
      </c>
      <c r="E467" s="41">
        <f>E468</f>
        <v>350</v>
      </c>
      <c r="F467" s="41">
        <f>F468</f>
        <v>350</v>
      </c>
    </row>
    <row r="468" spans="1:7" ht="38.25">
      <c r="A468" s="74">
        <v>1210223520</v>
      </c>
      <c r="B468" s="82" t="s">
        <v>214</v>
      </c>
      <c r="C468" s="98" t="s">
        <v>215</v>
      </c>
      <c r="D468" s="39">
        <v>350</v>
      </c>
      <c r="E468" s="39">
        <v>350</v>
      </c>
      <c r="F468" s="39">
        <v>350</v>
      </c>
    </row>
    <row r="469" spans="1:7" ht="25.5">
      <c r="A469" s="52" t="s">
        <v>58</v>
      </c>
      <c r="B469" s="47"/>
      <c r="C469" s="48" t="s">
        <v>26</v>
      </c>
      <c r="D469" s="93">
        <f>D470+D474</f>
        <v>1963.8</v>
      </c>
      <c r="E469" s="93">
        <f t="shared" ref="E469:F469" si="150">E470+E474</f>
        <v>1325</v>
      </c>
      <c r="F469" s="93">
        <f t="shared" si="150"/>
        <v>1325</v>
      </c>
      <c r="G469" s="103"/>
    </row>
    <row r="470" spans="1:7">
      <c r="A470" s="21" t="s">
        <v>243</v>
      </c>
      <c r="B470" s="47"/>
      <c r="C470" s="99" t="s">
        <v>244</v>
      </c>
      <c r="D470" s="39">
        <f t="shared" ref="D470:F471" si="151">D471</f>
        <v>1963.8</v>
      </c>
      <c r="E470" s="39">
        <f t="shared" si="151"/>
        <v>850</v>
      </c>
      <c r="F470" s="39">
        <f t="shared" si="151"/>
        <v>850</v>
      </c>
    </row>
    <row r="471" spans="1:7" ht="25.5">
      <c r="A471" s="79">
        <v>1220123525</v>
      </c>
      <c r="B471" s="16"/>
      <c r="C471" s="98" t="s">
        <v>192</v>
      </c>
      <c r="D471" s="41">
        <f t="shared" si="151"/>
        <v>1963.8</v>
      </c>
      <c r="E471" s="41">
        <f t="shared" si="151"/>
        <v>850</v>
      </c>
      <c r="F471" s="41">
        <f t="shared" si="151"/>
        <v>850</v>
      </c>
    </row>
    <row r="472" spans="1:7" ht="38.25">
      <c r="A472" s="79">
        <v>1220123525</v>
      </c>
      <c r="B472" s="82" t="s">
        <v>214</v>
      </c>
      <c r="C472" s="98" t="s">
        <v>215</v>
      </c>
      <c r="D472" s="41">
        <f>1972.7-8.9</f>
        <v>1963.8</v>
      </c>
      <c r="E472" s="41">
        <v>850</v>
      </c>
      <c r="F472" s="41">
        <v>850</v>
      </c>
    </row>
    <row r="473" spans="1:7" ht="40.5" customHeight="1">
      <c r="A473" s="21" t="s">
        <v>545</v>
      </c>
      <c r="B473" s="82"/>
      <c r="C473" s="99" t="s">
        <v>544</v>
      </c>
      <c r="D473" s="41">
        <f>D474</f>
        <v>0</v>
      </c>
      <c r="E473" s="41">
        <f t="shared" ref="E473:F473" si="152">E474</f>
        <v>475</v>
      </c>
      <c r="F473" s="41">
        <f t="shared" si="152"/>
        <v>475</v>
      </c>
    </row>
    <row r="474" spans="1:7" ht="25.5">
      <c r="A474" s="79">
        <v>1220223530</v>
      </c>
      <c r="B474" s="16"/>
      <c r="C474" s="98" t="s">
        <v>193</v>
      </c>
      <c r="D474" s="41">
        <f>D475</f>
        <v>0</v>
      </c>
      <c r="E474" s="41">
        <f>E475</f>
        <v>475</v>
      </c>
      <c r="F474" s="41">
        <f>F475</f>
        <v>475</v>
      </c>
    </row>
    <row r="475" spans="1:7" ht="38.25">
      <c r="A475" s="79">
        <v>1220223530</v>
      </c>
      <c r="B475" s="82" t="s">
        <v>214</v>
      </c>
      <c r="C475" s="98" t="s">
        <v>215</v>
      </c>
      <c r="D475" s="39">
        <v>0</v>
      </c>
      <c r="E475" s="39">
        <v>475</v>
      </c>
      <c r="F475" s="39">
        <v>475</v>
      </c>
    </row>
    <row r="476" spans="1:7" ht="38.25">
      <c r="A476" s="52" t="s">
        <v>59</v>
      </c>
      <c r="B476" s="47"/>
      <c r="C476" s="48" t="s">
        <v>660</v>
      </c>
      <c r="D476" s="93">
        <f>D477</f>
        <v>4668.4000000000005</v>
      </c>
      <c r="E476" s="93">
        <f t="shared" ref="E476:F476" si="153">E477</f>
        <v>4407</v>
      </c>
      <c r="F476" s="93">
        <f t="shared" si="153"/>
        <v>4407</v>
      </c>
    </row>
    <row r="477" spans="1:7" ht="39.75" customHeight="1">
      <c r="A477" s="21" t="s">
        <v>245</v>
      </c>
      <c r="B477" s="47"/>
      <c r="C477" s="99" t="s">
        <v>246</v>
      </c>
      <c r="D477" s="39">
        <f>D478+D481+D483</f>
        <v>4668.4000000000005</v>
      </c>
      <c r="E477" s="39">
        <f t="shared" ref="E477:F477" si="154">E478+E481+E483</f>
        <v>4407</v>
      </c>
      <c r="F477" s="39">
        <f t="shared" si="154"/>
        <v>4407</v>
      </c>
    </row>
    <row r="478" spans="1:7" ht="25.5">
      <c r="A478" s="21" t="s">
        <v>546</v>
      </c>
      <c r="B478" s="16"/>
      <c r="C478" s="98" t="s">
        <v>309</v>
      </c>
      <c r="D478" s="41">
        <f>SUM(D479:D480)</f>
        <v>3681.3</v>
      </c>
      <c r="E478" s="41">
        <f>E479</f>
        <v>3800</v>
      </c>
      <c r="F478" s="41">
        <f>F479</f>
        <v>3800</v>
      </c>
    </row>
    <row r="479" spans="1:7" ht="38.25">
      <c r="A479" s="21" t="s">
        <v>546</v>
      </c>
      <c r="B479" s="82" t="s">
        <v>214</v>
      </c>
      <c r="C479" s="98" t="s">
        <v>215</v>
      </c>
      <c r="D479" s="41">
        <f>3681.3-0.6</f>
        <v>3680.7000000000003</v>
      </c>
      <c r="E479" s="41">
        <v>3800</v>
      </c>
      <c r="F479" s="41">
        <v>3800</v>
      </c>
    </row>
    <row r="480" spans="1:7">
      <c r="A480" s="21" t="s">
        <v>546</v>
      </c>
      <c r="B480" s="82" t="s">
        <v>726</v>
      </c>
      <c r="C480" s="98" t="s">
        <v>727</v>
      </c>
      <c r="D480" s="41">
        <v>0.6</v>
      </c>
      <c r="E480" s="41">
        <v>0</v>
      </c>
      <c r="F480" s="41">
        <v>0</v>
      </c>
    </row>
    <row r="481" spans="1:6" ht="25.5">
      <c r="A481" s="21" t="s">
        <v>547</v>
      </c>
      <c r="B481" s="16"/>
      <c r="C481" s="98" t="s">
        <v>24</v>
      </c>
      <c r="D481" s="41">
        <f>D482</f>
        <v>980.1</v>
      </c>
      <c r="E481" s="41">
        <f>E482</f>
        <v>600</v>
      </c>
      <c r="F481" s="41">
        <f>F482</f>
        <v>600</v>
      </c>
    </row>
    <row r="482" spans="1:6" ht="38.25">
      <c r="A482" s="21" t="s">
        <v>547</v>
      </c>
      <c r="B482" s="82" t="s">
        <v>214</v>
      </c>
      <c r="C482" s="98" t="s">
        <v>215</v>
      </c>
      <c r="D482" s="41">
        <f>600+380.1</f>
        <v>980.1</v>
      </c>
      <c r="E482" s="41">
        <v>600</v>
      </c>
      <c r="F482" s="41">
        <v>600</v>
      </c>
    </row>
    <row r="483" spans="1:6" ht="25.5">
      <c r="A483" s="21" t="s">
        <v>548</v>
      </c>
      <c r="B483" s="16"/>
      <c r="C483" s="98" t="s">
        <v>194</v>
      </c>
      <c r="D483" s="41">
        <f>D484</f>
        <v>7</v>
      </c>
      <c r="E483" s="41">
        <f>E484</f>
        <v>7</v>
      </c>
      <c r="F483" s="41">
        <f>F484</f>
        <v>7</v>
      </c>
    </row>
    <row r="484" spans="1:6" ht="38.25">
      <c r="A484" s="21" t="s">
        <v>548</v>
      </c>
      <c r="B484" s="82" t="s">
        <v>214</v>
      </c>
      <c r="C484" s="98" t="s">
        <v>215</v>
      </c>
      <c r="D484" s="41">
        <v>7</v>
      </c>
      <c r="E484" s="41">
        <v>7</v>
      </c>
      <c r="F484" s="41">
        <v>7</v>
      </c>
    </row>
    <row r="485" spans="1:6" ht="51">
      <c r="A485" s="52" t="s">
        <v>549</v>
      </c>
      <c r="B485" s="16"/>
      <c r="C485" s="60" t="s">
        <v>550</v>
      </c>
      <c r="D485" s="41">
        <f>D486+D491+D496</f>
        <v>13183.5</v>
      </c>
      <c r="E485" s="41">
        <f>E486+E491+E496</f>
        <v>5125</v>
      </c>
      <c r="F485" s="41">
        <f>F486+F491+F496</f>
        <v>5125</v>
      </c>
    </row>
    <row r="486" spans="1:6" ht="50.25" customHeight="1">
      <c r="A486" s="21" t="s">
        <v>552</v>
      </c>
      <c r="B486" s="16"/>
      <c r="C486" s="99" t="s">
        <v>551</v>
      </c>
      <c r="D486" s="41">
        <f>D487+D489</f>
        <v>15</v>
      </c>
      <c r="E486" s="41">
        <f t="shared" ref="E486:F486" si="155">E487+E489</f>
        <v>265</v>
      </c>
      <c r="F486" s="41">
        <f t="shared" si="155"/>
        <v>265</v>
      </c>
    </row>
    <row r="487" spans="1:6" ht="25.5">
      <c r="A487" s="21" t="s">
        <v>553</v>
      </c>
      <c r="B487" s="16"/>
      <c r="C487" s="98" t="s">
        <v>379</v>
      </c>
      <c r="D487" s="41">
        <f>D488</f>
        <v>0</v>
      </c>
      <c r="E487" s="41">
        <f>E488</f>
        <v>250</v>
      </c>
      <c r="F487" s="41">
        <f>F488</f>
        <v>250</v>
      </c>
    </row>
    <row r="488" spans="1:6" ht="38.25">
      <c r="A488" s="21" t="s">
        <v>553</v>
      </c>
      <c r="B488" s="82" t="s">
        <v>214</v>
      </c>
      <c r="C488" s="98" t="s">
        <v>215</v>
      </c>
      <c r="D488" s="41">
        <v>0</v>
      </c>
      <c r="E488" s="41">
        <v>250</v>
      </c>
      <c r="F488" s="41">
        <v>250</v>
      </c>
    </row>
    <row r="489" spans="1:6" ht="54" customHeight="1">
      <c r="A489" s="21" t="s">
        <v>555</v>
      </c>
      <c r="B489" s="82"/>
      <c r="C489" s="98" t="s">
        <v>554</v>
      </c>
      <c r="D489" s="41">
        <f>D490</f>
        <v>15</v>
      </c>
      <c r="E489" s="41">
        <f t="shared" ref="E489:F489" si="156">E490</f>
        <v>15</v>
      </c>
      <c r="F489" s="41">
        <f t="shared" si="156"/>
        <v>15</v>
      </c>
    </row>
    <row r="490" spans="1:6" ht="38.25">
      <c r="A490" s="21" t="s">
        <v>555</v>
      </c>
      <c r="B490" s="82" t="s">
        <v>214</v>
      </c>
      <c r="C490" s="98" t="s">
        <v>215</v>
      </c>
      <c r="D490" s="41">
        <v>15</v>
      </c>
      <c r="E490" s="41">
        <v>15</v>
      </c>
      <c r="F490" s="41">
        <v>15</v>
      </c>
    </row>
    <row r="491" spans="1:6" ht="38.25">
      <c r="A491" s="21" t="s">
        <v>556</v>
      </c>
      <c r="B491" s="16"/>
      <c r="C491" s="99" t="s">
        <v>557</v>
      </c>
      <c r="D491" s="41">
        <f>D492+D494</f>
        <v>962.9</v>
      </c>
      <c r="E491" s="41">
        <f t="shared" ref="E491:F491" si="157">E492+E494</f>
        <v>10</v>
      </c>
      <c r="F491" s="41">
        <f t="shared" si="157"/>
        <v>10</v>
      </c>
    </row>
    <row r="492" spans="1:6" ht="25.5">
      <c r="A492" s="21" t="s">
        <v>663</v>
      </c>
      <c r="B492" s="16"/>
      <c r="C492" s="99" t="s">
        <v>664</v>
      </c>
      <c r="D492" s="41">
        <f>D493</f>
        <v>962.9</v>
      </c>
      <c r="E492" s="41">
        <f t="shared" ref="E492:F492" si="158">E493</f>
        <v>0</v>
      </c>
      <c r="F492" s="41">
        <f t="shared" si="158"/>
        <v>0</v>
      </c>
    </row>
    <row r="493" spans="1:6" ht="38.25">
      <c r="A493" s="21" t="s">
        <v>663</v>
      </c>
      <c r="B493" s="82" t="s">
        <v>214</v>
      </c>
      <c r="C493" s="98" t="s">
        <v>215</v>
      </c>
      <c r="D493" s="41">
        <f>799.5+163.4</f>
        <v>962.9</v>
      </c>
      <c r="E493" s="41">
        <v>0</v>
      </c>
      <c r="F493" s="41">
        <v>0</v>
      </c>
    </row>
    <row r="494" spans="1:6" ht="55.5" customHeight="1">
      <c r="A494" s="21" t="s">
        <v>563</v>
      </c>
      <c r="B494" s="82"/>
      <c r="C494" s="98" t="s">
        <v>564</v>
      </c>
      <c r="D494" s="41">
        <f>D495</f>
        <v>0</v>
      </c>
      <c r="E494" s="41">
        <f t="shared" ref="E494:F494" si="159">E495</f>
        <v>10</v>
      </c>
      <c r="F494" s="41">
        <f t="shared" si="159"/>
        <v>10</v>
      </c>
    </row>
    <row r="495" spans="1:6" ht="38.25">
      <c r="A495" s="21" t="s">
        <v>563</v>
      </c>
      <c r="B495" s="82" t="s">
        <v>214</v>
      </c>
      <c r="C495" s="98" t="s">
        <v>215</v>
      </c>
      <c r="D495" s="41">
        <v>0</v>
      </c>
      <c r="E495" s="41">
        <v>10</v>
      </c>
      <c r="F495" s="41">
        <v>10</v>
      </c>
    </row>
    <row r="496" spans="1:6" ht="44.25" customHeight="1">
      <c r="A496" s="21" t="s">
        <v>558</v>
      </c>
      <c r="B496" s="16"/>
      <c r="C496" s="98" t="s">
        <v>755</v>
      </c>
      <c r="D496" s="41">
        <f>D497+D499</f>
        <v>12205.6</v>
      </c>
      <c r="E496" s="41">
        <f t="shared" ref="E496:F496" si="160">E497+E499</f>
        <v>4850</v>
      </c>
      <c r="F496" s="41">
        <f t="shared" si="160"/>
        <v>4850</v>
      </c>
    </row>
    <row r="497" spans="1:6" ht="31.5" customHeight="1">
      <c r="A497" s="21" t="s">
        <v>559</v>
      </c>
      <c r="B497" s="82"/>
      <c r="C497" s="98" t="s">
        <v>562</v>
      </c>
      <c r="D497" s="41">
        <f t="shared" ref="D497" si="161">D498</f>
        <v>9200</v>
      </c>
      <c r="E497" s="41">
        <f t="shared" ref="E497" si="162">E498</f>
        <v>3800</v>
      </c>
      <c r="F497" s="41">
        <f t="shared" ref="F497" si="163">F498</f>
        <v>3800</v>
      </c>
    </row>
    <row r="498" spans="1:6" ht="38.25">
      <c r="A498" s="21" t="s">
        <v>559</v>
      </c>
      <c r="B498" s="82" t="s">
        <v>214</v>
      </c>
      <c r="C498" s="98" t="s">
        <v>215</v>
      </c>
      <c r="D498" s="41">
        <v>9200</v>
      </c>
      <c r="E498" s="41">
        <v>3800</v>
      </c>
      <c r="F498" s="41">
        <v>3800</v>
      </c>
    </row>
    <row r="499" spans="1:6">
      <c r="A499" s="21" t="s">
        <v>560</v>
      </c>
      <c r="B499" s="82"/>
      <c r="C499" s="98" t="s">
        <v>561</v>
      </c>
      <c r="D499" s="41">
        <f>D500</f>
        <v>3005.6</v>
      </c>
      <c r="E499" s="41">
        <f t="shared" ref="E499:F499" si="164">E500</f>
        <v>1050</v>
      </c>
      <c r="F499" s="41">
        <f t="shared" si="164"/>
        <v>1050</v>
      </c>
    </row>
    <row r="500" spans="1:6" ht="38.25">
      <c r="A500" s="21" t="s">
        <v>560</v>
      </c>
      <c r="B500" s="82" t="s">
        <v>214</v>
      </c>
      <c r="C500" s="98" t="s">
        <v>215</v>
      </c>
      <c r="D500" s="41">
        <f>3256.7-251.1</f>
        <v>3005.6</v>
      </c>
      <c r="E500" s="41">
        <v>1050</v>
      </c>
      <c r="F500" s="41">
        <v>1050</v>
      </c>
    </row>
    <row r="501" spans="1:6" ht="77.25">
      <c r="A501" s="73" t="s">
        <v>36</v>
      </c>
      <c r="B501" s="3"/>
      <c r="C501" s="142" t="s">
        <v>629</v>
      </c>
      <c r="D501" s="59">
        <f>D502+D516</f>
        <v>42925.5</v>
      </c>
      <c r="E501" s="59">
        <f>E502+E516</f>
        <v>10567.3</v>
      </c>
      <c r="F501" s="59">
        <f>F502+F516</f>
        <v>13970.5</v>
      </c>
    </row>
    <row r="502" spans="1:6" ht="26.25">
      <c r="A502" s="52" t="s">
        <v>37</v>
      </c>
      <c r="B502" s="3"/>
      <c r="C502" s="46" t="s">
        <v>84</v>
      </c>
      <c r="D502" s="41">
        <f>D503+D508+D513</f>
        <v>39899.199999999997</v>
      </c>
      <c r="E502" s="41">
        <f>E503+E508+E513</f>
        <v>8344</v>
      </c>
      <c r="F502" s="41">
        <f>F503+F508+F513</f>
        <v>11747.199999999999</v>
      </c>
    </row>
    <row r="503" spans="1:6" ht="26.25">
      <c r="A503" s="21" t="s">
        <v>280</v>
      </c>
      <c r="B503" s="3"/>
      <c r="C503" s="104" t="s">
        <v>281</v>
      </c>
      <c r="D503" s="41">
        <f>D504+D506</f>
        <v>3431.1000000000004</v>
      </c>
      <c r="E503" s="41">
        <f t="shared" ref="E503:F503" si="165">E504+E506</f>
        <v>686.2</v>
      </c>
      <c r="F503" s="41">
        <f t="shared" si="165"/>
        <v>857.8</v>
      </c>
    </row>
    <row r="504" spans="1:6" ht="39">
      <c r="A504" s="21" t="s">
        <v>311</v>
      </c>
      <c r="B504" s="3"/>
      <c r="C504" s="128" t="s">
        <v>204</v>
      </c>
      <c r="D504" s="41">
        <f t="shared" ref="D504:F504" si="166">D505</f>
        <v>686.2</v>
      </c>
      <c r="E504" s="41">
        <f t="shared" si="166"/>
        <v>686.2</v>
      </c>
      <c r="F504" s="41">
        <f t="shared" si="166"/>
        <v>857.8</v>
      </c>
    </row>
    <row r="505" spans="1:6">
      <c r="A505" s="21" t="s">
        <v>311</v>
      </c>
      <c r="B505" s="82" t="s">
        <v>253</v>
      </c>
      <c r="C505" s="102" t="s">
        <v>252</v>
      </c>
      <c r="D505" s="41">
        <v>686.2</v>
      </c>
      <c r="E505" s="41">
        <v>686.2</v>
      </c>
      <c r="F505" s="41">
        <v>857.8</v>
      </c>
    </row>
    <row r="506" spans="1:6" ht="38.25">
      <c r="A506" s="21" t="s">
        <v>723</v>
      </c>
      <c r="B506" s="82"/>
      <c r="C506" s="124" t="s">
        <v>724</v>
      </c>
      <c r="D506" s="41">
        <f>D507</f>
        <v>2744.9</v>
      </c>
      <c r="E506" s="41">
        <f t="shared" ref="E506:F506" si="167">E507</f>
        <v>0</v>
      </c>
      <c r="F506" s="41">
        <f t="shared" si="167"/>
        <v>0</v>
      </c>
    </row>
    <row r="507" spans="1:6">
      <c r="A507" s="21" t="s">
        <v>723</v>
      </c>
      <c r="B507" s="82" t="s">
        <v>253</v>
      </c>
      <c r="C507" s="102" t="s">
        <v>252</v>
      </c>
      <c r="D507" s="41">
        <v>2744.9</v>
      </c>
      <c r="E507" s="41">
        <v>0</v>
      </c>
      <c r="F507" s="41">
        <v>0</v>
      </c>
    </row>
    <row r="508" spans="1:6" ht="76.5">
      <c r="A508" s="21" t="s">
        <v>282</v>
      </c>
      <c r="B508" s="35"/>
      <c r="C508" s="97" t="s">
        <v>603</v>
      </c>
      <c r="D508" s="39">
        <f>D509+D511</f>
        <v>22416.6</v>
      </c>
      <c r="E508" s="39">
        <f>E509+E511</f>
        <v>4803.6000000000004</v>
      </c>
      <c r="F508" s="39">
        <f>F509+F511</f>
        <v>8005.9</v>
      </c>
    </row>
    <row r="509" spans="1:6" ht="51">
      <c r="A509" s="79">
        <v>1310210820</v>
      </c>
      <c r="B509" s="16"/>
      <c r="C509" s="98" t="s">
        <v>169</v>
      </c>
      <c r="D509" s="39">
        <f>D510</f>
        <v>14410.7</v>
      </c>
      <c r="E509" s="39">
        <f>E510</f>
        <v>0</v>
      </c>
      <c r="F509" s="39">
        <f>F510</f>
        <v>0</v>
      </c>
    </row>
    <row r="510" spans="1:6">
      <c r="A510" s="79">
        <v>1310210820</v>
      </c>
      <c r="B510" s="82" t="s">
        <v>253</v>
      </c>
      <c r="C510" s="102" t="s">
        <v>252</v>
      </c>
      <c r="D510" s="39">
        <f>4803.6+9607.1</f>
        <v>14410.7</v>
      </c>
      <c r="E510" s="39">
        <v>0</v>
      </c>
      <c r="F510" s="39">
        <v>0</v>
      </c>
    </row>
    <row r="511" spans="1:6" ht="38.25">
      <c r="A511" s="79" t="s">
        <v>344</v>
      </c>
      <c r="B511" s="16"/>
      <c r="C511" s="98" t="s">
        <v>318</v>
      </c>
      <c r="D511" s="39">
        <f>D512</f>
        <v>8005.9</v>
      </c>
      <c r="E511" s="39">
        <f>E512</f>
        <v>4803.6000000000004</v>
      </c>
      <c r="F511" s="39">
        <f>F512</f>
        <v>8005.9</v>
      </c>
    </row>
    <row r="512" spans="1:6">
      <c r="A512" s="79" t="s">
        <v>344</v>
      </c>
      <c r="B512" s="82" t="s">
        <v>253</v>
      </c>
      <c r="C512" s="102" t="s">
        <v>252</v>
      </c>
      <c r="D512" s="39">
        <f>17613-9607.1</f>
        <v>8005.9</v>
      </c>
      <c r="E512" s="39">
        <v>4803.6000000000004</v>
      </c>
      <c r="F512" s="39">
        <v>8005.9</v>
      </c>
    </row>
    <row r="513" spans="1:6" ht="25.5">
      <c r="A513" s="21" t="s">
        <v>305</v>
      </c>
      <c r="B513" s="82"/>
      <c r="C513" s="104" t="s">
        <v>339</v>
      </c>
      <c r="D513" s="41">
        <f t="shared" ref="D513:F514" si="168">D514</f>
        <v>14051.5</v>
      </c>
      <c r="E513" s="41">
        <f t="shared" si="168"/>
        <v>2854.2000000000003</v>
      </c>
      <c r="F513" s="41">
        <f t="shared" si="168"/>
        <v>2883.5</v>
      </c>
    </row>
    <row r="514" spans="1:6" ht="51">
      <c r="A514" s="74" t="s">
        <v>338</v>
      </c>
      <c r="B514" s="16"/>
      <c r="C514" s="98" t="s">
        <v>325</v>
      </c>
      <c r="D514" s="94">
        <f t="shared" si="168"/>
        <v>14051.5</v>
      </c>
      <c r="E514" s="94">
        <f t="shared" si="168"/>
        <v>2854.2000000000003</v>
      </c>
      <c r="F514" s="94">
        <f t="shared" si="168"/>
        <v>2883.5</v>
      </c>
    </row>
    <row r="515" spans="1:6" ht="26.25" customHeight="1">
      <c r="A515" s="74" t="s">
        <v>338</v>
      </c>
      <c r="B515" s="82" t="s">
        <v>265</v>
      </c>
      <c r="C515" s="98" t="s">
        <v>254</v>
      </c>
      <c r="D515" s="94">
        <f>2810.3+11241.2</f>
        <v>14051.5</v>
      </c>
      <c r="E515" s="94">
        <f>2810.3+43.9</f>
        <v>2854.2000000000003</v>
      </c>
      <c r="F515" s="94">
        <v>2883.5</v>
      </c>
    </row>
    <row r="516" spans="1:6" ht="25.5">
      <c r="A516" s="52" t="s">
        <v>38</v>
      </c>
      <c r="B516" s="16"/>
      <c r="C516" s="46" t="s">
        <v>81</v>
      </c>
      <c r="D516" s="93">
        <f>D517+D520</f>
        <v>3026.3</v>
      </c>
      <c r="E516" s="93">
        <f>E517+E520</f>
        <v>2223.3000000000002</v>
      </c>
      <c r="F516" s="93">
        <f>F517+F520</f>
        <v>2223.3000000000002</v>
      </c>
    </row>
    <row r="517" spans="1:6" ht="51">
      <c r="A517" s="21" t="s">
        <v>565</v>
      </c>
      <c r="B517" s="16"/>
      <c r="C517" s="104" t="s">
        <v>306</v>
      </c>
      <c r="D517" s="41">
        <f t="shared" ref="D517:F518" si="169">D518</f>
        <v>688</v>
      </c>
      <c r="E517" s="41">
        <f t="shared" si="169"/>
        <v>638</v>
      </c>
      <c r="F517" s="41">
        <f t="shared" si="169"/>
        <v>638</v>
      </c>
    </row>
    <row r="518" spans="1:6" ht="51">
      <c r="A518" s="79">
        <v>1320127100</v>
      </c>
      <c r="B518" s="16"/>
      <c r="C518" s="98" t="s">
        <v>3</v>
      </c>
      <c r="D518" s="41">
        <f t="shared" si="169"/>
        <v>688</v>
      </c>
      <c r="E518" s="41">
        <f t="shared" si="169"/>
        <v>638</v>
      </c>
      <c r="F518" s="41">
        <f t="shared" si="169"/>
        <v>638</v>
      </c>
    </row>
    <row r="519" spans="1:6" ht="63.75">
      <c r="A519" s="79">
        <v>1320127100</v>
      </c>
      <c r="B519" s="16" t="s">
        <v>19</v>
      </c>
      <c r="C519" s="99" t="s">
        <v>369</v>
      </c>
      <c r="D519" s="41">
        <v>688</v>
      </c>
      <c r="E519" s="41">
        <v>638</v>
      </c>
      <c r="F519" s="41">
        <v>638</v>
      </c>
    </row>
    <row r="520" spans="1:6" ht="39">
      <c r="A520" s="21" t="s">
        <v>283</v>
      </c>
      <c r="B520" s="3"/>
      <c r="C520" s="104" t="s">
        <v>753</v>
      </c>
      <c r="D520" s="39">
        <f t="shared" ref="D520:F521" si="170">D521</f>
        <v>2338.3000000000002</v>
      </c>
      <c r="E520" s="39">
        <f t="shared" si="170"/>
        <v>1585.3</v>
      </c>
      <c r="F520" s="39">
        <f t="shared" si="170"/>
        <v>1585.3</v>
      </c>
    </row>
    <row r="521" spans="1:6" ht="26.25">
      <c r="A521" s="79">
        <v>1320225100</v>
      </c>
      <c r="B521" s="3"/>
      <c r="C521" s="99" t="s">
        <v>371</v>
      </c>
      <c r="D521" s="41">
        <f t="shared" si="170"/>
        <v>2338.3000000000002</v>
      </c>
      <c r="E521" s="41">
        <f t="shared" si="170"/>
        <v>1585.3</v>
      </c>
      <c r="F521" s="41">
        <f t="shared" si="170"/>
        <v>1585.3</v>
      </c>
    </row>
    <row r="522" spans="1:6" ht="25.5">
      <c r="A522" s="79">
        <v>1320225100</v>
      </c>
      <c r="B522" s="82" t="s">
        <v>284</v>
      </c>
      <c r="C522" s="98" t="s">
        <v>285</v>
      </c>
      <c r="D522" s="39">
        <f>1585.3+753</f>
        <v>2338.3000000000002</v>
      </c>
      <c r="E522" s="39">
        <v>1585.3</v>
      </c>
      <c r="F522" s="39">
        <v>1585.3</v>
      </c>
    </row>
    <row r="523" spans="1:6" ht="77.25" customHeight="1">
      <c r="A523" s="76">
        <v>1400000000</v>
      </c>
      <c r="B523" s="16"/>
      <c r="C523" s="142" t="s">
        <v>630</v>
      </c>
      <c r="D523" s="96">
        <f>D524</f>
        <v>23135.4</v>
      </c>
      <c r="E523" s="96">
        <f t="shared" ref="E523:F523" si="171">E524</f>
        <v>717.4</v>
      </c>
      <c r="F523" s="96">
        <f t="shared" si="171"/>
        <v>0</v>
      </c>
    </row>
    <row r="524" spans="1:6" ht="76.5">
      <c r="A524" s="75">
        <v>1410000000</v>
      </c>
      <c r="B524" s="16"/>
      <c r="C524" s="48" t="s">
        <v>219</v>
      </c>
      <c r="D524" s="93">
        <f>D525+D530</f>
        <v>23135.4</v>
      </c>
      <c r="E524" s="93">
        <f>E525+E530</f>
        <v>717.4</v>
      </c>
      <c r="F524" s="93">
        <f>F525+F530</f>
        <v>0</v>
      </c>
    </row>
    <row r="525" spans="1:6" ht="89.25">
      <c r="A525" s="74">
        <v>1410200000</v>
      </c>
      <c r="B525" s="16"/>
      <c r="C525" s="98" t="s">
        <v>372</v>
      </c>
      <c r="D525" s="41">
        <f>D526+D528</f>
        <v>13493.800000000001</v>
      </c>
      <c r="E525" s="41">
        <f t="shared" ref="E525:F525" si="172">E526+E528</f>
        <v>0</v>
      </c>
      <c r="F525" s="41">
        <f t="shared" si="172"/>
        <v>0</v>
      </c>
    </row>
    <row r="526" spans="1:6" ht="38.25">
      <c r="A526" s="74">
        <v>1410223125</v>
      </c>
      <c r="B526" s="82"/>
      <c r="C526" s="98" t="s">
        <v>722</v>
      </c>
      <c r="D526" s="41">
        <f>D527</f>
        <v>1295.7</v>
      </c>
      <c r="E526" s="41">
        <f>E527</f>
        <v>0</v>
      </c>
      <c r="F526" s="41">
        <f>F527</f>
        <v>0</v>
      </c>
    </row>
    <row r="527" spans="1:6" ht="38.25">
      <c r="A527" s="74">
        <v>1410223125</v>
      </c>
      <c r="B527" s="82" t="s">
        <v>214</v>
      </c>
      <c r="C527" s="98" t="s">
        <v>215</v>
      </c>
      <c r="D527" s="41">
        <f>1237.5+58.2</f>
        <v>1295.7</v>
      </c>
      <c r="E527" s="41">
        <v>0</v>
      </c>
      <c r="F527" s="41">
        <v>0</v>
      </c>
    </row>
    <row r="528" spans="1:6" ht="25.5">
      <c r="A528" s="74">
        <v>1410223130</v>
      </c>
      <c r="B528" s="82"/>
      <c r="C528" s="108" t="s">
        <v>725</v>
      </c>
      <c r="D528" s="41">
        <f>D529</f>
        <v>12198.1</v>
      </c>
      <c r="E528" s="41">
        <f t="shared" ref="E528:F528" si="173">E529</f>
        <v>0</v>
      </c>
      <c r="F528" s="41">
        <f t="shared" si="173"/>
        <v>0</v>
      </c>
    </row>
    <row r="529" spans="1:6" ht="38.25">
      <c r="A529" s="74">
        <v>1410223130</v>
      </c>
      <c r="B529" s="82" t="s">
        <v>214</v>
      </c>
      <c r="C529" s="98" t="s">
        <v>215</v>
      </c>
      <c r="D529" s="41">
        <v>12198.1</v>
      </c>
      <c r="E529" s="41">
        <v>0</v>
      </c>
      <c r="F529" s="41">
        <v>0</v>
      </c>
    </row>
    <row r="530" spans="1:6" ht="51">
      <c r="A530" s="74" t="s">
        <v>389</v>
      </c>
      <c r="B530" s="82"/>
      <c r="C530" s="98" t="s">
        <v>390</v>
      </c>
      <c r="D530" s="41">
        <f>D531</f>
        <v>9641.6</v>
      </c>
      <c r="E530" s="41">
        <f t="shared" ref="E530:F530" si="174">E531</f>
        <v>717.4</v>
      </c>
      <c r="F530" s="41">
        <f t="shared" si="174"/>
        <v>0</v>
      </c>
    </row>
    <row r="531" spans="1:6" ht="25.5">
      <c r="A531" s="74" t="s">
        <v>358</v>
      </c>
      <c r="B531" s="16"/>
      <c r="C531" s="98" t="s">
        <v>324</v>
      </c>
      <c r="D531" s="41">
        <f>D532</f>
        <v>9641.6</v>
      </c>
      <c r="E531" s="41">
        <f>E532</f>
        <v>717.4</v>
      </c>
      <c r="F531" s="41">
        <f>F532</f>
        <v>0</v>
      </c>
    </row>
    <row r="532" spans="1:6" ht="38.25">
      <c r="A532" s="74" t="s">
        <v>358</v>
      </c>
      <c r="B532" s="82" t="s">
        <v>214</v>
      </c>
      <c r="C532" s="98" t="s">
        <v>215</v>
      </c>
      <c r="D532" s="41">
        <f>717.4+8924.2</f>
        <v>9641.6</v>
      </c>
      <c r="E532" s="41">
        <v>717.4</v>
      </c>
      <c r="F532" s="41">
        <v>0</v>
      </c>
    </row>
    <row r="533" spans="1:6" ht="116.25" customHeight="1">
      <c r="A533" s="73" t="s">
        <v>580</v>
      </c>
      <c r="B533" s="82"/>
      <c r="C533" s="142" t="s">
        <v>631</v>
      </c>
      <c r="D533" s="96">
        <f>D534</f>
        <v>2761.9</v>
      </c>
      <c r="E533" s="96">
        <f t="shared" ref="E533:F533" si="175">E534</f>
        <v>1256.3</v>
      </c>
      <c r="F533" s="96">
        <f t="shared" si="175"/>
        <v>2000</v>
      </c>
    </row>
    <row r="534" spans="1:6" ht="51">
      <c r="A534" s="141">
        <v>1510000000</v>
      </c>
      <c r="B534" s="82"/>
      <c r="C534" s="48" t="s">
        <v>370</v>
      </c>
      <c r="D534" s="41">
        <f>D535+D538</f>
        <v>2761.9</v>
      </c>
      <c r="E534" s="41">
        <f t="shared" ref="E534:F534" si="176">E535+E538</f>
        <v>1256.3</v>
      </c>
      <c r="F534" s="41">
        <f t="shared" si="176"/>
        <v>2000</v>
      </c>
    </row>
    <row r="535" spans="1:6" ht="63.75">
      <c r="A535" s="130">
        <v>1510200000</v>
      </c>
      <c r="B535" s="82"/>
      <c r="C535" s="98" t="s">
        <v>604</v>
      </c>
      <c r="D535" s="41">
        <f>D536</f>
        <v>0</v>
      </c>
      <c r="E535" s="41">
        <f t="shared" ref="E535:F536" si="177">E536</f>
        <v>0</v>
      </c>
      <c r="F535" s="41">
        <f t="shared" si="177"/>
        <v>1000</v>
      </c>
    </row>
    <row r="536" spans="1:6" ht="51">
      <c r="A536" s="130" t="s">
        <v>582</v>
      </c>
      <c r="B536" s="82"/>
      <c r="C536" s="98" t="s">
        <v>581</v>
      </c>
      <c r="D536" s="41">
        <f>D537</f>
        <v>0</v>
      </c>
      <c r="E536" s="41">
        <f t="shared" si="177"/>
        <v>0</v>
      </c>
      <c r="F536" s="41">
        <f t="shared" si="177"/>
        <v>1000</v>
      </c>
    </row>
    <row r="537" spans="1:6" ht="38.25">
      <c r="A537" s="130" t="s">
        <v>582</v>
      </c>
      <c r="B537" s="82" t="s">
        <v>214</v>
      </c>
      <c r="C537" s="98" t="s">
        <v>215</v>
      </c>
      <c r="D537" s="41">
        <f>6842-6842</f>
        <v>0</v>
      </c>
      <c r="E537" s="41">
        <v>0</v>
      </c>
      <c r="F537" s="41">
        <v>1000</v>
      </c>
    </row>
    <row r="538" spans="1:6" ht="51">
      <c r="A538" s="130">
        <v>1510300000</v>
      </c>
      <c r="B538" s="82"/>
      <c r="C538" s="98" t="s">
        <v>583</v>
      </c>
      <c r="D538" s="41">
        <f>D539+D541+D543+D545+D547+D549</f>
        <v>2761.9</v>
      </c>
      <c r="E538" s="41">
        <f t="shared" ref="E538:F538" si="178">E539+E541+E543+E545+E547</f>
        <v>1256.3</v>
      </c>
      <c r="F538" s="41">
        <f t="shared" si="178"/>
        <v>1000</v>
      </c>
    </row>
    <row r="539" spans="1:6" ht="51">
      <c r="A539" s="130" t="s">
        <v>584</v>
      </c>
      <c r="B539" s="82"/>
      <c r="C539" s="98" t="s">
        <v>581</v>
      </c>
      <c r="D539" s="41">
        <f>D540</f>
        <v>0</v>
      </c>
      <c r="E539" s="41">
        <f t="shared" ref="E539:F539" si="179">E540</f>
        <v>1256.3</v>
      </c>
      <c r="F539" s="41">
        <f t="shared" si="179"/>
        <v>1000</v>
      </c>
    </row>
    <row r="540" spans="1:6" ht="38.25">
      <c r="A540" s="130" t="s">
        <v>584</v>
      </c>
      <c r="B540" s="82" t="s">
        <v>214</v>
      </c>
      <c r="C540" s="98" t="s">
        <v>215</v>
      </c>
      <c r="D540" s="41">
        <f>3243.5-516-2727.5</f>
        <v>0</v>
      </c>
      <c r="E540" s="41">
        <v>1256.3</v>
      </c>
      <c r="F540" s="41">
        <v>1000</v>
      </c>
    </row>
    <row r="541" spans="1:6" ht="51">
      <c r="A541" s="130" t="s">
        <v>748</v>
      </c>
      <c r="B541" s="82"/>
      <c r="C541" s="164" t="s">
        <v>721</v>
      </c>
      <c r="D541" s="41">
        <f>D542</f>
        <v>516</v>
      </c>
      <c r="E541" s="41">
        <f t="shared" ref="E541:F541" si="180">E542</f>
        <v>0</v>
      </c>
      <c r="F541" s="41">
        <f t="shared" si="180"/>
        <v>0</v>
      </c>
    </row>
    <row r="542" spans="1:6" ht="38.25">
      <c r="A542" s="130" t="s">
        <v>748</v>
      </c>
      <c r="B542" s="82" t="s">
        <v>214</v>
      </c>
      <c r="C542" s="98" t="s">
        <v>215</v>
      </c>
      <c r="D542" s="41">
        <v>516</v>
      </c>
      <c r="E542" s="41">
        <v>0</v>
      </c>
      <c r="F542" s="41">
        <v>0</v>
      </c>
    </row>
    <row r="543" spans="1:6" ht="51">
      <c r="A543" s="130">
        <v>1510319022</v>
      </c>
      <c r="B543" s="82"/>
      <c r="C543" s="164" t="s">
        <v>721</v>
      </c>
      <c r="D543" s="41">
        <f>D544</f>
        <v>525.9</v>
      </c>
      <c r="E543" s="41">
        <f t="shared" ref="E543:F543" si="181">E544</f>
        <v>0</v>
      </c>
      <c r="F543" s="41">
        <f t="shared" si="181"/>
        <v>0</v>
      </c>
    </row>
    <row r="544" spans="1:6" ht="38.25">
      <c r="A544" s="130">
        <v>1510319022</v>
      </c>
      <c r="B544" s="82" t="s">
        <v>214</v>
      </c>
      <c r="C544" s="98" t="s">
        <v>215</v>
      </c>
      <c r="D544" s="41">
        <v>525.9</v>
      </c>
      <c r="E544" s="41">
        <v>0</v>
      </c>
      <c r="F544" s="41">
        <v>0</v>
      </c>
    </row>
    <row r="545" spans="1:7" ht="51">
      <c r="A545" s="130">
        <v>1510319322</v>
      </c>
      <c r="B545" s="82"/>
      <c r="C545" s="164" t="s">
        <v>721</v>
      </c>
      <c r="D545" s="41">
        <f>D546</f>
        <v>10</v>
      </c>
      <c r="E545" s="41">
        <f t="shared" ref="E545:F545" si="182">E546</f>
        <v>0</v>
      </c>
      <c r="F545" s="41">
        <f t="shared" si="182"/>
        <v>0</v>
      </c>
    </row>
    <row r="546" spans="1:7" ht="38.25">
      <c r="A546" s="130">
        <v>1510319322</v>
      </c>
      <c r="B546" s="82" t="s">
        <v>214</v>
      </c>
      <c r="C546" s="98" t="s">
        <v>215</v>
      </c>
      <c r="D546" s="41">
        <v>10</v>
      </c>
      <c r="E546" s="41">
        <v>0</v>
      </c>
      <c r="F546" s="41">
        <v>0</v>
      </c>
    </row>
    <row r="547" spans="1:7" ht="63.75">
      <c r="A547" s="130" t="s">
        <v>772</v>
      </c>
      <c r="B547" s="82"/>
      <c r="C547" s="98" t="s">
        <v>771</v>
      </c>
      <c r="D547" s="41">
        <f>D548</f>
        <v>479.6</v>
      </c>
      <c r="E547" s="41">
        <f t="shared" ref="E547:F547" si="183">E548</f>
        <v>0</v>
      </c>
      <c r="F547" s="41">
        <f t="shared" si="183"/>
        <v>0</v>
      </c>
    </row>
    <row r="548" spans="1:7" ht="38.25">
      <c r="A548" s="130" t="s">
        <v>772</v>
      </c>
      <c r="B548" s="82" t="s">
        <v>214</v>
      </c>
      <c r="C548" s="98" t="s">
        <v>215</v>
      </c>
      <c r="D548" s="41">
        <v>479.6</v>
      </c>
      <c r="E548" s="41">
        <v>0</v>
      </c>
      <c r="F548" s="41">
        <v>0</v>
      </c>
    </row>
    <row r="549" spans="1:7" ht="63.75">
      <c r="A549" s="130">
        <v>1510319023</v>
      </c>
      <c r="B549" s="82"/>
      <c r="C549" s="98" t="s">
        <v>771</v>
      </c>
      <c r="D549" s="41">
        <f>D550</f>
        <v>1230.4000000000001</v>
      </c>
      <c r="E549" s="41">
        <f t="shared" ref="E549:F549" si="184">E550</f>
        <v>0</v>
      </c>
      <c r="F549" s="41">
        <f t="shared" si="184"/>
        <v>0</v>
      </c>
    </row>
    <row r="550" spans="1:7" ht="38.25">
      <c r="A550" s="130">
        <v>1510319023</v>
      </c>
      <c r="B550" s="82" t="s">
        <v>214</v>
      </c>
      <c r="C550" s="98" t="s">
        <v>215</v>
      </c>
      <c r="D550" s="41">
        <v>1230.4000000000001</v>
      </c>
      <c r="E550" s="41">
        <v>0</v>
      </c>
      <c r="F550" s="41">
        <v>0</v>
      </c>
    </row>
    <row r="551" spans="1:7" ht="80.25" customHeight="1">
      <c r="A551" s="73" t="s">
        <v>230</v>
      </c>
      <c r="B551" s="16"/>
      <c r="C551" s="64" t="s">
        <v>632</v>
      </c>
      <c r="D551" s="59">
        <f t="shared" ref="D551:F551" si="185">D552</f>
        <v>8958.6</v>
      </c>
      <c r="E551" s="59">
        <f t="shared" si="185"/>
        <v>4637.8</v>
      </c>
      <c r="F551" s="59">
        <f t="shared" si="185"/>
        <v>7633.9</v>
      </c>
      <c r="G551" s="103"/>
    </row>
    <row r="552" spans="1:7" ht="38.25">
      <c r="A552" s="52" t="s">
        <v>231</v>
      </c>
      <c r="B552" s="47"/>
      <c r="C552" s="48" t="s">
        <v>232</v>
      </c>
      <c r="D552" s="93">
        <f>D553+D570</f>
        <v>8958.6</v>
      </c>
      <c r="E552" s="93">
        <f>E553+E570</f>
        <v>4637.8</v>
      </c>
      <c r="F552" s="93">
        <f>F553+F570</f>
        <v>7633.9</v>
      </c>
      <c r="G552" s="103"/>
    </row>
    <row r="553" spans="1:7" ht="38.25">
      <c r="A553" s="21" t="s">
        <v>233</v>
      </c>
      <c r="B553" s="82"/>
      <c r="C553" s="98" t="s">
        <v>234</v>
      </c>
      <c r="D553" s="41">
        <f>D554+D556+D558+D560+D562+D564+D566+D568</f>
        <v>4994.7</v>
      </c>
      <c r="E553" s="41">
        <f t="shared" ref="E553:F553" si="186">E554+E556+E558+E560+E562+E564+E566+E568</f>
        <v>0</v>
      </c>
      <c r="F553" s="41">
        <f t="shared" si="186"/>
        <v>2810.6</v>
      </c>
      <c r="G553" s="103"/>
    </row>
    <row r="554" spans="1:7" ht="38.25">
      <c r="A554" s="21" t="s">
        <v>568</v>
      </c>
      <c r="B554" s="82"/>
      <c r="C554" s="98" t="s">
        <v>348</v>
      </c>
      <c r="D554" s="41">
        <f>D555</f>
        <v>2442.6999999999998</v>
      </c>
      <c r="E554" s="41">
        <f>E555</f>
        <v>0</v>
      </c>
      <c r="F554" s="41">
        <f>F555</f>
        <v>2381.1999999999998</v>
      </c>
      <c r="G554" s="103"/>
    </row>
    <row r="555" spans="1:7" ht="38.25">
      <c r="A555" s="21" t="s">
        <v>568</v>
      </c>
      <c r="B555" s="82" t="s">
        <v>214</v>
      </c>
      <c r="C555" s="98" t="s">
        <v>215</v>
      </c>
      <c r="D555" s="41">
        <f>2972.1-529.4</f>
        <v>2442.6999999999998</v>
      </c>
      <c r="E555" s="41">
        <v>0</v>
      </c>
      <c r="F555" s="41">
        <v>2381.1999999999998</v>
      </c>
    </row>
    <row r="556" spans="1:7" ht="26.25" customHeight="1">
      <c r="A556" s="21" t="s">
        <v>570</v>
      </c>
      <c r="B556" s="82"/>
      <c r="C556" s="98" t="s">
        <v>569</v>
      </c>
      <c r="D556" s="41">
        <f>D557</f>
        <v>529.4</v>
      </c>
      <c r="E556" s="41">
        <f>E557</f>
        <v>0</v>
      </c>
      <c r="F556" s="41">
        <f>F557</f>
        <v>0</v>
      </c>
    </row>
    <row r="557" spans="1:7" ht="38.25">
      <c r="A557" s="21" t="s">
        <v>570</v>
      </c>
      <c r="B557" s="82" t="s">
        <v>214</v>
      </c>
      <c r="C557" s="98" t="s">
        <v>215</v>
      </c>
      <c r="D557" s="41">
        <v>529.4</v>
      </c>
      <c r="E557" s="41">
        <v>0</v>
      </c>
      <c r="F557" s="41">
        <v>0</v>
      </c>
    </row>
    <row r="558" spans="1:7">
      <c r="A558" s="21" t="s">
        <v>571</v>
      </c>
      <c r="B558" s="16"/>
      <c r="C558" s="98" t="s">
        <v>337</v>
      </c>
      <c r="D558" s="41">
        <f>D559</f>
        <v>401</v>
      </c>
      <c r="E558" s="41">
        <f>E559</f>
        <v>0</v>
      </c>
      <c r="F558" s="41">
        <f>F559</f>
        <v>400</v>
      </c>
    </row>
    <row r="559" spans="1:7" ht="38.25">
      <c r="A559" s="21" t="s">
        <v>571</v>
      </c>
      <c r="B559" s="82" t="s">
        <v>214</v>
      </c>
      <c r="C559" s="98" t="s">
        <v>215</v>
      </c>
      <c r="D559" s="41">
        <f>370+31</f>
        <v>401</v>
      </c>
      <c r="E559" s="41">
        <v>0</v>
      </c>
      <c r="F559" s="41">
        <v>400</v>
      </c>
    </row>
    <row r="560" spans="1:7" ht="38.25">
      <c r="A560" s="21" t="s">
        <v>572</v>
      </c>
      <c r="B560" s="16"/>
      <c r="C560" s="98" t="s">
        <v>366</v>
      </c>
      <c r="D560" s="94">
        <f t="shared" ref="D560:F562" si="187">D561</f>
        <v>0</v>
      </c>
      <c r="E560" s="94">
        <f t="shared" si="187"/>
        <v>0</v>
      </c>
      <c r="F560" s="94">
        <f t="shared" si="187"/>
        <v>23.4</v>
      </c>
    </row>
    <row r="561" spans="1:6" ht="38.25">
      <c r="A561" s="21" t="s">
        <v>572</v>
      </c>
      <c r="B561" s="82" t="s">
        <v>214</v>
      </c>
      <c r="C561" s="98" t="s">
        <v>215</v>
      </c>
      <c r="D561" s="41">
        <v>0</v>
      </c>
      <c r="E561" s="41">
        <v>0</v>
      </c>
      <c r="F561" s="41">
        <v>23.4</v>
      </c>
    </row>
    <row r="562" spans="1:6" ht="25.5">
      <c r="A562" s="21" t="s">
        <v>573</v>
      </c>
      <c r="B562" s="16"/>
      <c r="C562" s="98" t="s">
        <v>367</v>
      </c>
      <c r="D562" s="94">
        <f t="shared" si="187"/>
        <v>0</v>
      </c>
      <c r="E562" s="94">
        <f t="shared" si="187"/>
        <v>0</v>
      </c>
      <c r="F562" s="94">
        <f t="shared" si="187"/>
        <v>6</v>
      </c>
    </row>
    <row r="563" spans="1:6" ht="38.25">
      <c r="A563" s="21" t="s">
        <v>573</v>
      </c>
      <c r="B563" s="82" t="s">
        <v>214</v>
      </c>
      <c r="C563" s="98" t="s">
        <v>215</v>
      </c>
      <c r="D563" s="41">
        <v>0</v>
      </c>
      <c r="E563" s="41">
        <v>0</v>
      </c>
      <c r="F563" s="41">
        <v>6</v>
      </c>
    </row>
    <row r="564" spans="1:6" ht="41.25" customHeight="1">
      <c r="A564" s="21" t="s">
        <v>647</v>
      </c>
      <c r="B564" s="82"/>
      <c r="C564" s="98" t="s">
        <v>646</v>
      </c>
      <c r="D564" s="41">
        <f>D565</f>
        <v>178</v>
      </c>
      <c r="E564" s="41">
        <f t="shared" ref="E564:F564" si="188">E565</f>
        <v>0</v>
      </c>
      <c r="F564" s="41">
        <f t="shared" si="188"/>
        <v>0</v>
      </c>
    </row>
    <row r="565" spans="1:6" ht="38.25">
      <c r="A565" s="21" t="s">
        <v>647</v>
      </c>
      <c r="B565" s="82" t="s">
        <v>214</v>
      </c>
      <c r="C565" s="98" t="s">
        <v>215</v>
      </c>
      <c r="D565" s="41">
        <v>178</v>
      </c>
      <c r="E565" s="41">
        <v>0</v>
      </c>
      <c r="F565" s="41">
        <v>0</v>
      </c>
    </row>
    <row r="566" spans="1:6" ht="27.75" customHeight="1">
      <c r="A566" s="21" t="s">
        <v>649</v>
      </c>
      <c r="B566" s="82"/>
      <c r="C566" s="98" t="s">
        <v>650</v>
      </c>
      <c r="D566" s="41">
        <f>D567</f>
        <v>944.6</v>
      </c>
      <c r="E566" s="41">
        <f t="shared" ref="E566:F566" si="189">E567</f>
        <v>0</v>
      </c>
      <c r="F566" s="41">
        <f t="shared" si="189"/>
        <v>0</v>
      </c>
    </row>
    <row r="567" spans="1:6" ht="38.25">
      <c r="A567" s="21" t="s">
        <v>649</v>
      </c>
      <c r="B567" s="82" t="s">
        <v>214</v>
      </c>
      <c r="C567" s="98" t="s">
        <v>215</v>
      </c>
      <c r="D567" s="41">
        <f>990-45.4</f>
        <v>944.6</v>
      </c>
      <c r="E567" s="41">
        <v>0</v>
      </c>
      <c r="F567" s="41">
        <v>0</v>
      </c>
    </row>
    <row r="568" spans="1:6">
      <c r="A568" s="21" t="s">
        <v>707</v>
      </c>
      <c r="B568" s="82"/>
      <c r="C568" s="98" t="s">
        <v>648</v>
      </c>
      <c r="D568" s="41">
        <f>D569</f>
        <v>499</v>
      </c>
      <c r="E568" s="41">
        <f t="shared" ref="E568:F568" si="190">E569</f>
        <v>0</v>
      </c>
      <c r="F568" s="41">
        <f t="shared" si="190"/>
        <v>0</v>
      </c>
    </row>
    <row r="569" spans="1:6" ht="38.25">
      <c r="A569" s="21" t="s">
        <v>707</v>
      </c>
      <c r="B569" s="82" t="s">
        <v>214</v>
      </c>
      <c r="C569" s="98" t="s">
        <v>215</v>
      </c>
      <c r="D569" s="41">
        <f>600-98.6-2.4</f>
        <v>499</v>
      </c>
      <c r="E569" s="41">
        <v>0</v>
      </c>
      <c r="F569" s="41">
        <v>0</v>
      </c>
    </row>
    <row r="570" spans="1:6" ht="53.25" customHeight="1">
      <c r="A570" s="51" t="s">
        <v>566</v>
      </c>
      <c r="B570" s="82"/>
      <c r="C570" s="98" t="s">
        <v>567</v>
      </c>
      <c r="D570" s="41">
        <f>D571+D573</f>
        <v>3963.9</v>
      </c>
      <c r="E570" s="41">
        <f t="shared" ref="E570:F570" si="191">E571+E573</f>
        <v>4637.8</v>
      </c>
      <c r="F570" s="41">
        <f t="shared" si="191"/>
        <v>4823.3</v>
      </c>
    </row>
    <row r="571" spans="1:6" ht="38.25">
      <c r="A571" s="51" t="s">
        <v>362</v>
      </c>
      <c r="B571" s="82"/>
      <c r="C571" s="98" t="s">
        <v>359</v>
      </c>
      <c r="D571" s="41">
        <f>D572</f>
        <v>396.4</v>
      </c>
      <c r="E571" s="41">
        <f>E572</f>
        <v>927.6</v>
      </c>
      <c r="F571" s="41">
        <f>F572</f>
        <v>964.7</v>
      </c>
    </row>
    <row r="572" spans="1:6" ht="38.25">
      <c r="A572" s="51" t="s">
        <v>362</v>
      </c>
      <c r="B572" s="82" t="s">
        <v>214</v>
      </c>
      <c r="C572" s="98" t="s">
        <v>215</v>
      </c>
      <c r="D572" s="39">
        <f>891.9-495.5</f>
        <v>396.4</v>
      </c>
      <c r="E572" s="39">
        <v>927.6</v>
      </c>
      <c r="F572" s="39">
        <v>964.7</v>
      </c>
    </row>
    <row r="573" spans="1:6" ht="51">
      <c r="A573" s="51" t="s">
        <v>363</v>
      </c>
      <c r="B573" s="82"/>
      <c r="C573" s="98" t="s">
        <v>357</v>
      </c>
      <c r="D573" s="41">
        <f>D574</f>
        <v>3567.5</v>
      </c>
      <c r="E573" s="41">
        <f>E574</f>
        <v>3710.2</v>
      </c>
      <c r="F573" s="41">
        <f>F574</f>
        <v>3858.6</v>
      </c>
    </row>
    <row r="574" spans="1:6" ht="38.25">
      <c r="A574" s="51" t="s">
        <v>363</v>
      </c>
      <c r="B574" s="82" t="s">
        <v>214</v>
      </c>
      <c r="C574" s="98" t="s">
        <v>215</v>
      </c>
      <c r="D574" s="41">
        <v>3567.5</v>
      </c>
      <c r="E574" s="41">
        <v>3710.2</v>
      </c>
      <c r="F574" s="41">
        <v>3858.6</v>
      </c>
    </row>
    <row r="575" spans="1:6" ht="25.5">
      <c r="A575" s="83">
        <v>9900000000</v>
      </c>
      <c r="B575" s="73"/>
      <c r="C575" s="122" t="s">
        <v>146</v>
      </c>
      <c r="D575" s="96">
        <f>D576+D579+D591+D602+D614+D622</f>
        <v>119343.1</v>
      </c>
      <c r="E575" s="96">
        <f>E576+E579+E591+E602+E614+E622</f>
        <v>116947.4</v>
      </c>
      <c r="F575" s="96">
        <f>F576+F579+F591+F602+F614+F622</f>
        <v>115487.79999999999</v>
      </c>
    </row>
    <row r="576" spans="1:6">
      <c r="A576" s="79">
        <v>9920000000</v>
      </c>
      <c r="B576" s="73"/>
      <c r="C576" s="126" t="s">
        <v>5</v>
      </c>
      <c r="D576" s="39">
        <f t="shared" ref="D576:F576" si="192">D577</f>
        <v>600</v>
      </c>
      <c r="E576" s="39">
        <f t="shared" si="192"/>
        <v>500</v>
      </c>
      <c r="F576" s="39">
        <f t="shared" si="192"/>
        <v>500</v>
      </c>
    </row>
    <row r="577" spans="1:9" ht="16.5" customHeight="1">
      <c r="A577" s="79">
        <v>9920026100</v>
      </c>
      <c r="B577" s="21"/>
      <c r="C577" s="99" t="s">
        <v>11</v>
      </c>
      <c r="D577" s="39">
        <f>SUM(D578:D578)</f>
        <v>600</v>
      </c>
      <c r="E577" s="39">
        <f>SUM(E578:E578)</f>
        <v>500</v>
      </c>
      <c r="F577" s="39">
        <f>SUM(F578:F578)</f>
        <v>500</v>
      </c>
    </row>
    <row r="578" spans="1:9">
      <c r="A578" s="79">
        <v>9920026100</v>
      </c>
      <c r="B578" s="16" t="s">
        <v>85</v>
      </c>
      <c r="C578" s="98" t="s">
        <v>86</v>
      </c>
      <c r="D578" s="39">
        <f>500+100</f>
        <v>600</v>
      </c>
      <c r="E578" s="39">
        <v>500</v>
      </c>
      <c r="F578" s="39">
        <v>500</v>
      </c>
    </row>
    <row r="579" spans="1:9" ht="25.5">
      <c r="A579" s="79">
        <v>9930000000</v>
      </c>
      <c r="B579" s="16"/>
      <c r="C579" s="22" t="s">
        <v>41</v>
      </c>
      <c r="D579" s="39">
        <f>D580+D583+D586+D588</f>
        <v>1866.3000000000002</v>
      </c>
      <c r="E579" s="39">
        <f t="shared" ref="E579:F579" si="193">E580+E583+E586+E588</f>
        <v>1938.1000000000001</v>
      </c>
      <c r="F579" s="39">
        <f t="shared" si="193"/>
        <v>1943.5</v>
      </c>
    </row>
    <row r="580" spans="1:9" ht="63.75">
      <c r="A580" s="79">
        <v>9930010510</v>
      </c>
      <c r="B580" s="16"/>
      <c r="C580" s="99" t="s">
        <v>15</v>
      </c>
      <c r="D580" s="39">
        <f>D581+D582</f>
        <v>422.6</v>
      </c>
      <c r="E580" s="39">
        <f>E581+E582</f>
        <v>426.1</v>
      </c>
      <c r="F580" s="39">
        <f>F581+F582</f>
        <v>429.7</v>
      </c>
    </row>
    <row r="581" spans="1:9" ht="25.5">
      <c r="A581" s="79">
        <v>9930010510</v>
      </c>
      <c r="B581" s="16" t="s">
        <v>63</v>
      </c>
      <c r="C581" s="102" t="s">
        <v>64</v>
      </c>
      <c r="D581" s="39">
        <v>397.3</v>
      </c>
      <c r="E581" s="39">
        <v>397.3</v>
      </c>
      <c r="F581" s="39">
        <v>397.3</v>
      </c>
    </row>
    <row r="582" spans="1:9" ht="38.25">
      <c r="A582" s="79">
        <v>9930010510</v>
      </c>
      <c r="B582" s="82" t="s">
        <v>214</v>
      </c>
      <c r="C582" s="98" t="s">
        <v>215</v>
      </c>
      <c r="D582" s="39">
        <v>25.3</v>
      </c>
      <c r="E582" s="39">
        <v>28.8</v>
      </c>
      <c r="F582" s="39">
        <v>32.4</v>
      </c>
    </row>
    <row r="583" spans="1:9" ht="38.25">
      <c r="A583" s="79">
        <v>9930010540</v>
      </c>
      <c r="B583" s="16"/>
      <c r="C583" s="99" t="s">
        <v>16</v>
      </c>
      <c r="D583" s="39">
        <f>D584+D585</f>
        <v>239.6</v>
      </c>
      <c r="E583" s="39">
        <f>E584+E585</f>
        <v>241.6</v>
      </c>
      <c r="F583" s="39">
        <f>F584+F585</f>
        <v>243.7</v>
      </c>
    </row>
    <row r="584" spans="1:9" ht="25.5">
      <c r="A584" s="79">
        <v>9930010540</v>
      </c>
      <c r="B584" s="16" t="s">
        <v>63</v>
      </c>
      <c r="C584" s="102" t="s">
        <v>64</v>
      </c>
      <c r="D584" s="39">
        <v>217.7</v>
      </c>
      <c r="E584" s="39">
        <v>217.7</v>
      </c>
      <c r="F584" s="39">
        <v>217.7</v>
      </c>
    </row>
    <row r="585" spans="1:9" ht="38.25">
      <c r="A585" s="79">
        <v>9930010540</v>
      </c>
      <c r="B585" s="82" t="s">
        <v>214</v>
      </c>
      <c r="C585" s="98" t="s">
        <v>215</v>
      </c>
      <c r="D585" s="39">
        <v>21.9</v>
      </c>
      <c r="E585" s="39">
        <v>23.9</v>
      </c>
      <c r="F585" s="39">
        <v>26</v>
      </c>
    </row>
    <row r="586" spans="1:9" ht="63.75">
      <c r="A586" s="79">
        <v>9930051200</v>
      </c>
      <c r="B586" s="72"/>
      <c r="C586" s="54" t="s">
        <v>286</v>
      </c>
      <c r="D586" s="107">
        <f t="shared" ref="D586:F586" si="194">D587</f>
        <v>2.1</v>
      </c>
      <c r="E586" s="107">
        <f t="shared" si="194"/>
        <v>2.2999999999999998</v>
      </c>
      <c r="F586" s="107">
        <f t="shared" si="194"/>
        <v>2</v>
      </c>
    </row>
    <row r="587" spans="1:9" ht="38.25">
      <c r="A587" s="79">
        <v>9930051200</v>
      </c>
      <c r="B587" s="82" t="s">
        <v>214</v>
      </c>
      <c r="C587" s="98" t="s">
        <v>215</v>
      </c>
      <c r="D587" s="107">
        <v>2.1</v>
      </c>
      <c r="E587" s="107">
        <v>2.2999999999999998</v>
      </c>
      <c r="F587" s="107">
        <v>2</v>
      </c>
    </row>
    <row r="588" spans="1:9" ht="38.25" customHeight="1">
      <c r="A588" s="79">
        <v>9930059302</v>
      </c>
      <c r="B588" s="16"/>
      <c r="C588" s="99" t="s">
        <v>373</v>
      </c>
      <c r="D588" s="39">
        <f t="shared" ref="D588:E588" si="195">SUM(D589:D590)</f>
        <v>1202</v>
      </c>
      <c r="E588" s="39">
        <f t="shared" si="195"/>
        <v>1268.1000000000001</v>
      </c>
      <c r="F588" s="39">
        <f t="shared" ref="F588" si="196">SUM(F589:F590)</f>
        <v>1268.1000000000001</v>
      </c>
    </row>
    <row r="589" spans="1:9" ht="25.5">
      <c r="A589" s="79">
        <v>9930059302</v>
      </c>
      <c r="B589" s="16" t="s">
        <v>63</v>
      </c>
      <c r="C589" s="55" t="s">
        <v>64</v>
      </c>
      <c r="D589" s="39">
        <v>1136.9000000000001</v>
      </c>
      <c r="E589" s="39">
        <v>1136.9000000000001</v>
      </c>
      <c r="F589" s="39">
        <v>1136.9000000000001</v>
      </c>
      <c r="I589" s="103"/>
    </row>
    <row r="590" spans="1:9" ht="38.25">
      <c r="A590" s="79">
        <v>9930059302</v>
      </c>
      <c r="B590" s="82" t="s">
        <v>214</v>
      </c>
      <c r="C590" s="98" t="s">
        <v>215</v>
      </c>
      <c r="D590" s="39">
        <v>65.099999999999994</v>
      </c>
      <c r="E590" s="39">
        <v>131.19999999999999</v>
      </c>
      <c r="F590" s="39">
        <v>131.19999999999999</v>
      </c>
    </row>
    <row r="591" spans="1:9" ht="25.5">
      <c r="A591" s="16" t="s">
        <v>25</v>
      </c>
      <c r="B591" s="16"/>
      <c r="C591" s="99" t="s">
        <v>39</v>
      </c>
      <c r="D591" s="39">
        <f>D592+D594+D598+D600</f>
        <v>3808.7</v>
      </c>
      <c r="E591" s="39">
        <f t="shared" ref="E591:F591" si="197">E592+E594+E598+E600</f>
        <v>1295</v>
      </c>
      <c r="F591" s="39">
        <f t="shared" si="197"/>
        <v>1270</v>
      </c>
    </row>
    <row r="592" spans="1:9" ht="38.25">
      <c r="A592" s="82" t="s">
        <v>612</v>
      </c>
      <c r="B592" s="16"/>
      <c r="C592" s="54" t="s">
        <v>610</v>
      </c>
      <c r="D592" s="41">
        <f>SUM(D593:D593)</f>
        <v>510</v>
      </c>
      <c r="E592" s="41">
        <f>SUM(E593:E593)</f>
        <v>0</v>
      </c>
      <c r="F592" s="41">
        <f>SUM(F593:F593)</f>
        <v>0</v>
      </c>
    </row>
    <row r="593" spans="1:6">
      <c r="A593" s="82" t="s">
        <v>612</v>
      </c>
      <c r="B593" s="21" t="s">
        <v>228</v>
      </c>
      <c r="C593" s="98" t="s">
        <v>227</v>
      </c>
      <c r="D593" s="39">
        <f>45+70+150+195+50</f>
        <v>510</v>
      </c>
      <c r="E593" s="39">
        <v>0</v>
      </c>
      <c r="F593" s="39">
        <v>0</v>
      </c>
    </row>
    <row r="594" spans="1:6" ht="25.5">
      <c r="A594" s="82" t="s">
        <v>574</v>
      </c>
      <c r="B594" s="16"/>
      <c r="C594" s="22" t="s">
        <v>40</v>
      </c>
      <c r="D594" s="39">
        <f>SUM(D595:D597)</f>
        <v>2983.7</v>
      </c>
      <c r="E594" s="39">
        <f>SUM(E595:E597)</f>
        <v>1270</v>
      </c>
      <c r="F594" s="39">
        <f>SUM(F595:F597)</f>
        <v>1270</v>
      </c>
    </row>
    <row r="595" spans="1:6" ht="38.25">
      <c r="A595" s="82" t="s">
        <v>574</v>
      </c>
      <c r="B595" s="82" t="s">
        <v>214</v>
      </c>
      <c r="C595" s="98" t="s">
        <v>215</v>
      </c>
      <c r="D595" s="39">
        <f>242+70</f>
        <v>312</v>
      </c>
      <c r="E595" s="39">
        <v>242</v>
      </c>
      <c r="F595" s="39">
        <v>242</v>
      </c>
    </row>
    <row r="596" spans="1:6">
      <c r="A596" s="82" t="s">
        <v>574</v>
      </c>
      <c r="B596" s="16" t="s">
        <v>82</v>
      </c>
      <c r="C596" s="98" t="s">
        <v>83</v>
      </c>
      <c r="D596" s="39">
        <v>426</v>
      </c>
      <c r="E596" s="39">
        <v>426</v>
      </c>
      <c r="F596" s="39">
        <v>426</v>
      </c>
    </row>
    <row r="597" spans="1:6">
      <c r="A597" s="82" t="s">
        <v>574</v>
      </c>
      <c r="B597" s="82" t="s">
        <v>132</v>
      </c>
      <c r="C597" s="98" t="s">
        <v>133</v>
      </c>
      <c r="D597" s="39">
        <f>602+893.7+210+90+100+350</f>
        <v>2245.6999999999998</v>
      </c>
      <c r="E597" s="39">
        <v>602</v>
      </c>
      <c r="F597" s="39">
        <v>602</v>
      </c>
    </row>
    <row r="598" spans="1:6" ht="25.5">
      <c r="A598" s="144">
        <v>9940026500</v>
      </c>
      <c r="B598" s="1"/>
      <c r="C598" s="99" t="s">
        <v>654</v>
      </c>
      <c r="D598" s="39">
        <f>D599</f>
        <v>25</v>
      </c>
      <c r="E598" s="39">
        <f t="shared" ref="E598:F598" si="198">E599</f>
        <v>25</v>
      </c>
      <c r="F598" s="39">
        <f t="shared" si="198"/>
        <v>0</v>
      </c>
    </row>
    <row r="599" spans="1:6">
      <c r="A599" s="144">
        <v>9940026500</v>
      </c>
      <c r="B599" s="82" t="s">
        <v>655</v>
      </c>
      <c r="C599" s="1" t="s">
        <v>656</v>
      </c>
      <c r="D599" s="39">
        <f>20.8+4.2</f>
        <v>25</v>
      </c>
      <c r="E599" s="39">
        <f>20.8+4.2</f>
        <v>25</v>
      </c>
      <c r="F599" s="39">
        <v>0</v>
      </c>
    </row>
    <row r="600" spans="1:6" ht="38.25">
      <c r="A600" s="82" t="s">
        <v>611</v>
      </c>
      <c r="B600" s="16"/>
      <c r="C600" s="54" t="s">
        <v>610</v>
      </c>
      <c r="D600" s="41">
        <f>SUM(D601:D601)</f>
        <v>290</v>
      </c>
      <c r="E600" s="41">
        <f>SUM(E601:E601)</f>
        <v>0</v>
      </c>
      <c r="F600" s="41">
        <f>SUM(F601:F601)</f>
        <v>0</v>
      </c>
    </row>
    <row r="601" spans="1:6" ht="38.25">
      <c r="A601" s="82" t="s">
        <v>611</v>
      </c>
      <c r="B601" s="82" t="s">
        <v>214</v>
      </c>
      <c r="C601" s="98" t="s">
        <v>215</v>
      </c>
      <c r="D601" s="39">
        <f>50+240</f>
        <v>290</v>
      </c>
      <c r="E601" s="39">
        <v>0</v>
      </c>
      <c r="F601" s="39">
        <v>0</v>
      </c>
    </row>
    <row r="602" spans="1:6">
      <c r="A602" s="82" t="s">
        <v>196</v>
      </c>
      <c r="B602" s="82"/>
      <c r="C602" s="98" t="s">
        <v>290</v>
      </c>
      <c r="D602" s="39">
        <f>D603+D607+D610</f>
        <v>41721.5</v>
      </c>
      <c r="E602" s="39">
        <f>E603+E607+E610</f>
        <v>42118.400000000001</v>
      </c>
      <c r="F602" s="39">
        <f>F603+F607+F610</f>
        <v>40678.400000000001</v>
      </c>
    </row>
    <row r="603" spans="1:6" ht="51" customHeight="1">
      <c r="A603" s="21" t="s">
        <v>575</v>
      </c>
      <c r="B603" s="47"/>
      <c r="C603" s="54" t="s">
        <v>579</v>
      </c>
      <c r="D603" s="41">
        <f>SUM(D604:D606)</f>
        <v>6011.5</v>
      </c>
      <c r="E603" s="41">
        <f t="shared" ref="E603:F603" si="199">SUM(E604:E606)</f>
        <v>6011.5</v>
      </c>
      <c r="F603" s="41">
        <f t="shared" si="199"/>
        <v>6011.5</v>
      </c>
    </row>
    <row r="604" spans="1:6" ht="25.5">
      <c r="A604" s="21" t="s">
        <v>575</v>
      </c>
      <c r="B604" s="16" t="s">
        <v>65</v>
      </c>
      <c r="C604" s="102" t="s">
        <v>131</v>
      </c>
      <c r="D604" s="41">
        <f>4638.4+525</f>
        <v>5163.3999999999996</v>
      </c>
      <c r="E604" s="41">
        <f>4638.4+525</f>
        <v>5163.3999999999996</v>
      </c>
      <c r="F604" s="41">
        <f>4638.4+525</f>
        <v>5163.3999999999996</v>
      </c>
    </row>
    <row r="605" spans="1:6" ht="38.25">
      <c r="A605" s="21" t="s">
        <v>575</v>
      </c>
      <c r="B605" s="82" t="s">
        <v>214</v>
      </c>
      <c r="C605" s="98" t="s">
        <v>215</v>
      </c>
      <c r="D605" s="41">
        <v>843.1</v>
      </c>
      <c r="E605" s="41">
        <v>843.1</v>
      </c>
      <c r="F605" s="41">
        <v>843.1</v>
      </c>
    </row>
    <row r="606" spans="1:6">
      <c r="A606" s="21" t="s">
        <v>575</v>
      </c>
      <c r="B606" s="82" t="s">
        <v>132</v>
      </c>
      <c r="C606" s="98" t="s">
        <v>133</v>
      </c>
      <c r="D606" s="41">
        <v>5</v>
      </c>
      <c r="E606" s="41">
        <v>5</v>
      </c>
      <c r="F606" s="41">
        <v>5</v>
      </c>
    </row>
    <row r="607" spans="1:6" ht="38.25">
      <c r="A607" s="21" t="s">
        <v>576</v>
      </c>
      <c r="B607" s="47"/>
      <c r="C607" s="54" t="s">
        <v>289</v>
      </c>
      <c r="D607" s="41">
        <f>SUM(D608:D609)</f>
        <v>9871</v>
      </c>
      <c r="E607" s="41">
        <f>SUM(E608:E609)</f>
        <v>9871.1</v>
      </c>
      <c r="F607" s="41">
        <f>SUM(F608:F609)</f>
        <v>9871.1</v>
      </c>
    </row>
    <row r="608" spans="1:6" ht="25.5">
      <c r="A608" s="21" t="s">
        <v>576</v>
      </c>
      <c r="B608" s="16" t="s">
        <v>65</v>
      </c>
      <c r="C608" s="102" t="s">
        <v>131</v>
      </c>
      <c r="D608" s="41">
        <f>8277.8+830.1</f>
        <v>9107.9</v>
      </c>
      <c r="E608" s="41">
        <f>8277.8+830.2</f>
        <v>9108</v>
      </c>
      <c r="F608" s="41">
        <f>8277.8+830.2</f>
        <v>9108</v>
      </c>
    </row>
    <row r="609" spans="1:6" ht="38.25">
      <c r="A609" s="21" t="s">
        <v>576</v>
      </c>
      <c r="B609" s="82" t="s">
        <v>214</v>
      </c>
      <c r="C609" s="98" t="s">
        <v>215</v>
      </c>
      <c r="D609" s="41">
        <v>763.1</v>
      </c>
      <c r="E609" s="41">
        <v>763.1</v>
      </c>
      <c r="F609" s="41">
        <v>763.1</v>
      </c>
    </row>
    <row r="610" spans="1:6" ht="56.25" customHeight="1">
      <c r="A610" s="21" t="s">
        <v>578</v>
      </c>
      <c r="B610" s="47"/>
      <c r="C610" s="54" t="s">
        <v>577</v>
      </c>
      <c r="D610" s="41">
        <f>SUM(D611:D613)</f>
        <v>25838.999999999996</v>
      </c>
      <c r="E610" s="41">
        <f>SUM(E611:E613)</f>
        <v>26235.8</v>
      </c>
      <c r="F610" s="41">
        <f>SUM(F611:F613)</f>
        <v>24795.8</v>
      </c>
    </row>
    <row r="611" spans="1:6" ht="25.5">
      <c r="A611" s="21" t="s">
        <v>578</v>
      </c>
      <c r="B611" s="16" t="s">
        <v>65</v>
      </c>
      <c r="C611" s="102" t="s">
        <v>131</v>
      </c>
      <c r="D611" s="41">
        <f>9754.4+975.4-235</f>
        <v>10494.8</v>
      </c>
      <c r="E611" s="41">
        <f>9754.4+975.4</f>
        <v>10729.8</v>
      </c>
      <c r="F611" s="41">
        <f>9754.4+975.4</f>
        <v>10729.8</v>
      </c>
    </row>
    <row r="612" spans="1:6" ht="38.25">
      <c r="A612" s="21" t="s">
        <v>578</v>
      </c>
      <c r="B612" s="82" t="s">
        <v>214</v>
      </c>
      <c r="C612" s="98" t="s">
        <v>215</v>
      </c>
      <c r="D612" s="41">
        <v>15223.4</v>
      </c>
      <c r="E612" s="41">
        <v>15385.2</v>
      </c>
      <c r="F612" s="41">
        <v>13945.2</v>
      </c>
    </row>
    <row r="613" spans="1:6">
      <c r="A613" s="21" t="s">
        <v>578</v>
      </c>
      <c r="B613" s="82" t="s">
        <v>132</v>
      </c>
      <c r="C613" s="98" t="s">
        <v>133</v>
      </c>
      <c r="D613" s="107">
        <v>120.8</v>
      </c>
      <c r="E613" s="107">
        <v>120.8</v>
      </c>
      <c r="F613" s="107">
        <v>120.8</v>
      </c>
    </row>
    <row r="614" spans="1:6" ht="38.25">
      <c r="A614" s="105">
        <v>9980000000</v>
      </c>
      <c r="B614" s="106"/>
      <c r="C614" s="98" t="s">
        <v>30</v>
      </c>
      <c r="D614" s="107">
        <f>D615+D617</f>
        <v>65353.599999999999</v>
      </c>
      <c r="E614" s="107">
        <f t="shared" ref="E614:F614" si="200">E615+E617</f>
        <v>65139.5</v>
      </c>
      <c r="F614" s="107">
        <f t="shared" si="200"/>
        <v>65139.5</v>
      </c>
    </row>
    <row r="615" spans="1:6">
      <c r="A615" s="79">
        <v>9980022100</v>
      </c>
      <c r="B615" s="16"/>
      <c r="C615" s="22" t="s">
        <v>115</v>
      </c>
      <c r="D615" s="39">
        <f>D616</f>
        <v>2367.1</v>
      </c>
      <c r="E615" s="39">
        <f t="shared" ref="E615:F615" si="201">E616</f>
        <v>1902</v>
      </c>
      <c r="F615" s="39">
        <f t="shared" si="201"/>
        <v>1902</v>
      </c>
    </row>
    <row r="616" spans="1:6" ht="25.5">
      <c r="A616" s="79">
        <v>9980022100</v>
      </c>
      <c r="B616" s="16" t="s">
        <v>63</v>
      </c>
      <c r="C616" s="99" t="s">
        <v>79</v>
      </c>
      <c r="D616" s="39">
        <f>1717-118.6+439.5+171.7+157.5-439.5-171.7+171.7+439.5</f>
        <v>2367.1</v>
      </c>
      <c r="E616" s="39">
        <f>1717-118.6+303.6</f>
        <v>1902</v>
      </c>
      <c r="F616" s="39">
        <f>1717-118.6+303.6</f>
        <v>1902</v>
      </c>
    </row>
    <row r="617" spans="1:6">
      <c r="A617" s="139">
        <v>9980022200</v>
      </c>
      <c r="B617" s="21"/>
      <c r="C617" s="22" t="s">
        <v>116</v>
      </c>
      <c r="D617" s="39">
        <f>SUM(D618:D621)</f>
        <v>62986.5</v>
      </c>
      <c r="E617" s="39">
        <f t="shared" ref="E617:F617" si="202">SUM(E618:E621)</f>
        <v>63237.5</v>
      </c>
      <c r="F617" s="39">
        <f t="shared" si="202"/>
        <v>63237.5</v>
      </c>
    </row>
    <row r="618" spans="1:6" ht="25.5">
      <c r="A618" s="139">
        <v>9980022200</v>
      </c>
      <c r="B618" s="16" t="s">
        <v>63</v>
      </c>
      <c r="C618" s="55" t="s">
        <v>64</v>
      </c>
      <c r="D618" s="39">
        <f>9404.1+44902+375.4+64.1+940.4+4548.2-375.4+383-64.1+56.5-100-350</f>
        <v>59784.2</v>
      </c>
      <c r="E618" s="39">
        <f>9404.1+44902+940.5+4548.2</f>
        <v>59794.799999999996</v>
      </c>
      <c r="F618" s="39">
        <f>9404.1+44902+940.5+4548.2</f>
        <v>59794.799999999996</v>
      </c>
    </row>
    <row r="619" spans="1:6" ht="38.25">
      <c r="A619" s="139">
        <v>9980022200</v>
      </c>
      <c r="B619" s="82" t="s">
        <v>214</v>
      </c>
      <c r="C619" s="98" t="s">
        <v>215</v>
      </c>
      <c r="D619" s="39">
        <f>468.9+2929.4-90-80.4-70-3</f>
        <v>3154.9</v>
      </c>
      <c r="E619" s="39">
        <f t="shared" ref="E619:F619" si="203">468.9+2929.4</f>
        <v>3398.3</v>
      </c>
      <c r="F619" s="39">
        <f t="shared" si="203"/>
        <v>3398.3</v>
      </c>
    </row>
    <row r="620" spans="1:6" s="172" customFormat="1">
      <c r="A620" s="171">
        <v>9980022200</v>
      </c>
      <c r="B620" s="82" t="s">
        <v>726</v>
      </c>
      <c r="C620" s="98" t="s">
        <v>727</v>
      </c>
      <c r="D620" s="39">
        <v>3</v>
      </c>
      <c r="E620" s="39">
        <v>0</v>
      </c>
      <c r="F620" s="39">
        <v>0</v>
      </c>
    </row>
    <row r="621" spans="1:6">
      <c r="A621" s="139">
        <v>9980022200</v>
      </c>
      <c r="B621" s="82" t="s">
        <v>132</v>
      </c>
      <c r="C621" s="98" t="s">
        <v>133</v>
      </c>
      <c r="D621" s="41">
        <v>44.4</v>
      </c>
      <c r="E621" s="41">
        <v>44.4</v>
      </c>
      <c r="F621" s="41">
        <v>44.4</v>
      </c>
    </row>
    <row r="622" spans="1:6" s="32" customFormat="1" ht="38.25">
      <c r="A622" s="79">
        <v>9990000000</v>
      </c>
      <c r="B622" s="16"/>
      <c r="C622" s="54" t="s">
        <v>29</v>
      </c>
      <c r="D622" s="41">
        <f>D623+D625+D628</f>
        <v>5993</v>
      </c>
      <c r="E622" s="41">
        <f>E623+E625+E628</f>
        <v>5956.4000000000005</v>
      </c>
      <c r="F622" s="41">
        <f>F623+F625+F628</f>
        <v>5956.4000000000005</v>
      </c>
    </row>
    <row r="623" spans="1:6" s="32" customFormat="1" ht="14.25">
      <c r="A623" s="79">
        <v>9990022400</v>
      </c>
      <c r="B623" s="16"/>
      <c r="C623" s="98" t="s">
        <v>140</v>
      </c>
      <c r="D623" s="41">
        <f t="shared" ref="D623:F623" si="204">D624</f>
        <v>1522.8</v>
      </c>
      <c r="E623" s="41">
        <f t="shared" si="204"/>
        <v>1502.5</v>
      </c>
      <c r="F623" s="41">
        <f t="shared" si="204"/>
        <v>1502.5</v>
      </c>
    </row>
    <row r="624" spans="1:6" s="32" customFormat="1" ht="25.5">
      <c r="A624" s="79">
        <v>9990022400</v>
      </c>
      <c r="B624" s="16" t="s">
        <v>63</v>
      </c>
      <c r="C624" s="55" t="s">
        <v>64</v>
      </c>
      <c r="D624" s="39">
        <f>1365.9+136.6+20.3-156.9+156.9</f>
        <v>1522.8</v>
      </c>
      <c r="E624" s="39">
        <f>1365.9+136.6</f>
        <v>1502.5</v>
      </c>
      <c r="F624" s="39">
        <f>1365.9+136.6</f>
        <v>1502.5</v>
      </c>
    </row>
    <row r="625" spans="1:6" s="32" customFormat="1" ht="25.5">
      <c r="A625" s="79">
        <v>9990022500</v>
      </c>
      <c r="B625" s="21"/>
      <c r="C625" s="99" t="s">
        <v>633</v>
      </c>
      <c r="D625" s="41">
        <f>SUM(D626:D627)</f>
        <v>2617.8000000000002</v>
      </c>
      <c r="E625" s="41">
        <f t="shared" ref="E625:F625" si="205">SUM(E626:E627)</f>
        <v>2617.8000000000002</v>
      </c>
      <c r="F625" s="41">
        <f t="shared" si="205"/>
        <v>2617.8000000000002</v>
      </c>
    </row>
    <row r="626" spans="1:6" s="32" customFormat="1" ht="25.5">
      <c r="A626" s="79">
        <v>9990022500</v>
      </c>
      <c r="B626" s="16" t="s">
        <v>63</v>
      </c>
      <c r="C626" s="55" t="s">
        <v>64</v>
      </c>
      <c r="D626" s="39">
        <f>2356.8+154.9</f>
        <v>2511.7000000000003</v>
      </c>
      <c r="E626" s="39">
        <f>2356.8+154.9</f>
        <v>2511.7000000000003</v>
      </c>
      <c r="F626" s="39">
        <f>2356.8+154.9</f>
        <v>2511.7000000000003</v>
      </c>
    </row>
    <row r="627" spans="1:6" s="32" customFormat="1" ht="38.25">
      <c r="A627" s="79">
        <v>9990022500</v>
      </c>
      <c r="B627" s="82" t="s">
        <v>214</v>
      </c>
      <c r="C627" s="98" t="s">
        <v>215</v>
      </c>
      <c r="D627" s="39">
        <v>106.1</v>
      </c>
      <c r="E627" s="39">
        <v>106.1</v>
      </c>
      <c r="F627" s="39">
        <v>106.1</v>
      </c>
    </row>
    <row r="628" spans="1:6" s="32" customFormat="1" ht="25.5">
      <c r="A628" s="79">
        <v>9990022300</v>
      </c>
      <c r="B628" s="21"/>
      <c r="C628" s="99" t="s">
        <v>202</v>
      </c>
      <c r="D628" s="41">
        <f>D629+D630</f>
        <v>1852.4</v>
      </c>
      <c r="E628" s="41">
        <f>E629+E630</f>
        <v>1836.1000000000001</v>
      </c>
      <c r="F628" s="41">
        <f>F629+F630</f>
        <v>1836.1000000000001</v>
      </c>
    </row>
    <row r="629" spans="1:6" s="32" customFormat="1" ht="25.5">
      <c r="A629" s="79">
        <v>9990022300</v>
      </c>
      <c r="B629" s="16" t="s">
        <v>63</v>
      </c>
      <c r="C629" s="99" t="s">
        <v>79</v>
      </c>
      <c r="D629" s="39">
        <f>1668.4+164.2+16.3-109.5+109.5</f>
        <v>1848.9</v>
      </c>
      <c r="E629" s="39">
        <f>1668.4+164.2</f>
        <v>1832.6000000000001</v>
      </c>
      <c r="F629" s="39">
        <f>1668.4+164.2</f>
        <v>1832.6000000000001</v>
      </c>
    </row>
    <row r="630" spans="1:6" s="32" customFormat="1" ht="38.25">
      <c r="A630" s="79">
        <v>9990022300</v>
      </c>
      <c r="B630" s="82" t="s">
        <v>214</v>
      </c>
      <c r="C630" s="98" t="s">
        <v>215</v>
      </c>
      <c r="D630" s="39">
        <v>3.5</v>
      </c>
      <c r="E630" s="39">
        <v>3.5</v>
      </c>
      <c r="F630"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2023-09-21T08:02:22Z</cp:lastPrinted>
  <dcterms:created xsi:type="dcterms:W3CDTF">2007-02-27T13:35:41Z</dcterms:created>
  <dcterms:modified xsi:type="dcterms:W3CDTF">2023-09-21T08:05:48Z</dcterms:modified>
</cp:coreProperties>
</file>