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0" windowWidth="22935" windowHeight="9270" activeTab="6"/>
  </bookViews>
  <sheets>
    <sheet name="прил.1" sheetId="62" r:id="rId1"/>
    <sheet name="прил.3" sheetId="1" r:id="rId2"/>
    <sheet name="прил.4" sheetId="61" r:id="rId3"/>
    <sheet name="прил.5" sheetId="2" r:id="rId4"/>
    <sheet name="прил.6" sheetId="3" r:id="rId5"/>
    <sheet name="прил.7" sheetId="64" r:id="rId6"/>
    <sheet name="прил.8" sheetId="65" r:id="rId7"/>
  </sheets>
  <calcPr calcId="145621"/>
</workbook>
</file>

<file path=xl/calcChain.xml><?xml version="1.0" encoding="utf-8"?>
<calcChain xmlns="http://schemas.openxmlformats.org/spreadsheetml/2006/main">
  <c r="D645" i="3" l="1"/>
  <c r="D646" i="3"/>
  <c r="H790" i="2"/>
  <c r="H789" i="2"/>
  <c r="F57" i="61"/>
  <c r="F58" i="61"/>
  <c r="D95" i="3" l="1"/>
  <c r="D94" i="3" s="1"/>
  <c r="D93" i="3"/>
  <c r="D92" i="3" s="1"/>
  <c r="H560" i="2"/>
  <c r="H559" i="2"/>
  <c r="H558" i="2"/>
  <c r="H557" i="2" s="1"/>
  <c r="F466" i="61"/>
  <c r="F468" i="61"/>
  <c r="D229" i="3" l="1"/>
  <c r="D228" i="3"/>
  <c r="H770" i="2"/>
  <c r="H769" i="2"/>
  <c r="F629" i="61"/>
  <c r="F628" i="61"/>
  <c r="D581" i="3" l="1"/>
  <c r="F580" i="3"/>
  <c r="E580" i="3"/>
  <c r="D580" i="3"/>
  <c r="H292" i="2"/>
  <c r="J291" i="2"/>
  <c r="I291" i="2"/>
  <c r="H291" i="2"/>
  <c r="F278" i="61"/>
  <c r="F279" i="61"/>
  <c r="D302" i="3" l="1"/>
  <c r="D510" i="3"/>
  <c r="H451" i="2"/>
  <c r="H261" i="2"/>
  <c r="F635" i="61"/>
  <c r="F253" i="61"/>
  <c r="E42" i="1"/>
  <c r="E57" i="1"/>
  <c r="I24" i="64"/>
  <c r="D381" i="3" l="1"/>
  <c r="H171" i="2"/>
  <c r="F172" i="61"/>
  <c r="D395" i="3"/>
  <c r="H185" i="2"/>
  <c r="F186" i="61"/>
  <c r="G35" i="62" l="1"/>
  <c r="G34" i="62" s="1"/>
  <c r="G33" i="62" s="1"/>
  <c r="F35" i="62"/>
  <c r="C35" i="62"/>
  <c r="C34" i="62" s="1"/>
  <c r="C33" i="62" s="1"/>
  <c r="F34" i="62"/>
  <c r="F33" i="62" s="1"/>
  <c r="G31" i="62"/>
  <c r="F31" i="62"/>
  <c r="E31" i="62"/>
  <c r="D31" i="62"/>
  <c r="C31" i="62"/>
  <c r="G29" i="62"/>
  <c r="G28" i="62" s="1"/>
  <c r="F29" i="62"/>
  <c r="E29" i="62"/>
  <c r="E28" i="62" s="1"/>
  <c r="D29" i="62"/>
  <c r="C29" i="62"/>
  <c r="C28" i="62" s="1"/>
  <c r="D28" i="62"/>
  <c r="G26" i="62"/>
  <c r="F26" i="62"/>
  <c r="E26" i="62"/>
  <c r="E23" i="62" s="1"/>
  <c r="E37" i="62" s="1"/>
  <c r="D26" i="62"/>
  <c r="C26" i="62"/>
  <c r="G23" i="62"/>
  <c r="G37" i="62" s="1"/>
  <c r="F23" i="62"/>
  <c r="F37" i="62" s="1"/>
  <c r="D23" i="62"/>
  <c r="D37" i="62" s="1"/>
  <c r="C23" i="62"/>
  <c r="F28" i="62" l="1"/>
  <c r="C37" i="62"/>
  <c r="D77" i="3"/>
  <c r="D76" i="3"/>
  <c r="H611" i="2"/>
  <c r="H610" i="2"/>
  <c r="F556" i="61"/>
  <c r="F555" i="61"/>
  <c r="F379" i="61" l="1"/>
  <c r="H411" i="2"/>
  <c r="D556" i="3"/>
  <c r="D554" i="3" l="1"/>
  <c r="H409" i="2"/>
  <c r="F377" i="61"/>
  <c r="F373" i="61"/>
  <c r="H405" i="2"/>
  <c r="D550" i="3"/>
  <c r="D552" i="3"/>
  <c r="H407" i="2"/>
  <c r="F375" i="61"/>
  <c r="F194" i="61"/>
  <c r="D537" i="3"/>
  <c r="H194" i="2"/>
  <c r="D469" i="3"/>
  <c r="H361" i="2"/>
  <c r="D488" i="3"/>
  <c r="H380" i="2"/>
  <c r="D471" i="3"/>
  <c r="H363" i="2"/>
  <c r="D462" i="3"/>
  <c r="H354" i="2"/>
  <c r="D449" i="3"/>
  <c r="H341" i="2"/>
  <c r="F335" i="61"/>
  <c r="F351" i="61"/>
  <c r="F337" i="61"/>
  <c r="F330" i="61"/>
  <c r="F319" i="61"/>
  <c r="E48" i="1" l="1"/>
  <c r="D71" i="3"/>
  <c r="H542" i="2"/>
  <c r="F453" i="61"/>
  <c r="D451" i="3" l="1"/>
  <c r="H343" i="2"/>
  <c r="F321" i="61"/>
  <c r="D604" i="3"/>
  <c r="D603" i="3"/>
  <c r="H54" i="2" l="1"/>
  <c r="H795" i="2" l="1"/>
  <c r="F68" i="61"/>
  <c r="F45" i="61"/>
  <c r="D60" i="3"/>
  <c r="H531" i="2"/>
  <c r="F443" i="61"/>
  <c r="D49" i="3"/>
  <c r="H520" i="2"/>
  <c r="F433" i="61"/>
  <c r="D625" i="3"/>
  <c r="D624" i="3" s="1"/>
  <c r="H800" i="2"/>
  <c r="F696" i="61"/>
  <c r="D175" i="3"/>
  <c r="D174" i="3" s="1"/>
  <c r="D173" i="3"/>
  <c r="D172" i="3"/>
  <c r="H675" i="2"/>
  <c r="H674" i="2" s="1"/>
  <c r="H673" i="2"/>
  <c r="H672" i="2" s="1"/>
  <c r="D103" i="3"/>
  <c r="H568" i="2"/>
  <c r="F503" i="61"/>
  <c r="F476" i="61"/>
  <c r="D55" i="3"/>
  <c r="H526" i="2"/>
  <c r="D30" i="3"/>
  <c r="D29" i="3" s="1"/>
  <c r="H503" i="2"/>
  <c r="H502" i="2" s="1"/>
  <c r="F439" i="61"/>
  <c r="F422" i="61"/>
  <c r="F418" i="61"/>
  <c r="H507" i="2"/>
  <c r="H506" i="2" s="1"/>
  <c r="D34" i="3"/>
  <c r="D33" i="3" s="1"/>
  <c r="F501" i="61"/>
  <c r="F474" i="61"/>
  <c r="H566" i="2"/>
  <c r="D101" i="3"/>
  <c r="D53" i="3"/>
  <c r="H524" i="2"/>
  <c r="F437" i="61"/>
  <c r="D32" i="3"/>
  <c r="H505" i="2"/>
  <c r="F420" i="61"/>
  <c r="F547" i="61"/>
  <c r="H712" i="2"/>
  <c r="D420" i="3"/>
  <c r="D410" i="3"/>
  <c r="H660" i="2"/>
  <c r="F140" i="61"/>
  <c r="D637" i="3"/>
  <c r="H94" i="2"/>
  <c r="F99" i="61"/>
  <c r="D148" i="3" l="1"/>
  <c r="H636" i="2"/>
  <c r="F577" i="61"/>
  <c r="F102" i="61"/>
  <c r="F100" i="61"/>
  <c r="H97" i="2"/>
  <c r="H95" i="2"/>
  <c r="D634" i="3"/>
  <c r="F96" i="61"/>
  <c r="H91" i="2"/>
  <c r="D653" i="3"/>
  <c r="D652" i="3"/>
  <c r="H31" i="2"/>
  <c r="H30" i="2"/>
  <c r="F35" i="61"/>
  <c r="D123" i="3" l="1"/>
  <c r="H617" i="2"/>
  <c r="D128" i="3"/>
  <c r="H595" i="2"/>
  <c r="D84" i="3"/>
  <c r="H547" i="2"/>
  <c r="F561" i="61"/>
  <c r="F515" i="61"/>
  <c r="F457" i="61"/>
  <c r="D647" i="3"/>
  <c r="H56" i="2"/>
  <c r="H55" i="2"/>
  <c r="F47" i="61"/>
  <c r="F46" i="61"/>
  <c r="D655" i="3"/>
  <c r="H37" i="2"/>
  <c r="F62" i="61"/>
  <c r="D656" i="3"/>
  <c r="H38" i="2"/>
  <c r="F63" i="61"/>
  <c r="D623" i="3" l="1"/>
  <c r="D622" i="3"/>
  <c r="D621" i="3"/>
  <c r="H88" i="2"/>
  <c r="H87" i="2"/>
  <c r="H86" i="2"/>
  <c r="F92" i="61"/>
  <c r="F93" i="61"/>
  <c r="F91" i="61"/>
  <c r="F36" i="61" l="1"/>
  <c r="D36" i="65" l="1"/>
  <c r="D631" i="3" l="1"/>
  <c r="D432" i="3"/>
  <c r="H133" i="2"/>
  <c r="H117" i="2"/>
  <c r="F134" i="61"/>
  <c r="F120" i="61"/>
  <c r="D515" i="3" l="1"/>
  <c r="H385" i="2"/>
  <c r="F355" i="61"/>
  <c r="D306" i="3" l="1"/>
  <c r="H265" i="2"/>
  <c r="H264" i="2" s="1"/>
  <c r="H263" i="2" s="1"/>
  <c r="H262" i="2"/>
  <c r="H260" i="2" s="1"/>
  <c r="F256" i="61"/>
  <c r="D242" i="3" l="1"/>
  <c r="D241" i="3"/>
  <c r="H75" i="2"/>
  <c r="H74" i="2"/>
  <c r="D303" i="3"/>
  <c r="F254" i="61"/>
  <c r="D240" i="3"/>
  <c r="F80" i="61"/>
  <c r="F79" i="61"/>
  <c r="F78" i="61" s="1"/>
  <c r="D578" i="3"/>
  <c r="H433" i="2"/>
  <c r="F400" i="61"/>
  <c r="D275" i="3"/>
  <c r="H243" i="2"/>
  <c r="F237" i="61"/>
  <c r="D292" i="3"/>
  <c r="H442" i="2"/>
  <c r="F408" i="61"/>
  <c r="D167" i="3"/>
  <c r="H667" i="2"/>
  <c r="F495" i="61"/>
  <c r="D156" i="3"/>
  <c r="H723" i="2"/>
  <c r="F586" i="61"/>
  <c r="H73" i="2" l="1"/>
  <c r="F75" i="61"/>
  <c r="F73" i="61"/>
  <c r="H70" i="2"/>
  <c r="H67" i="2"/>
  <c r="D237" i="3"/>
  <c r="D234" i="3"/>
  <c r="H223" i="2"/>
  <c r="D252" i="3"/>
  <c r="F219" i="61"/>
  <c r="D281" i="3" l="1"/>
  <c r="H486" i="2"/>
  <c r="F685" i="61"/>
  <c r="D519" i="3" l="1"/>
  <c r="H389" i="2"/>
  <c r="F359" i="61"/>
  <c r="G451" i="61"/>
  <c r="I540" i="2"/>
  <c r="E69" i="3"/>
  <c r="E49" i="3"/>
  <c r="I520" i="2"/>
  <c r="G433" i="61"/>
  <c r="F183" i="3"/>
  <c r="E183" i="3"/>
  <c r="D183" i="3"/>
  <c r="J739" i="2"/>
  <c r="I739" i="2"/>
  <c r="H739" i="2"/>
  <c r="H601" i="61"/>
  <c r="G601" i="61"/>
  <c r="F601" i="61"/>
  <c r="D632" i="3"/>
  <c r="H134" i="2"/>
  <c r="F135" i="61"/>
  <c r="D431" i="3" l="1"/>
  <c r="H116" i="2"/>
  <c r="F119" i="61"/>
  <c r="E524" i="3"/>
  <c r="I394" i="2"/>
  <c r="G363" i="61"/>
  <c r="F102" i="3" l="1"/>
  <c r="E102" i="3"/>
  <c r="D102" i="3"/>
  <c r="D99" i="3"/>
  <c r="H564" i="2"/>
  <c r="F472" i="61"/>
  <c r="D161" i="3"/>
  <c r="D158" i="3"/>
  <c r="H728" i="2"/>
  <c r="H725" i="2"/>
  <c r="F591" i="61"/>
  <c r="F588" i="61"/>
  <c r="D171" i="3"/>
  <c r="H671" i="2"/>
  <c r="F499" i="61"/>
  <c r="F176" i="61"/>
  <c r="H175" i="2"/>
  <c r="D385" i="3"/>
  <c r="D477" i="3"/>
  <c r="H369" i="2"/>
  <c r="F342" i="61"/>
  <c r="F174" i="3" l="1"/>
  <c r="E174" i="3"/>
  <c r="J674" i="2"/>
  <c r="I674" i="2"/>
  <c r="G502" i="61"/>
  <c r="H502" i="61"/>
  <c r="F502" i="61"/>
  <c r="J567" i="2"/>
  <c r="I567" i="2"/>
  <c r="H567" i="2"/>
  <c r="G475" i="61"/>
  <c r="H475" i="61"/>
  <c r="F475" i="61"/>
  <c r="F54" i="3"/>
  <c r="E54" i="3"/>
  <c r="D54" i="3"/>
  <c r="J525" i="2"/>
  <c r="I525" i="2"/>
  <c r="H525" i="2"/>
  <c r="G438" i="61"/>
  <c r="H438" i="61"/>
  <c r="F438" i="61"/>
  <c r="F33" i="3"/>
  <c r="E33" i="3"/>
  <c r="J506" i="2"/>
  <c r="I506" i="2"/>
  <c r="H421" i="61"/>
  <c r="G421" i="61"/>
  <c r="F421" i="61"/>
  <c r="F625" i="3" l="1"/>
  <c r="J800" i="2"/>
  <c r="J799" i="2" s="1"/>
  <c r="J798" i="2" s="1"/>
  <c r="I800" i="2"/>
  <c r="I799" i="2"/>
  <c r="I798" i="2" s="1"/>
  <c r="H799" i="2"/>
  <c r="H798" i="2" s="1"/>
  <c r="G696" i="61"/>
  <c r="G695" i="61" s="1"/>
  <c r="G694" i="61" s="1"/>
  <c r="G693" i="61" s="1"/>
  <c r="G692" i="61" s="1"/>
  <c r="H696" i="61"/>
  <c r="D164" i="3" l="1"/>
  <c r="D163" i="3"/>
  <c r="H731" i="2"/>
  <c r="H730" i="2"/>
  <c r="F593" i="61"/>
  <c r="F594" i="61"/>
  <c r="F172" i="3" l="1"/>
  <c r="E172" i="3"/>
  <c r="F100" i="3"/>
  <c r="E100" i="3"/>
  <c r="D100" i="3"/>
  <c r="F52" i="3"/>
  <c r="E52" i="3"/>
  <c r="D52" i="3"/>
  <c r="F31" i="3"/>
  <c r="E31" i="3"/>
  <c r="D31" i="3"/>
  <c r="J672" i="2"/>
  <c r="I672" i="2"/>
  <c r="J565" i="2"/>
  <c r="I565" i="2"/>
  <c r="H565" i="2"/>
  <c r="J523" i="2"/>
  <c r="I523" i="2"/>
  <c r="H523" i="2"/>
  <c r="J504" i="2"/>
  <c r="I504" i="2"/>
  <c r="H504" i="2"/>
  <c r="G500" i="61"/>
  <c r="H500" i="61"/>
  <c r="F500" i="61"/>
  <c r="G473" i="61" l="1"/>
  <c r="H473" i="61"/>
  <c r="F473" i="61"/>
  <c r="G436" i="61"/>
  <c r="H436" i="61"/>
  <c r="F436" i="61"/>
  <c r="H419" i="61" l="1"/>
  <c r="G419" i="61"/>
  <c r="F419" i="61"/>
  <c r="D28" i="3" l="1"/>
  <c r="H501" i="2"/>
  <c r="F416" i="61"/>
  <c r="F497" i="61"/>
  <c r="H669" i="2"/>
  <c r="D169" i="3"/>
  <c r="D97" i="3"/>
  <c r="H562" i="2"/>
  <c r="F470" i="61"/>
  <c r="D47" i="3"/>
  <c r="H518" i="2"/>
  <c r="F431" i="61"/>
  <c r="G43" i="1" l="1"/>
  <c r="E297" i="3" l="1"/>
  <c r="I299" i="2"/>
  <c r="G285" i="61"/>
  <c r="F43" i="1"/>
  <c r="F181" i="3" l="1"/>
  <c r="E181" i="3"/>
  <c r="D181" i="3"/>
  <c r="J737" i="2"/>
  <c r="I737" i="2"/>
  <c r="H737" i="2"/>
  <c r="G599" i="61"/>
  <c r="H599" i="61"/>
  <c r="F599" i="61"/>
  <c r="F624" i="3" l="1"/>
  <c r="E624" i="3"/>
  <c r="J298" i="2"/>
  <c r="J797" i="2" l="1"/>
  <c r="J796" i="2" s="1"/>
  <c r="I797" i="2"/>
  <c r="I796" i="2" s="1"/>
  <c r="H797" i="2"/>
  <c r="H796" i="2" s="1"/>
  <c r="H695" i="61" l="1"/>
  <c r="H694" i="61" s="1"/>
  <c r="H693" i="61" s="1"/>
  <c r="H692" i="61" s="1"/>
  <c r="F695" i="61"/>
  <c r="F694" i="61" s="1"/>
  <c r="F693" i="61" s="1"/>
  <c r="F692" i="61" s="1"/>
  <c r="D297" i="3" l="1"/>
  <c r="H299" i="2"/>
  <c r="F285" i="61"/>
  <c r="F323" i="61"/>
  <c r="H345" i="2"/>
  <c r="D453" i="3"/>
  <c r="D383" i="3"/>
  <c r="H173" i="2"/>
  <c r="F174" i="61"/>
  <c r="F178" i="61"/>
  <c r="H177" i="2"/>
  <c r="D387" i="3"/>
  <c r="D391" i="3"/>
  <c r="H181" i="2"/>
  <c r="F182" i="61"/>
  <c r="D351" i="3"/>
  <c r="H315" i="2"/>
  <c r="F298" i="61"/>
  <c r="G64" i="1"/>
  <c r="F64" i="1"/>
  <c r="E64" i="1"/>
  <c r="D259" i="3"/>
  <c r="H149" i="2"/>
  <c r="F152" i="61"/>
  <c r="E37" i="1"/>
  <c r="F94" i="3"/>
  <c r="E94" i="3"/>
  <c r="F92" i="3"/>
  <c r="E92" i="3"/>
  <c r="J559" i="2"/>
  <c r="I559" i="2"/>
  <c r="D117" i="3"/>
  <c r="H582" i="2"/>
  <c r="F488" i="61"/>
  <c r="G467" i="61"/>
  <c r="H467" i="61"/>
  <c r="F467" i="61"/>
  <c r="D328" i="3" l="1"/>
  <c r="H287" i="2"/>
  <c r="F274" i="61"/>
  <c r="D130" i="3"/>
  <c r="D121" i="3"/>
  <c r="H620" i="2"/>
  <c r="H615" i="2"/>
  <c r="F563" i="61"/>
  <c r="F559" i="61"/>
  <c r="F365" i="61" l="1"/>
  <c r="H396" i="2"/>
  <c r="J752" i="2"/>
  <c r="I752" i="2"/>
  <c r="H752" i="2"/>
  <c r="J750" i="2"/>
  <c r="I750" i="2"/>
  <c r="H750" i="2"/>
  <c r="H611" i="61"/>
  <c r="G611" i="61"/>
  <c r="F611" i="61"/>
  <c r="H609" i="61"/>
  <c r="H608" i="61" s="1"/>
  <c r="H607" i="61" s="1"/>
  <c r="G609" i="61"/>
  <c r="F609" i="61"/>
  <c r="J749" i="2" l="1"/>
  <c r="J748" i="2" s="1"/>
  <c r="J747" i="2" s="1"/>
  <c r="I749" i="2"/>
  <c r="I748" i="2" s="1"/>
  <c r="I747" i="2" s="1"/>
  <c r="G608" i="61"/>
  <c r="G607" i="61" s="1"/>
  <c r="F608" i="61"/>
  <c r="F607" i="61" s="1"/>
  <c r="H749" i="2"/>
  <c r="H748" i="2" s="1"/>
  <c r="H747" i="2" s="1"/>
  <c r="F527" i="3" l="1"/>
  <c r="E527" i="3"/>
  <c r="D527" i="3"/>
  <c r="J788" i="2" l="1"/>
  <c r="J787" i="2" s="1"/>
  <c r="I788" i="2"/>
  <c r="I787" i="2" s="1"/>
  <c r="H788" i="2"/>
  <c r="H787" i="2" s="1"/>
  <c r="F56" i="61"/>
  <c r="D630" i="3"/>
  <c r="H132" i="2"/>
  <c r="F133" i="61"/>
  <c r="D638" i="3" l="1"/>
  <c r="D600" i="3"/>
  <c r="H214" i="2"/>
  <c r="F212" i="61"/>
  <c r="D340" i="3"/>
  <c r="H304" i="2"/>
  <c r="D640" i="3"/>
  <c r="D636" i="3" s="1"/>
  <c r="F636" i="3"/>
  <c r="E636" i="3"/>
  <c r="J93" i="2"/>
  <c r="I93" i="2"/>
  <c r="F303" i="61"/>
  <c r="H322" i="2"/>
  <c r="D358" i="3"/>
  <c r="D361" i="3"/>
  <c r="H325" i="2"/>
  <c r="F305" i="61"/>
  <c r="F296" i="61"/>
  <c r="H313" i="2"/>
  <c r="D349" i="3"/>
  <c r="D343" i="3"/>
  <c r="H307" i="2"/>
  <c r="F291" i="61"/>
  <c r="F289" i="61"/>
  <c r="H93" i="2" l="1"/>
  <c r="H189" i="2"/>
  <c r="D533" i="3"/>
  <c r="D532" i="3" s="1"/>
  <c r="F190" i="61"/>
  <c r="E301" i="3" l="1"/>
  <c r="F301" i="3"/>
  <c r="D301" i="3"/>
  <c r="F252" i="61"/>
  <c r="I260" i="2"/>
  <c r="J260" i="2"/>
  <c r="G465" i="61" l="1"/>
  <c r="H465" i="61"/>
  <c r="D58" i="3"/>
  <c r="H529" i="2"/>
  <c r="F441" i="61"/>
  <c r="F397" i="61" l="1"/>
  <c r="F396" i="61" s="1"/>
  <c r="F395" i="61"/>
  <c r="F394" i="61" s="1"/>
  <c r="F393" i="61"/>
  <c r="F392" i="61" s="1"/>
  <c r="F391" i="61"/>
  <c r="F390" i="61" s="1"/>
  <c r="F388" i="61"/>
  <c r="H429" i="2"/>
  <c r="H428" i="2" s="1"/>
  <c r="H427" i="2"/>
  <c r="H426" i="2" s="1"/>
  <c r="H425" i="2"/>
  <c r="H424" i="2" s="1"/>
  <c r="H423" i="2"/>
  <c r="H422" i="2" s="1"/>
  <c r="H420" i="2"/>
  <c r="D574" i="3"/>
  <c r="D573" i="3" s="1"/>
  <c r="D572" i="3"/>
  <c r="D571" i="3" s="1"/>
  <c r="D570" i="3"/>
  <c r="D569" i="3" s="1"/>
  <c r="D568" i="3"/>
  <c r="D567" i="3" s="1"/>
  <c r="D565" i="3"/>
  <c r="F544" i="61" l="1"/>
  <c r="H546" i="61"/>
  <c r="H545" i="61" s="1"/>
  <c r="G546" i="61"/>
  <c r="G545" i="61" s="1"/>
  <c r="F546" i="61"/>
  <c r="F545" i="61" s="1"/>
  <c r="H708" i="2"/>
  <c r="J711" i="2"/>
  <c r="J710" i="2" s="1"/>
  <c r="J709" i="2" s="1"/>
  <c r="I711" i="2"/>
  <c r="I710" i="2" s="1"/>
  <c r="I709" i="2" s="1"/>
  <c r="H711" i="2"/>
  <c r="H710" i="2" s="1"/>
  <c r="H709" i="2" s="1"/>
  <c r="D416" i="3"/>
  <c r="E419" i="3"/>
  <c r="E418" i="3" s="1"/>
  <c r="F419" i="3"/>
  <c r="F418" i="3" s="1"/>
  <c r="D419" i="3"/>
  <c r="D418" i="3" s="1"/>
  <c r="D417" i="3" l="1"/>
  <c r="F417" i="3"/>
  <c r="E417" i="3"/>
  <c r="E61" i="1"/>
  <c r="F677" i="61"/>
  <c r="H782" i="2"/>
  <c r="D209" i="3"/>
  <c r="H184" i="2" l="1"/>
  <c r="J184" i="2"/>
  <c r="I184" i="2"/>
  <c r="D267" i="3" l="1"/>
  <c r="H235" i="2"/>
  <c r="F229" i="61"/>
  <c r="D314" i="3"/>
  <c r="H273" i="2"/>
  <c r="F263" i="61"/>
  <c r="F274" i="3" l="1"/>
  <c r="E274" i="3"/>
  <c r="D274" i="3"/>
  <c r="J242" i="2"/>
  <c r="I242" i="2"/>
  <c r="H242" i="2"/>
  <c r="G236" i="61"/>
  <c r="H236" i="61"/>
  <c r="F236" i="61"/>
  <c r="E391" i="3" l="1"/>
  <c r="I181" i="2"/>
  <c r="G182" i="61"/>
  <c r="D269" i="3" l="1"/>
  <c r="H237" i="2"/>
  <c r="F231" i="61"/>
  <c r="D535" i="3"/>
  <c r="H192" i="2"/>
  <c r="D394" i="3"/>
  <c r="F192" i="61"/>
  <c r="F244" i="3" l="1"/>
  <c r="E244" i="3"/>
  <c r="D244" i="3"/>
  <c r="J77" i="2"/>
  <c r="I77" i="2"/>
  <c r="H77" i="2"/>
  <c r="G82" i="61"/>
  <c r="H82" i="61"/>
  <c r="F82" i="61"/>
  <c r="D485" i="3" l="1"/>
  <c r="H377" i="2"/>
  <c r="F348" i="61"/>
  <c r="D215" i="3" l="1"/>
  <c r="H691" i="2"/>
  <c r="F529" i="61"/>
  <c r="D79" i="3" l="1"/>
  <c r="H601" i="2"/>
  <c r="F520" i="61"/>
  <c r="D144" i="3" l="1"/>
  <c r="D143" i="3" s="1"/>
  <c r="F143" i="3"/>
  <c r="E143" i="3"/>
  <c r="F573" i="61"/>
  <c r="I631" i="2"/>
  <c r="J631" i="2"/>
  <c r="H632" i="2"/>
  <c r="H631" i="2" s="1"/>
  <c r="F63" i="3"/>
  <c r="E63" i="3"/>
  <c r="D63" i="3"/>
  <c r="J534" i="2"/>
  <c r="I534" i="2"/>
  <c r="H534" i="2"/>
  <c r="G446" i="61"/>
  <c r="H446" i="61"/>
  <c r="F446" i="61"/>
  <c r="D180" i="3" l="1"/>
  <c r="H736" i="2"/>
  <c r="F598" i="61"/>
  <c r="D137" i="3" l="1"/>
  <c r="D136" i="3" s="1"/>
  <c r="F136" i="3"/>
  <c r="E136" i="3"/>
  <c r="H625" i="2"/>
  <c r="H624" i="2" s="1"/>
  <c r="J624" i="2"/>
  <c r="I624" i="2"/>
  <c r="F567" i="61"/>
  <c r="F566" i="61" s="1"/>
  <c r="F61" i="3"/>
  <c r="E61" i="3"/>
  <c r="D61" i="3"/>
  <c r="J532" i="2"/>
  <c r="I532" i="2"/>
  <c r="H532" i="2"/>
  <c r="G444" i="61"/>
  <c r="H444" i="61"/>
  <c r="F444" i="61"/>
  <c r="F199" i="3"/>
  <c r="E199" i="3"/>
  <c r="D199" i="3"/>
  <c r="J765" i="2"/>
  <c r="I765" i="2"/>
  <c r="H765" i="2"/>
  <c r="G624" i="61"/>
  <c r="H624" i="61"/>
  <c r="F624" i="61"/>
  <c r="D500" i="3" l="1"/>
  <c r="D499" i="3" s="1"/>
  <c r="D498" i="3"/>
  <c r="D497" i="3" s="1"/>
  <c r="H474" i="2"/>
  <c r="H473" i="2" s="1"/>
  <c r="H472" i="2"/>
  <c r="H471" i="2" s="1"/>
  <c r="F662" i="61"/>
  <c r="F664" i="61"/>
  <c r="H460" i="61" l="1"/>
  <c r="G460" i="61"/>
  <c r="F460" i="61"/>
  <c r="J551" i="2"/>
  <c r="I551" i="2"/>
  <c r="H551" i="2"/>
  <c r="J549" i="2"/>
  <c r="J548" i="2" s="1"/>
  <c r="I549" i="2"/>
  <c r="I548" i="2" s="1"/>
  <c r="H549" i="2"/>
  <c r="H548" i="2" s="1"/>
  <c r="E88" i="3"/>
  <c r="F88" i="3"/>
  <c r="D88" i="3"/>
  <c r="D149" i="3" l="1"/>
  <c r="H637" i="2"/>
  <c r="F578" i="61"/>
  <c r="D147" i="3" l="1"/>
  <c r="H528" i="2" l="1"/>
  <c r="D254" i="3" l="1"/>
  <c r="D253" i="3" s="1"/>
  <c r="F253" i="3"/>
  <c r="E253" i="3"/>
  <c r="H225" i="2"/>
  <c r="H224" i="2" s="1"/>
  <c r="J224" i="2"/>
  <c r="I224" i="2"/>
  <c r="G220" i="61"/>
  <c r="H220" i="61"/>
  <c r="F221" i="61"/>
  <c r="F220" i="61" s="1"/>
  <c r="D178" i="3" l="1"/>
  <c r="H734" i="2"/>
  <c r="F596" i="61"/>
  <c r="F107" i="3"/>
  <c r="E107" i="3"/>
  <c r="D107" i="3"/>
  <c r="J572" i="2"/>
  <c r="I572" i="2"/>
  <c r="H572" i="2"/>
  <c r="G479" i="61"/>
  <c r="H479" i="61"/>
  <c r="F479" i="61"/>
  <c r="F163" i="61" l="1"/>
  <c r="H161" i="2"/>
  <c r="D405" i="3"/>
  <c r="D598" i="3" l="1"/>
  <c r="H212" i="2"/>
  <c r="F210" i="61"/>
  <c r="J460" i="2" l="1"/>
  <c r="J459" i="2" s="1"/>
  <c r="J458" i="2" s="1"/>
  <c r="I460" i="2"/>
  <c r="I459" i="2" s="1"/>
  <c r="I458" i="2" s="1"/>
  <c r="H460" i="2"/>
  <c r="H459" i="2" s="1"/>
  <c r="H458" i="2" s="1"/>
  <c r="H647" i="61"/>
  <c r="H646" i="61" s="1"/>
  <c r="H645" i="61" s="1"/>
  <c r="G647" i="61"/>
  <c r="G646" i="61" s="1"/>
  <c r="G645" i="61" s="1"/>
  <c r="F647" i="61"/>
  <c r="F646" i="61" s="1"/>
  <c r="F645" i="61" s="1"/>
  <c r="D517" i="3" l="1"/>
  <c r="H387" i="2"/>
  <c r="F357" i="61"/>
  <c r="F542" i="3" l="1"/>
  <c r="E542" i="3"/>
  <c r="D542" i="3"/>
  <c r="F540" i="3"/>
  <c r="E540" i="3"/>
  <c r="D540" i="3"/>
  <c r="F538" i="3"/>
  <c r="E538" i="3"/>
  <c r="D538" i="3"/>
  <c r="F536" i="3"/>
  <c r="E536" i="3"/>
  <c r="D536" i="3"/>
  <c r="D534" i="3"/>
  <c r="F534" i="3"/>
  <c r="E534" i="3"/>
  <c r="F532" i="3"/>
  <c r="F531" i="3" s="1"/>
  <c r="E532" i="3"/>
  <c r="H199" i="61"/>
  <c r="G199" i="61"/>
  <c r="F199" i="61"/>
  <c r="H197" i="61"/>
  <c r="G197" i="61"/>
  <c r="F197" i="61"/>
  <c r="H195" i="61"/>
  <c r="G195" i="61"/>
  <c r="F195" i="61"/>
  <c r="H193" i="61"/>
  <c r="G193" i="61"/>
  <c r="F193" i="61"/>
  <c r="F191" i="61"/>
  <c r="H191" i="61"/>
  <c r="G191" i="61"/>
  <c r="F189" i="61"/>
  <c r="H189" i="61"/>
  <c r="G189" i="61"/>
  <c r="E531" i="3" l="1"/>
  <c r="D531" i="3"/>
  <c r="G188" i="61"/>
  <c r="H188" i="61"/>
  <c r="F188" i="61"/>
  <c r="I199" i="2"/>
  <c r="J199" i="2"/>
  <c r="H199" i="2"/>
  <c r="I193" i="2"/>
  <c r="J193" i="2"/>
  <c r="H193" i="2"/>
  <c r="H347" i="2" l="1"/>
  <c r="H346" i="2" s="1"/>
  <c r="D455" i="3" l="1"/>
  <c r="D454" i="3" s="1"/>
  <c r="F325" i="61"/>
  <c r="H441" i="2" l="1"/>
  <c r="F646" i="3" l="1"/>
  <c r="E646" i="3"/>
  <c r="F645" i="3"/>
  <c r="E645" i="3"/>
  <c r="F241" i="3"/>
  <c r="F240" i="3" s="1"/>
  <c r="E241" i="3"/>
  <c r="E240" i="3" s="1"/>
  <c r="J74" i="2" l="1"/>
  <c r="J73" i="2" s="1"/>
  <c r="I74" i="2"/>
  <c r="I73" i="2" s="1"/>
  <c r="H79" i="61"/>
  <c r="H78" i="61" s="1"/>
  <c r="G79" i="61"/>
  <c r="G78" i="61" s="1"/>
  <c r="D154" i="3" l="1"/>
  <c r="H721" i="2"/>
  <c r="F208" i="3"/>
  <c r="E208" i="3"/>
  <c r="D208" i="3"/>
  <c r="J781" i="2"/>
  <c r="I781" i="2"/>
  <c r="H781" i="2"/>
  <c r="G676" i="61"/>
  <c r="H676" i="61"/>
  <c r="F676" i="61"/>
  <c r="D157" i="3"/>
  <c r="D393" i="3" l="1"/>
  <c r="H183" i="2"/>
  <c r="F184" i="61"/>
  <c r="D389" i="3"/>
  <c r="H179" i="2"/>
  <c r="F180" i="61"/>
  <c r="D195" i="3" l="1"/>
  <c r="H746" i="2"/>
  <c r="F606" i="61"/>
  <c r="F494" i="3" l="1"/>
  <c r="E494" i="3"/>
  <c r="D494" i="3"/>
  <c r="J468" i="2"/>
  <c r="I468" i="2"/>
  <c r="H468" i="2"/>
  <c r="G659" i="61"/>
  <c r="H659" i="61"/>
  <c r="F659" i="61"/>
  <c r="F147" i="3" l="1"/>
  <c r="E147" i="3"/>
  <c r="H635" i="2"/>
  <c r="J635" i="2"/>
  <c r="I635" i="2"/>
  <c r="G576" i="61"/>
  <c r="H576" i="61"/>
  <c r="F576" i="61"/>
  <c r="H458" i="61" l="1"/>
  <c r="G458" i="61"/>
  <c r="F458" i="61"/>
  <c r="E86" i="3"/>
  <c r="E85" i="3" s="1"/>
  <c r="F86" i="3"/>
  <c r="F85" i="3" s="1"/>
  <c r="D86" i="3"/>
  <c r="D85" i="3" s="1"/>
  <c r="F188" i="3" l="1"/>
  <c r="E188" i="3"/>
  <c r="D188" i="3"/>
  <c r="J679" i="2"/>
  <c r="I679" i="2"/>
  <c r="H679" i="2"/>
  <c r="G506" i="61"/>
  <c r="H506" i="61"/>
  <c r="F506" i="61"/>
  <c r="D507" i="3"/>
  <c r="H457" i="2"/>
  <c r="F644" i="61"/>
  <c r="F516" i="3"/>
  <c r="E516" i="3"/>
  <c r="D516" i="3"/>
  <c r="J386" i="2"/>
  <c r="I386" i="2"/>
  <c r="H386" i="2"/>
  <c r="G356" i="61"/>
  <c r="H356" i="61"/>
  <c r="F356" i="61"/>
  <c r="H278" i="61"/>
  <c r="H277" i="61" s="1"/>
  <c r="H276" i="61" s="1"/>
  <c r="H275" i="61" s="1"/>
  <c r="G278" i="61"/>
  <c r="G277" i="61" s="1"/>
  <c r="G276" i="61" s="1"/>
  <c r="G275" i="61" s="1"/>
  <c r="F277" i="61"/>
  <c r="F276" i="61" s="1"/>
  <c r="F275" i="61" s="1"/>
  <c r="J290" i="2"/>
  <c r="J289" i="2" s="1"/>
  <c r="J288" i="2" s="1"/>
  <c r="I290" i="2"/>
  <c r="I289" i="2" s="1"/>
  <c r="I288" i="2" s="1"/>
  <c r="H290" i="2"/>
  <c r="H289" i="2" s="1"/>
  <c r="H288" i="2" s="1"/>
  <c r="D579" i="3"/>
  <c r="F579" i="3"/>
  <c r="E579" i="3"/>
  <c r="E154" i="3" l="1"/>
  <c r="F154" i="3"/>
  <c r="E291" i="3"/>
  <c r="F291" i="3"/>
  <c r="D291" i="3"/>
  <c r="H358" i="61"/>
  <c r="G358" i="61"/>
  <c r="F358" i="61"/>
  <c r="J388" i="2"/>
  <c r="I388" i="2"/>
  <c r="H388" i="2"/>
  <c r="E518" i="3"/>
  <c r="F518" i="3"/>
  <c r="D518" i="3"/>
  <c r="D262" i="3"/>
  <c r="H230" i="2"/>
  <c r="F225" i="61"/>
  <c r="F382" i="3"/>
  <c r="E382" i="3"/>
  <c r="D382" i="3"/>
  <c r="J172" i="2"/>
  <c r="I172" i="2"/>
  <c r="H172" i="2"/>
  <c r="G173" i="61"/>
  <c r="H173" i="61"/>
  <c r="F173" i="61"/>
  <c r="F77" i="61"/>
  <c r="H72" i="2"/>
  <c r="D239" i="3"/>
  <c r="F484" i="3" l="1"/>
  <c r="E484" i="3"/>
  <c r="D484" i="3"/>
  <c r="J376" i="2"/>
  <c r="I376" i="2"/>
  <c r="H376" i="2"/>
  <c r="G347" i="61"/>
  <c r="H347" i="61"/>
  <c r="F347" i="61"/>
  <c r="F573" i="3" l="1"/>
  <c r="E573" i="3"/>
  <c r="F571" i="3"/>
  <c r="E571" i="3"/>
  <c r="F569" i="3"/>
  <c r="E569" i="3"/>
  <c r="F567" i="3"/>
  <c r="E567" i="3"/>
  <c r="F565" i="3"/>
  <c r="E565" i="3"/>
  <c r="J428" i="2" l="1"/>
  <c r="I428" i="2"/>
  <c r="J426" i="2"/>
  <c r="I426" i="2"/>
  <c r="J424" i="2"/>
  <c r="I424" i="2"/>
  <c r="J422" i="2"/>
  <c r="I422" i="2"/>
  <c r="J420" i="2"/>
  <c r="I420" i="2"/>
  <c r="H396" i="61"/>
  <c r="G396" i="61"/>
  <c r="H394" i="61"/>
  <c r="G394" i="61"/>
  <c r="H392" i="61"/>
  <c r="G392" i="61"/>
  <c r="G390" i="61"/>
  <c r="H390" i="61"/>
  <c r="G388" i="61"/>
  <c r="H388" i="61"/>
  <c r="F563" i="3"/>
  <c r="E563" i="3"/>
  <c r="D563" i="3"/>
  <c r="F561" i="3"/>
  <c r="E561" i="3"/>
  <c r="D561" i="3"/>
  <c r="F559" i="3"/>
  <c r="E559" i="3"/>
  <c r="D559" i="3"/>
  <c r="F557" i="3"/>
  <c r="E557" i="3"/>
  <c r="D557" i="3"/>
  <c r="J418" i="2"/>
  <c r="I418" i="2"/>
  <c r="H418" i="2"/>
  <c r="J416" i="2"/>
  <c r="I416" i="2"/>
  <c r="H416" i="2"/>
  <c r="J414" i="2"/>
  <c r="I414" i="2"/>
  <c r="H414" i="2"/>
  <c r="J412" i="2"/>
  <c r="I412" i="2"/>
  <c r="H412" i="2"/>
  <c r="H386" i="61"/>
  <c r="G386" i="61"/>
  <c r="F386" i="61"/>
  <c r="H384" i="61"/>
  <c r="G384" i="61"/>
  <c r="F384" i="61"/>
  <c r="H382" i="61"/>
  <c r="G382" i="61"/>
  <c r="F382" i="61"/>
  <c r="G380" i="61"/>
  <c r="H380" i="61"/>
  <c r="F380" i="61"/>
  <c r="J197" i="2"/>
  <c r="I197" i="2"/>
  <c r="H197" i="2"/>
  <c r="J195" i="2"/>
  <c r="I195" i="2"/>
  <c r="H195" i="2"/>
  <c r="H570" i="61" l="1"/>
  <c r="G570" i="61"/>
  <c r="F570" i="61"/>
  <c r="J628" i="2"/>
  <c r="I628" i="2"/>
  <c r="H628" i="2"/>
  <c r="E140" i="3"/>
  <c r="F140" i="3"/>
  <c r="D140" i="3"/>
  <c r="H563" i="61"/>
  <c r="G563" i="61"/>
  <c r="J620" i="2"/>
  <c r="I620" i="2"/>
  <c r="E130" i="3"/>
  <c r="F130" i="3"/>
  <c r="H324" i="61"/>
  <c r="G324" i="61"/>
  <c r="F324" i="61"/>
  <c r="J346" i="2"/>
  <c r="I346" i="2"/>
  <c r="J344" i="2"/>
  <c r="I344" i="2"/>
  <c r="H344" i="2"/>
  <c r="J342" i="2"/>
  <c r="I342" i="2"/>
  <c r="H342" i="2"/>
  <c r="H340" i="2"/>
  <c r="J340" i="2"/>
  <c r="I340" i="2"/>
  <c r="E454" i="3"/>
  <c r="F454" i="3"/>
  <c r="I339" i="2" l="1"/>
  <c r="H339" i="2"/>
  <c r="J339" i="2"/>
  <c r="F47" i="3"/>
  <c r="E47" i="3"/>
  <c r="J518" i="2"/>
  <c r="I518" i="2"/>
  <c r="H431" i="61"/>
  <c r="G431" i="61"/>
  <c r="H191" i="2" l="1"/>
  <c r="H188" i="2" s="1"/>
  <c r="J191" i="2"/>
  <c r="I191" i="2"/>
  <c r="J189" i="2"/>
  <c r="J188" i="2" s="1"/>
  <c r="I189" i="2"/>
  <c r="D555" i="3"/>
  <c r="F555" i="3"/>
  <c r="E555" i="3"/>
  <c r="D553" i="3"/>
  <c r="F553" i="3"/>
  <c r="E553" i="3"/>
  <c r="D551" i="3"/>
  <c r="F551" i="3"/>
  <c r="E551" i="3"/>
  <c r="D549" i="3"/>
  <c r="F549" i="3"/>
  <c r="E549" i="3"/>
  <c r="D548" i="3"/>
  <c r="D547" i="3" s="1"/>
  <c r="F547" i="3"/>
  <c r="E547" i="3"/>
  <c r="D546" i="3"/>
  <c r="D545" i="3" s="1"/>
  <c r="F545" i="3"/>
  <c r="E545" i="3"/>
  <c r="H410" i="2"/>
  <c r="J410" i="2"/>
  <c r="I410" i="2"/>
  <c r="H408" i="2"/>
  <c r="J408" i="2"/>
  <c r="I408" i="2"/>
  <c r="H406" i="2"/>
  <c r="J406" i="2"/>
  <c r="I406" i="2"/>
  <c r="H404" i="2"/>
  <c r="J404" i="2"/>
  <c r="I404" i="2"/>
  <c r="H403" i="2"/>
  <c r="H402" i="2" s="1"/>
  <c r="J402" i="2"/>
  <c r="I402" i="2"/>
  <c r="H401" i="2"/>
  <c r="H400" i="2" s="1"/>
  <c r="J400" i="2"/>
  <c r="I400" i="2"/>
  <c r="F369" i="61"/>
  <c r="F371" i="61"/>
  <c r="I188" i="2" l="1"/>
  <c r="J187" i="2"/>
  <c r="J186" i="2" s="1"/>
  <c r="H187" i="2"/>
  <c r="I187" i="2"/>
  <c r="I186" i="2" s="1"/>
  <c r="D544" i="3"/>
  <c r="D530" i="3" s="1"/>
  <c r="H399" i="2"/>
  <c r="E544" i="3"/>
  <c r="E530" i="3" s="1"/>
  <c r="F544" i="3"/>
  <c r="I399" i="2"/>
  <c r="J399" i="2"/>
  <c r="F372" i="61"/>
  <c r="H378" i="61"/>
  <c r="G378" i="61"/>
  <c r="F378" i="61"/>
  <c r="H376" i="61"/>
  <c r="G376" i="61"/>
  <c r="F376" i="61"/>
  <c r="H374" i="61"/>
  <c r="G374" i="61"/>
  <c r="F374" i="61"/>
  <c r="H372" i="61"/>
  <c r="G372" i="61"/>
  <c r="H370" i="61"/>
  <c r="G370" i="61"/>
  <c r="F370" i="61"/>
  <c r="F530" i="3" l="1"/>
  <c r="F191" i="3"/>
  <c r="F190" i="3" s="1"/>
  <c r="E191" i="3"/>
  <c r="E190" i="3" s="1"/>
  <c r="D191" i="3"/>
  <c r="D190" i="3" s="1"/>
  <c r="H603" i="61"/>
  <c r="G603" i="61"/>
  <c r="F603" i="61"/>
  <c r="I742" i="2"/>
  <c r="I741" i="2" s="1"/>
  <c r="J742" i="2"/>
  <c r="J741" i="2" s="1"/>
  <c r="H742" i="2"/>
  <c r="H741" i="2" s="1"/>
  <c r="F635" i="3" l="1"/>
  <c r="E635" i="3"/>
  <c r="D635" i="3"/>
  <c r="F634" i="3"/>
  <c r="E634" i="3"/>
  <c r="J92" i="2"/>
  <c r="I92" i="2"/>
  <c r="H92" i="2"/>
  <c r="J91" i="2"/>
  <c r="I91" i="2"/>
  <c r="H96" i="61"/>
  <c r="H97" i="61"/>
  <c r="G96" i="61"/>
  <c r="G97" i="61"/>
  <c r="F97" i="61"/>
  <c r="F666" i="61" l="1"/>
  <c r="H477" i="2"/>
  <c r="D503" i="3"/>
  <c r="E63" i="1" l="1"/>
  <c r="D353" i="3"/>
  <c r="H483" i="61" l="1"/>
  <c r="G483" i="61"/>
  <c r="F483" i="61"/>
  <c r="J577" i="2"/>
  <c r="I577" i="2"/>
  <c r="H577" i="2"/>
  <c r="F478" i="61"/>
  <c r="H571" i="2"/>
  <c r="H570" i="2" s="1"/>
  <c r="H569" i="2" s="1"/>
  <c r="D619" i="3"/>
  <c r="D627" i="3"/>
  <c r="J757" i="2"/>
  <c r="I757" i="2"/>
  <c r="H757" i="2"/>
  <c r="J755" i="2"/>
  <c r="I755" i="2"/>
  <c r="H755" i="2"/>
  <c r="G616" i="61"/>
  <c r="H616" i="61"/>
  <c r="F616" i="61"/>
  <c r="H754" i="2" l="1"/>
  <c r="I754" i="2"/>
  <c r="J754" i="2"/>
  <c r="H399" i="61"/>
  <c r="G399" i="61"/>
  <c r="F399" i="61"/>
  <c r="I432" i="2" l="1"/>
  <c r="I431" i="2" s="1"/>
  <c r="J432" i="2"/>
  <c r="J431" i="2" s="1"/>
  <c r="H432" i="2"/>
  <c r="H431" i="2" s="1"/>
  <c r="D577" i="3"/>
  <c r="D576" i="3" s="1"/>
  <c r="E577" i="3"/>
  <c r="E576" i="3" s="1"/>
  <c r="E575" i="3" s="1"/>
  <c r="E529" i="3" s="1"/>
  <c r="F577" i="3"/>
  <c r="F576" i="3" s="1"/>
  <c r="F575" i="3" s="1"/>
  <c r="F529" i="3" s="1"/>
  <c r="D279" i="3"/>
  <c r="H484" i="2"/>
  <c r="F683" i="61"/>
  <c r="D575" i="3" l="1"/>
  <c r="D529" i="3" s="1"/>
  <c r="E112" i="3"/>
  <c r="F112" i="3"/>
  <c r="D112" i="3"/>
  <c r="D106" i="3"/>
  <c r="F510" i="61" l="1"/>
  <c r="F509" i="61" s="1"/>
  <c r="F508" i="61" s="1"/>
  <c r="J714" i="2"/>
  <c r="J713" i="2" s="1"/>
  <c r="I714" i="2"/>
  <c r="I713" i="2" s="1"/>
  <c r="H714" i="2"/>
  <c r="H713" i="2" s="1"/>
  <c r="F549" i="61"/>
  <c r="F548" i="61" s="1"/>
  <c r="H549" i="61"/>
  <c r="H548" i="61" s="1"/>
  <c r="G549" i="61"/>
  <c r="G548" i="61" s="1"/>
  <c r="J435" i="2"/>
  <c r="J434" i="2" s="1"/>
  <c r="I435" i="2"/>
  <c r="I434" i="2" s="1"/>
  <c r="H435" i="2"/>
  <c r="H434" i="2" s="1"/>
  <c r="H402" i="61"/>
  <c r="H401" i="61" s="1"/>
  <c r="G402" i="61"/>
  <c r="G401" i="61" s="1"/>
  <c r="F402" i="61"/>
  <c r="F401" i="61" s="1"/>
  <c r="J682" i="2"/>
  <c r="J681" i="2" s="1"/>
  <c r="I682" i="2"/>
  <c r="I681" i="2" s="1"/>
  <c r="H682" i="2"/>
  <c r="H681" i="2" s="1"/>
  <c r="H614" i="61"/>
  <c r="H613" i="61" s="1"/>
  <c r="G614" i="61"/>
  <c r="G613" i="61" s="1"/>
  <c r="F614" i="61"/>
  <c r="F613" i="61" s="1"/>
  <c r="F618" i="3"/>
  <c r="E618" i="3"/>
  <c r="D618" i="3"/>
  <c r="J588" i="2"/>
  <c r="J587" i="2" s="1"/>
  <c r="I588" i="2"/>
  <c r="I587" i="2" s="1"/>
  <c r="H588" i="2"/>
  <c r="H587" i="2" s="1"/>
  <c r="H509" i="61"/>
  <c r="H508" i="61" s="1"/>
  <c r="G509" i="61"/>
  <c r="G508" i="61" s="1"/>
  <c r="F626" i="3"/>
  <c r="E626" i="3"/>
  <c r="D626" i="3"/>
  <c r="J327" i="2"/>
  <c r="J326" i="2" s="1"/>
  <c r="I327" i="2"/>
  <c r="I326" i="2" s="1"/>
  <c r="H327" i="2"/>
  <c r="H326" i="2" s="1"/>
  <c r="H307" i="61"/>
  <c r="H306" i="61" s="1"/>
  <c r="G307" i="61"/>
  <c r="G306" i="61" s="1"/>
  <c r="F307" i="61"/>
  <c r="F306" i="61" s="1"/>
  <c r="F32" i="1" l="1"/>
  <c r="G32" i="1"/>
  <c r="I81" i="2"/>
  <c r="I80" i="2" s="1"/>
  <c r="I102" i="2"/>
  <c r="I99" i="2" s="1"/>
  <c r="I131" i="2"/>
  <c r="I130" i="2" s="1"/>
  <c r="I154" i="2"/>
  <c r="J154" i="2"/>
  <c r="I247" i="2"/>
  <c r="I353" i="2"/>
  <c r="I352" i="2" s="1"/>
  <c r="I360" i="2"/>
  <c r="I368" i="2"/>
  <c r="I398" i="2"/>
  <c r="J398" i="2"/>
  <c r="I148" i="2"/>
  <c r="I147" i="2" s="1"/>
  <c r="I146" i="2" s="1"/>
  <c r="I145" i="2" s="1"/>
  <c r="I144" i="2" s="1"/>
  <c r="J148" i="2"/>
  <c r="J147" i="2" s="1"/>
  <c r="J146" i="2" s="1"/>
  <c r="J145" i="2" s="1"/>
  <c r="J144" i="2" s="1"/>
  <c r="I450" i="2"/>
  <c r="I449" i="2" s="1"/>
  <c r="J450" i="2"/>
  <c r="J449" i="2" s="1"/>
  <c r="I456" i="2"/>
  <c r="I454" i="2" s="1"/>
  <c r="I453" i="2" s="1"/>
  <c r="I452" i="2" s="1"/>
  <c r="J456" i="2"/>
  <c r="J454" i="2" s="1"/>
  <c r="J453" i="2" s="1"/>
  <c r="J452" i="2" s="1"/>
  <c r="I466" i="2"/>
  <c r="I465" i="2" s="1"/>
  <c r="J466" i="2"/>
  <c r="J465" i="2" s="1"/>
  <c r="I483" i="2"/>
  <c r="J483" i="2"/>
  <c r="I204" i="2"/>
  <c r="J204" i="2"/>
  <c r="H204" i="2"/>
  <c r="I219" i="2"/>
  <c r="I218" i="2" s="1"/>
  <c r="J219" i="2"/>
  <c r="J218" i="2" s="1"/>
  <c r="I166" i="2"/>
  <c r="J166" i="2"/>
  <c r="J131" i="2"/>
  <c r="J130" i="2" s="1"/>
  <c r="J102" i="2"/>
  <c r="J99" i="2" s="1"/>
  <c r="J81" i="2"/>
  <c r="J80" i="2" s="1"/>
  <c r="I66" i="2"/>
  <c r="I65" i="2" s="1"/>
  <c r="J66" i="2"/>
  <c r="J65" i="2" s="1"/>
  <c r="I49" i="2"/>
  <c r="I48" i="2" s="1"/>
  <c r="J49" i="2"/>
  <c r="J48" i="2" s="1"/>
  <c r="I44" i="2"/>
  <c r="I42" i="2" s="1"/>
  <c r="I41" i="2" s="1"/>
  <c r="J44" i="2"/>
  <c r="J43" i="2" s="1"/>
  <c r="I27" i="2"/>
  <c r="J27" i="2"/>
  <c r="I109" i="2"/>
  <c r="J109" i="2"/>
  <c r="I666" i="2"/>
  <c r="J666" i="2"/>
  <c r="H132" i="61"/>
  <c r="G132" i="61"/>
  <c r="F132" i="61"/>
  <c r="H131" i="2"/>
  <c r="H162" i="61"/>
  <c r="G162" i="61"/>
  <c r="F162" i="61"/>
  <c r="H160" i="61"/>
  <c r="G160" i="61"/>
  <c r="F160" i="61"/>
  <c r="H158" i="61"/>
  <c r="G158" i="61"/>
  <c r="F158" i="61"/>
  <c r="H156" i="61"/>
  <c r="G156" i="61"/>
  <c r="F156" i="61"/>
  <c r="J160" i="2"/>
  <c r="I160" i="2"/>
  <c r="H160" i="2"/>
  <c r="J158" i="2"/>
  <c r="I158" i="2"/>
  <c r="H158" i="2"/>
  <c r="J156" i="2"/>
  <c r="I156" i="2"/>
  <c r="H156" i="2"/>
  <c r="H154" i="2"/>
  <c r="H185" i="61"/>
  <c r="G185" i="61"/>
  <c r="F185" i="61"/>
  <c r="H183" i="61"/>
  <c r="G183" i="61"/>
  <c r="F183" i="61"/>
  <c r="H181" i="61"/>
  <c r="G181" i="61"/>
  <c r="F181" i="61"/>
  <c r="H179" i="61"/>
  <c r="G179" i="61"/>
  <c r="F179" i="61"/>
  <c r="H177" i="61"/>
  <c r="G177" i="61"/>
  <c r="F177" i="61"/>
  <c r="H175" i="61"/>
  <c r="G175" i="61"/>
  <c r="F175" i="61"/>
  <c r="H171" i="61"/>
  <c r="G171" i="61"/>
  <c r="F171" i="61"/>
  <c r="H169" i="61"/>
  <c r="G169" i="61"/>
  <c r="F169" i="61"/>
  <c r="H167" i="61"/>
  <c r="G167" i="61"/>
  <c r="F167" i="61"/>
  <c r="J182" i="2"/>
  <c r="I182" i="2"/>
  <c r="H182" i="2"/>
  <c r="J180" i="2"/>
  <c r="I180" i="2"/>
  <c r="H180" i="2"/>
  <c r="J178" i="2"/>
  <c r="I178" i="2"/>
  <c r="H178" i="2"/>
  <c r="J176" i="2"/>
  <c r="I176" i="2"/>
  <c r="H176" i="2"/>
  <c r="J174" i="2"/>
  <c r="I174" i="2"/>
  <c r="H174" i="2"/>
  <c r="J170" i="2"/>
  <c r="I170" i="2"/>
  <c r="H170" i="2"/>
  <c r="J168" i="2"/>
  <c r="I168" i="2"/>
  <c r="H168" i="2"/>
  <c r="H166" i="2"/>
  <c r="H673" i="61"/>
  <c r="G673" i="61"/>
  <c r="F673" i="61"/>
  <c r="H671" i="61"/>
  <c r="G671" i="61"/>
  <c r="F671" i="61"/>
  <c r="F627" i="61"/>
  <c r="G627" i="61"/>
  <c r="H627" i="61"/>
  <c r="J768" i="2"/>
  <c r="J767" i="2" s="1"/>
  <c r="I768" i="2"/>
  <c r="I767" i="2" s="1"/>
  <c r="H768" i="2"/>
  <c r="H767" i="2" s="1"/>
  <c r="H537" i="61"/>
  <c r="H536" i="61" s="1"/>
  <c r="G537" i="61"/>
  <c r="G536" i="61" s="1"/>
  <c r="F537" i="61"/>
  <c r="F536" i="61" s="1"/>
  <c r="H534" i="61"/>
  <c r="G534" i="61"/>
  <c r="F534" i="61"/>
  <c r="H532" i="61"/>
  <c r="G532" i="61"/>
  <c r="F532" i="61"/>
  <c r="H530" i="61"/>
  <c r="G530" i="61"/>
  <c r="F530" i="61"/>
  <c r="H528" i="61"/>
  <c r="G528" i="61"/>
  <c r="F528" i="61"/>
  <c r="H526" i="61"/>
  <c r="G526" i="61"/>
  <c r="F526" i="61"/>
  <c r="J700" i="2"/>
  <c r="J699" i="2" s="1"/>
  <c r="I700" i="2"/>
  <c r="I699" i="2" s="1"/>
  <c r="H700" i="2"/>
  <c r="H699" i="2" s="1"/>
  <c r="J697" i="2"/>
  <c r="J696" i="2" s="1"/>
  <c r="I697" i="2"/>
  <c r="I696" i="2" s="1"/>
  <c r="H697" i="2"/>
  <c r="H696" i="2" s="1"/>
  <c r="J694" i="2"/>
  <c r="I694" i="2"/>
  <c r="H694" i="2"/>
  <c r="J692" i="2"/>
  <c r="I692" i="2"/>
  <c r="H692" i="2"/>
  <c r="J690" i="2"/>
  <c r="I690" i="2"/>
  <c r="H690" i="2"/>
  <c r="J688" i="2"/>
  <c r="I688" i="2"/>
  <c r="H688" i="2"/>
  <c r="J778" i="2"/>
  <c r="I778" i="2"/>
  <c r="H778" i="2"/>
  <c r="J776" i="2"/>
  <c r="I776" i="2"/>
  <c r="H776" i="2"/>
  <c r="H622" i="61"/>
  <c r="H621" i="61" s="1"/>
  <c r="G622" i="61"/>
  <c r="G621" i="61" s="1"/>
  <c r="F622" i="61"/>
  <c r="F621" i="61" s="1"/>
  <c r="J763" i="2"/>
  <c r="J762" i="2" s="1"/>
  <c r="I763" i="2"/>
  <c r="I762" i="2" s="1"/>
  <c r="H763" i="2"/>
  <c r="H762" i="2" s="1"/>
  <c r="H605" i="61"/>
  <c r="G605" i="61"/>
  <c r="F605" i="61"/>
  <c r="J745" i="2"/>
  <c r="J744" i="2" s="1"/>
  <c r="I745" i="2"/>
  <c r="I744" i="2" s="1"/>
  <c r="H745" i="2"/>
  <c r="H744" i="2" s="1"/>
  <c r="H504" i="61"/>
  <c r="G504" i="61"/>
  <c r="F504" i="61"/>
  <c r="J677" i="2"/>
  <c r="J676" i="2" s="1"/>
  <c r="I677" i="2"/>
  <c r="I676" i="2" s="1"/>
  <c r="H677" i="2"/>
  <c r="H676" i="2" s="1"/>
  <c r="H597" i="61"/>
  <c r="G597" i="61"/>
  <c r="F597" i="61"/>
  <c r="H595" i="61"/>
  <c r="G595" i="61"/>
  <c r="F595" i="61"/>
  <c r="J735" i="2"/>
  <c r="I735" i="2"/>
  <c r="H735" i="2"/>
  <c r="J733" i="2"/>
  <c r="I733" i="2"/>
  <c r="H733" i="2"/>
  <c r="H592" i="61"/>
  <c r="G592" i="61"/>
  <c r="F592" i="61"/>
  <c r="H589" i="61"/>
  <c r="G589" i="61"/>
  <c r="F589" i="61"/>
  <c r="H587" i="61"/>
  <c r="G587" i="61"/>
  <c r="F587" i="61"/>
  <c r="H584" i="61"/>
  <c r="G584" i="61"/>
  <c r="F584" i="61"/>
  <c r="H498" i="61"/>
  <c r="G498" i="61"/>
  <c r="F498" i="61"/>
  <c r="H496" i="61"/>
  <c r="G496" i="61"/>
  <c r="F496" i="61"/>
  <c r="H494" i="61"/>
  <c r="G494" i="61"/>
  <c r="F494" i="61"/>
  <c r="J670" i="2"/>
  <c r="I670" i="2"/>
  <c r="H670" i="2"/>
  <c r="J668" i="2"/>
  <c r="I668" i="2"/>
  <c r="H668" i="2"/>
  <c r="H666" i="2"/>
  <c r="J729" i="2"/>
  <c r="I729" i="2"/>
  <c r="H729" i="2"/>
  <c r="J726" i="2"/>
  <c r="I726" i="2"/>
  <c r="H726" i="2"/>
  <c r="J724" i="2"/>
  <c r="I724" i="2"/>
  <c r="H724" i="2"/>
  <c r="J721" i="2"/>
  <c r="I721" i="2"/>
  <c r="E162" i="3"/>
  <c r="F162" i="3"/>
  <c r="D162" i="3"/>
  <c r="H732" i="2" l="1"/>
  <c r="I665" i="2"/>
  <c r="H493" i="61"/>
  <c r="G583" i="61"/>
  <c r="G493" i="61"/>
  <c r="F583" i="61"/>
  <c r="H583" i="61"/>
  <c r="J732" i="2"/>
  <c r="I732" i="2"/>
  <c r="J665" i="2"/>
  <c r="J664" i="2" s="1"/>
  <c r="J663" i="2" s="1"/>
  <c r="J662" i="2" s="1"/>
  <c r="F166" i="61"/>
  <c r="H665" i="2"/>
  <c r="F493" i="61"/>
  <c r="G670" i="61"/>
  <c r="H166" i="61"/>
  <c r="F670" i="61"/>
  <c r="J775" i="2"/>
  <c r="J774" i="2" s="1"/>
  <c r="J773" i="2" s="1"/>
  <c r="J772" i="2" s="1"/>
  <c r="J771" i="2" s="1"/>
  <c r="H775" i="2"/>
  <c r="H774" i="2" s="1"/>
  <c r="I775" i="2"/>
  <c r="I774" i="2" s="1"/>
  <c r="I773" i="2" s="1"/>
  <c r="I772" i="2" s="1"/>
  <c r="I771" i="2" s="1"/>
  <c r="H670" i="61"/>
  <c r="G166" i="61"/>
  <c r="H165" i="2"/>
  <c r="H164" i="2" s="1"/>
  <c r="J165" i="2"/>
  <c r="J164" i="2" s="1"/>
  <c r="J163" i="2" s="1"/>
  <c r="I165" i="2"/>
  <c r="I164" i="2" s="1"/>
  <c r="I163" i="2" s="1"/>
  <c r="H687" i="2"/>
  <c r="H686" i="2" s="1"/>
  <c r="H685" i="2" s="1"/>
  <c r="J720" i="2"/>
  <c r="H153" i="2"/>
  <c r="H152" i="2" s="1"/>
  <c r="I720" i="2"/>
  <c r="J153" i="2"/>
  <c r="J152" i="2" s="1"/>
  <c r="J151" i="2" s="1"/>
  <c r="J150" i="2" s="1"/>
  <c r="I153" i="2"/>
  <c r="I152" i="2" s="1"/>
  <c r="I151" i="2" s="1"/>
  <c r="I150" i="2" s="1"/>
  <c r="I687" i="2"/>
  <c r="I686" i="2" s="1"/>
  <c r="I685" i="2" s="1"/>
  <c r="I664" i="2"/>
  <c r="I663" i="2" s="1"/>
  <c r="I662" i="2" s="1"/>
  <c r="I101" i="2"/>
  <c r="I100" i="2" s="1"/>
  <c r="J448" i="2"/>
  <c r="J447" i="2" s="1"/>
  <c r="J446" i="2" s="1"/>
  <c r="I448" i="2"/>
  <c r="I447" i="2" s="1"/>
  <c r="I446" i="2" s="1"/>
  <c r="J455" i="2"/>
  <c r="I455" i="2"/>
  <c r="J101" i="2"/>
  <c r="J100" i="2" s="1"/>
  <c r="I43" i="2"/>
  <c r="J42" i="2"/>
  <c r="J41" i="2" s="1"/>
  <c r="J687" i="2"/>
  <c r="J686" i="2" s="1"/>
  <c r="J685" i="2" s="1"/>
  <c r="H720" i="2"/>
  <c r="H719" i="2" l="1"/>
  <c r="I719" i="2"/>
  <c r="I718" i="2" s="1"/>
  <c r="I717" i="2" s="1"/>
  <c r="J719" i="2"/>
  <c r="J718" i="2" s="1"/>
  <c r="J717" i="2" s="1"/>
  <c r="H129" i="61"/>
  <c r="G129" i="61"/>
  <c r="F129" i="61"/>
  <c r="H127" i="61"/>
  <c r="G127" i="61"/>
  <c r="F127" i="61"/>
  <c r="H124" i="61"/>
  <c r="G124" i="61"/>
  <c r="F124" i="61"/>
  <c r="H122" i="61"/>
  <c r="G122" i="61"/>
  <c r="F122" i="61"/>
  <c r="H118" i="61"/>
  <c r="G118" i="61"/>
  <c r="F118" i="61"/>
  <c r="H115" i="61"/>
  <c r="G115" i="61"/>
  <c r="F115" i="61"/>
  <c r="H113" i="61"/>
  <c r="G113" i="61"/>
  <c r="F113" i="61"/>
  <c r="J128" i="2"/>
  <c r="I128" i="2"/>
  <c r="H128" i="2"/>
  <c r="J126" i="2"/>
  <c r="I126" i="2"/>
  <c r="H126" i="2"/>
  <c r="J122" i="2"/>
  <c r="I122" i="2"/>
  <c r="H122" i="2"/>
  <c r="J120" i="2"/>
  <c r="I120" i="2"/>
  <c r="H120" i="2"/>
  <c r="J115" i="2"/>
  <c r="J114" i="2" s="1"/>
  <c r="J113" i="2" s="1"/>
  <c r="I115" i="2"/>
  <c r="I114" i="2" s="1"/>
  <c r="I113" i="2" s="1"/>
  <c r="H115" i="2"/>
  <c r="H114" i="2" s="1"/>
  <c r="H113" i="2" s="1"/>
  <c r="J111" i="2"/>
  <c r="I111" i="2"/>
  <c r="H111" i="2"/>
  <c r="H109" i="2"/>
  <c r="F430" i="3"/>
  <c r="D430" i="3"/>
  <c r="E430" i="3"/>
  <c r="H145" i="61"/>
  <c r="G145" i="61"/>
  <c r="F145" i="61"/>
  <c r="H143" i="61"/>
  <c r="G143" i="61"/>
  <c r="F143" i="61"/>
  <c r="J141" i="2"/>
  <c r="I141" i="2"/>
  <c r="H141" i="2"/>
  <c r="J139" i="2"/>
  <c r="I139" i="2"/>
  <c r="H139" i="2"/>
  <c r="H207" i="61"/>
  <c r="G207" i="61"/>
  <c r="F207" i="61"/>
  <c r="H205" i="61"/>
  <c r="G205" i="61"/>
  <c r="F205" i="61"/>
  <c r="H203" i="61"/>
  <c r="G203" i="61"/>
  <c r="F203" i="61"/>
  <c r="J208" i="2"/>
  <c r="I208" i="2"/>
  <c r="H208" i="2"/>
  <c r="J206" i="2"/>
  <c r="I206" i="2"/>
  <c r="H206" i="2"/>
  <c r="F599" i="3"/>
  <c r="E599" i="3"/>
  <c r="D599" i="3"/>
  <c r="F597" i="3"/>
  <c r="E597" i="3"/>
  <c r="D597" i="3"/>
  <c r="H211" i="61"/>
  <c r="G211" i="61"/>
  <c r="F211" i="61"/>
  <c r="H209" i="61"/>
  <c r="G209" i="61"/>
  <c r="F209" i="61"/>
  <c r="J213" i="2"/>
  <c r="I213" i="2"/>
  <c r="H213" i="2"/>
  <c r="J211" i="2"/>
  <c r="I211" i="2"/>
  <c r="H211" i="2"/>
  <c r="H543" i="61"/>
  <c r="G543" i="61"/>
  <c r="F543" i="61"/>
  <c r="H541" i="61"/>
  <c r="G541" i="61"/>
  <c r="F541" i="61"/>
  <c r="J707" i="2"/>
  <c r="I707" i="2"/>
  <c r="H707" i="2"/>
  <c r="J705" i="2"/>
  <c r="I705" i="2"/>
  <c r="H705" i="2"/>
  <c r="H139" i="61"/>
  <c r="G139" i="61"/>
  <c r="F139" i="61"/>
  <c r="J659" i="2"/>
  <c r="J658" i="2" s="1"/>
  <c r="I659" i="2"/>
  <c r="I658" i="2" s="1"/>
  <c r="I657" i="2" s="1"/>
  <c r="I656" i="2" s="1"/>
  <c r="I655" i="2" s="1"/>
  <c r="H659" i="2"/>
  <c r="H658" i="2" s="1"/>
  <c r="H126" i="61" l="1"/>
  <c r="H125" i="2"/>
  <c r="H124" i="2" s="1"/>
  <c r="F126" i="61"/>
  <c r="G126" i="61"/>
  <c r="J704" i="2"/>
  <c r="J703" i="2" s="1"/>
  <c r="H203" i="2"/>
  <c r="H119" i="2"/>
  <c r="H118" i="2" s="1"/>
  <c r="I203" i="2"/>
  <c r="I125" i="2"/>
  <c r="I124" i="2" s="1"/>
  <c r="J125" i="2"/>
  <c r="J124" i="2" s="1"/>
  <c r="D596" i="3"/>
  <c r="I119" i="2"/>
  <c r="I118" i="2" s="1"/>
  <c r="J203" i="2"/>
  <c r="I108" i="2"/>
  <c r="I107" i="2"/>
  <c r="J107" i="2"/>
  <c r="J108" i="2"/>
  <c r="H704" i="2"/>
  <c r="H703" i="2" s="1"/>
  <c r="H702" i="2" s="1"/>
  <c r="J210" i="2"/>
  <c r="J119" i="2"/>
  <c r="J118" i="2" s="1"/>
  <c r="E596" i="3"/>
  <c r="H210" i="2"/>
  <c r="H202" i="2" s="1"/>
  <c r="H201" i="2" s="1"/>
  <c r="I704" i="2"/>
  <c r="I703" i="2" s="1"/>
  <c r="I210" i="2"/>
  <c r="I202" i="2" s="1"/>
  <c r="I201" i="2" s="1"/>
  <c r="F596" i="3"/>
  <c r="H108" i="2"/>
  <c r="H107" i="2"/>
  <c r="J106" i="2" l="1"/>
  <c r="J105" i="2" s="1"/>
  <c r="J202" i="2"/>
  <c r="J201" i="2" s="1"/>
  <c r="H106" i="2"/>
  <c r="I106" i="2"/>
  <c r="I105" i="2" s="1"/>
  <c r="J430" i="2" l="1"/>
  <c r="J397" i="2" s="1"/>
  <c r="I430" i="2"/>
  <c r="I397" i="2" s="1"/>
  <c r="H430" i="2"/>
  <c r="H398" i="2"/>
  <c r="H397" i="2" l="1"/>
  <c r="G398" i="61" l="1"/>
  <c r="H398" i="61"/>
  <c r="F398" i="61"/>
  <c r="H368" i="61" l="1"/>
  <c r="G368" i="61"/>
  <c r="F368" i="61"/>
  <c r="F367" i="61" s="1"/>
  <c r="H187" i="61"/>
  <c r="G187" i="61"/>
  <c r="F187" i="61"/>
  <c r="J162" i="2"/>
  <c r="I162" i="2"/>
  <c r="H186" i="2"/>
  <c r="G367" i="61" l="1"/>
  <c r="G366" i="61" s="1"/>
  <c r="H367" i="61"/>
  <c r="H366" i="61" s="1"/>
  <c r="F366" i="61"/>
  <c r="H350" i="61"/>
  <c r="G350" i="61"/>
  <c r="F350" i="61"/>
  <c r="H345" i="61"/>
  <c r="G345" i="61"/>
  <c r="F345" i="61"/>
  <c r="H343" i="61"/>
  <c r="G343" i="61"/>
  <c r="F343" i="61"/>
  <c r="H341" i="61"/>
  <c r="G341" i="61"/>
  <c r="F341" i="61"/>
  <c r="H338" i="61"/>
  <c r="G338" i="61"/>
  <c r="F338" i="61"/>
  <c r="H336" i="61"/>
  <c r="G336" i="61"/>
  <c r="F336" i="61"/>
  <c r="H334" i="61"/>
  <c r="G334" i="61"/>
  <c r="F334" i="61"/>
  <c r="H331" i="61"/>
  <c r="G331" i="61"/>
  <c r="F331" i="61"/>
  <c r="H329" i="61"/>
  <c r="G329" i="61"/>
  <c r="F329" i="61"/>
  <c r="H326" i="61"/>
  <c r="G326" i="61"/>
  <c r="F326" i="61"/>
  <c r="H322" i="61"/>
  <c r="G322" i="61"/>
  <c r="F322" i="61"/>
  <c r="H320" i="61"/>
  <c r="G320" i="61"/>
  <c r="F320" i="61"/>
  <c r="H318" i="61"/>
  <c r="G318" i="61"/>
  <c r="F318" i="61"/>
  <c r="J379" i="2"/>
  <c r="I379" i="2"/>
  <c r="I375" i="2" s="1"/>
  <c r="H379" i="2"/>
  <c r="J373" i="2"/>
  <c r="J372" i="2" s="1"/>
  <c r="I373" i="2"/>
  <c r="I372" i="2" s="1"/>
  <c r="H373" i="2"/>
  <c r="H372" i="2" s="1"/>
  <c r="J370" i="2"/>
  <c r="I370" i="2"/>
  <c r="I367" i="2" s="1"/>
  <c r="H370" i="2"/>
  <c r="J368" i="2"/>
  <c r="H368" i="2"/>
  <c r="J364" i="2"/>
  <c r="I364" i="2"/>
  <c r="H364" i="2"/>
  <c r="J362" i="2"/>
  <c r="I362" i="2"/>
  <c r="H362" i="2"/>
  <c r="J360" i="2"/>
  <c r="H360" i="2"/>
  <c r="J356" i="2"/>
  <c r="J355" i="2" s="1"/>
  <c r="I356" i="2"/>
  <c r="H356" i="2"/>
  <c r="H355" i="2" s="1"/>
  <c r="J353" i="2"/>
  <c r="J352" i="2" s="1"/>
  <c r="H353" i="2"/>
  <c r="H352" i="2" s="1"/>
  <c r="J349" i="2"/>
  <c r="J348" i="2" s="1"/>
  <c r="I349" i="2"/>
  <c r="I348" i="2" s="1"/>
  <c r="H349" i="2"/>
  <c r="H348" i="2" s="1"/>
  <c r="H364" i="61"/>
  <c r="G364" i="61"/>
  <c r="F364" i="61"/>
  <c r="H362" i="61"/>
  <c r="G362" i="61"/>
  <c r="F362" i="61"/>
  <c r="H354" i="61"/>
  <c r="G354" i="61"/>
  <c r="F354" i="61"/>
  <c r="J395" i="2"/>
  <c r="I395" i="2"/>
  <c r="H395" i="2"/>
  <c r="J393" i="2"/>
  <c r="I393" i="2"/>
  <c r="H393" i="2"/>
  <c r="J384" i="2"/>
  <c r="J383" i="2" s="1"/>
  <c r="I384" i="2"/>
  <c r="I383" i="2" s="1"/>
  <c r="H384" i="2"/>
  <c r="H383" i="2" s="1"/>
  <c r="F41" i="1"/>
  <c r="G41" i="1"/>
  <c r="E41" i="1"/>
  <c r="F353" i="61" l="1"/>
  <c r="H392" i="2"/>
  <c r="J367" i="2"/>
  <c r="F317" i="61"/>
  <c r="H353" i="61"/>
  <c r="G353" i="61"/>
  <c r="H367" i="2"/>
  <c r="F340" i="61"/>
  <c r="G317" i="61"/>
  <c r="H317" i="61"/>
  <c r="G340" i="61"/>
  <c r="H340" i="61"/>
  <c r="I338" i="2"/>
  <c r="I359" i="2"/>
  <c r="I358" i="2" s="1"/>
  <c r="I366" i="2"/>
  <c r="I355" i="2"/>
  <c r="I351" i="2"/>
  <c r="J338" i="2"/>
  <c r="H359" i="2"/>
  <c r="H358" i="2" s="1"/>
  <c r="J351" i="2"/>
  <c r="J392" i="2"/>
  <c r="H338" i="2"/>
  <c r="H351" i="2"/>
  <c r="J375" i="2"/>
  <c r="I392" i="2"/>
  <c r="I382" i="2" s="1"/>
  <c r="I381" i="2" s="1"/>
  <c r="H375" i="2"/>
  <c r="H328" i="61"/>
  <c r="F328" i="61"/>
  <c r="H333" i="61"/>
  <c r="F333" i="61"/>
  <c r="G333" i="61"/>
  <c r="G328" i="61"/>
  <c r="J359" i="2"/>
  <c r="J358" i="2" s="1"/>
  <c r="H456" i="2"/>
  <c r="H657" i="61"/>
  <c r="G657" i="61"/>
  <c r="F657" i="61"/>
  <c r="H665" i="61"/>
  <c r="G665" i="61"/>
  <c r="F665" i="61"/>
  <c r="J476" i="2"/>
  <c r="J475" i="2" s="1"/>
  <c r="I476" i="2"/>
  <c r="I475" i="2" s="1"/>
  <c r="H476" i="2"/>
  <c r="H475" i="2" s="1"/>
  <c r="H663" i="61"/>
  <c r="G663" i="61"/>
  <c r="F663" i="61"/>
  <c r="H661" i="61"/>
  <c r="G661" i="61"/>
  <c r="F661" i="61"/>
  <c r="J473" i="2"/>
  <c r="I473" i="2"/>
  <c r="J471" i="2"/>
  <c r="I471" i="2"/>
  <c r="H273" i="61"/>
  <c r="G273" i="61"/>
  <c r="F273" i="61"/>
  <c r="H271" i="61"/>
  <c r="G271" i="61"/>
  <c r="F271" i="61"/>
  <c r="H268" i="61"/>
  <c r="G268" i="61"/>
  <c r="F268" i="61"/>
  <c r="H266" i="61"/>
  <c r="G266" i="61"/>
  <c r="F266" i="61"/>
  <c r="H264" i="61"/>
  <c r="G264" i="61"/>
  <c r="F264" i="61"/>
  <c r="H262" i="61"/>
  <c r="G262" i="61"/>
  <c r="F262" i="61"/>
  <c r="H260" i="61"/>
  <c r="G260" i="61"/>
  <c r="F260" i="61"/>
  <c r="H258" i="61"/>
  <c r="G258" i="61"/>
  <c r="F258" i="61"/>
  <c r="J286" i="2"/>
  <c r="J285" i="2" s="1"/>
  <c r="I286" i="2"/>
  <c r="I285" i="2" s="1"/>
  <c r="H286" i="2"/>
  <c r="H285" i="2" s="1"/>
  <c r="J283" i="2"/>
  <c r="J282" i="2" s="1"/>
  <c r="I283" i="2"/>
  <c r="I282" i="2" s="1"/>
  <c r="H283" i="2"/>
  <c r="H282" i="2" s="1"/>
  <c r="J279" i="2"/>
  <c r="I279" i="2"/>
  <c r="H279" i="2"/>
  <c r="J277" i="2"/>
  <c r="I277" i="2"/>
  <c r="H277" i="2"/>
  <c r="J275" i="2"/>
  <c r="I275" i="2"/>
  <c r="H275" i="2"/>
  <c r="J272" i="2"/>
  <c r="I272" i="2"/>
  <c r="H272" i="2"/>
  <c r="J270" i="2"/>
  <c r="I270" i="2"/>
  <c r="H270" i="2"/>
  <c r="J268" i="2"/>
  <c r="I268" i="2"/>
  <c r="H268" i="2"/>
  <c r="H656" i="61" l="1"/>
  <c r="F656" i="61"/>
  <c r="G656" i="61"/>
  <c r="I337" i="2"/>
  <c r="J382" i="2"/>
  <c r="J381" i="2" s="1"/>
  <c r="J366" i="2"/>
  <c r="J337" i="2" s="1"/>
  <c r="H382" i="2"/>
  <c r="H381" i="2" s="1"/>
  <c r="J274" i="2"/>
  <c r="H316" i="61"/>
  <c r="I267" i="2"/>
  <c r="H366" i="2"/>
  <c r="H337" i="2" s="1"/>
  <c r="J281" i="2"/>
  <c r="G316" i="61"/>
  <c r="F316" i="61"/>
  <c r="H281" i="2"/>
  <c r="H267" i="2"/>
  <c r="J267" i="2"/>
  <c r="F257" i="61"/>
  <c r="G257" i="61"/>
  <c r="H257" i="61"/>
  <c r="I281" i="2"/>
  <c r="I274" i="2"/>
  <c r="H274" i="2"/>
  <c r="H218" i="61"/>
  <c r="G218" i="61"/>
  <c r="F218" i="61"/>
  <c r="H216" i="61"/>
  <c r="G216" i="61"/>
  <c r="F216" i="61"/>
  <c r="J222" i="2"/>
  <c r="I222" i="2"/>
  <c r="H222" i="2"/>
  <c r="H221" i="2" s="1"/>
  <c r="H219" i="2"/>
  <c r="H218" i="2" s="1"/>
  <c r="H76" i="61"/>
  <c r="G76" i="61"/>
  <c r="F76" i="61"/>
  <c r="H74" i="61"/>
  <c r="G74" i="61"/>
  <c r="F74" i="61"/>
  <c r="J71" i="2"/>
  <c r="I71" i="2"/>
  <c r="H71" i="2"/>
  <c r="J69" i="2"/>
  <c r="I69" i="2"/>
  <c r="H69" i="2"/>
  <c r="H66" i="2"/>
  <c r="H65" i="2" s="1"/>
  <c r="H72" i="61"/>
  <c r="G72" i="61"/>
  <c r="F72" i="61"/>
  <c r="H481" i="61"/>
  <c r="G481" i="61"/>
  <c r="F481" i="61"/>
  <c r="J575" i="2"/>
  <c r="I575" i="2"/>
  <c r="H575" i="2"/>
  <c r="H575" i="61"/>
  <c r="G575" i="61"/>
  <c r="F575" i="61"/>
  <c r="J634" i="2"/>
  <c r="I634" i="2"/>
  <c r="H634" i="2"/>
  <c r="H554" i="61"/>
  <c r="J609" i="2"/>
  <c r="H571" i="61"/>
  <c r="G571" i="61"/>
  <c r="F571" i="61"/>
  <c r="H569" i="61"/>
  <c r="G569" i="61"/>
  <c r="F569" i="61"/>
  <c r="H566" i="61"/>
  <c r="G566" i="61"/>
  <c r="H564" i="61"/>
  <c r="G564" i="61"/>
  <c r="F564" i="61"/>
  <c r="J629" i="2"/>
  <c r="I629" i="2"/>
  <c r="H629" i="2"/>
  <c r="J627" i="2"/>
  <c r="I627" i="2"/>
  <c r="H627" i="2"/>
  <c r="J622" i="2"/>
  <c r="I622" i="2"/>
  <c r="H622" i="2"/>
  <c r="H560" i="61"/>
  <c r="G560" i="61"/>
  <c r="F560" i="61"/>
  <c r="H558" i="61"/>
  <c r="G558" i="61"/>
  <c r="F558" i="61"/>
  <c r="H562" i="61"/>
  <c r="G562" i="61"/>
  <c r="F562" i="61"/>
  <c r="J619" i="2"/>
  <c r="I619" i="2"/>
  <c r="H619" i="2"/>
  <c r="H514" i="61"/>
  <c r="G514" i="61"/>
  <c r="F514" i="61"/>
  <c r="J594" i="2"/>
  <c r="I594" i="2"/>
  <c r="H594" i="2"/>
  <c r="H490" i="61"/>
  <c r="H489" i="61" s="1"/>
  <c r="G490" i="61"/>
  <c r="G489" i="61" s="1"/>
  <c r="F490" i="61"/>
  <c r="F489" i="61" s="1"/>
  <c r="J585" i="2"/>
  <c r="J584" i="2" s="1"/>
  <c r="J583" i="2" s="1"/>
  <c r="I585" i="2"/>
  <c r="I584" i="2" s="1"/>
  <c r="I583" i="2" s="1"/>
  <c r="H585" i="2"/>
  <c r="H584" i="2" s="1"/>
  <c r="H583" i="2" s="1"/>
  <c r="G554" i="61"/>
  <c r="F554" i="61"/>
  <c r="I609" i="2"/>
  <c r="H609" i="2"/>
  <c r="F116" i="3"/>
  <c r="E116" i="3"/>
  <c r="D116" i="3"/>
  <c r="F114" i="3"/>
  <c r="E114" i="3"/>
  <c r="D114" i="3"/>
  <c r="F110" i="3"/>
  <c r="E110" i="3"/>
  <c r="D110" i="3"/>
  <c r="J581" i="2"/>
  <c r="I581" i="2"/>
  <c r="H581" i="2"/>
  <c r="J579" i="2"/>
  <c r="I579" i="2"/>
  <c r="H579" i="2"/>
  <c r="H471" i="61"/>
  <c r="G471" i="61"/>
  <c r="F471" i="61"/>
  <c r="J563" i="2"/>
  <c r="I563" i="2"/>
  <c r="H563" i="2"/>
  <c r="H521" i="61"/>
  <c r="G521" i="61"/>
  <c r="F521" i="61"/>
  <c r="H519" i="61"/>
  <c r="G519" i="61"/>
  <c r="F519" i="61"/>
  <c r="J602" i="2"/>
  <c r="I602" i="2"/>
  <c r="H602" i="2"/>
  <c r="J600" i="2"/>
  <c r="I600" i="2"/>
  <c r="H600" i="2"/>
  <c r="H452" i="61"/>
  <c r="G452" i="61"/>
  <c r="F452" i="61"/>
  <c r="H450" i="61"/>
  <c r="G450" i="61"/>
  <c r="F450" i="61"/>
  <c r="H448" i="61"/>
  <c r="G448" i="61"/>
  <c r="F448" i="61"/>
  <c r="H456" i="61"/>
  <c r="G456" i="61"/>
  <c r="F456" i="61"/>
  <c r="H454" i="61"/>
  <c r="G454" i="61"/>
  <c r="F454" i="61"/>
  <c r="J546" i="2"/>
  <c r="I546" i="2"/>
  <c r="H546" i="2"/>
  <c r="E83" i="3"/>
  <c r="F83" i="3"/>
  <c r="D83" i="3"/>
  <c r="G440" i="61"/>
  <c r="H440" i="61"/>
  <c r="F440" i="61"/>
  <c r="F38" i="3"/>
  <c r="E38" i="3"/>
  <c r="D38" i="3"/>
  <c r="F36" i="3"/>
  <c r="E36" i="3"/>
  <c r="D36" i="3"/>
  <c r="J511" i="2"/>
  <c r="I511" i="2"/>
  <c r="H511" i="2"/>
  <c r="J509" i="2"/>
  <c r="I509" i="2"/>
  <c r="H509" i="2"/>
  <c r="F29" i="3"/>
  <c r="E29" i="3"/>
  <c r="F27" i="3"/>
  <c r="E27" i="3"/>
  <c r="D27" i="3"/>
  <c r="J502" i="2"/>
  <c r="I502" i="2"/>
  <c r="J500" i="2"/>
  <c r="I500" i="2"/>
  <c r="H500" i="2"/>
  <c r="D35" i="3" l="1"/>
  <c r="J499" i="2"/>
  <c r="H499" i="2"/>
  <c r="E26" i="3"/>
  <c r="F26" i="3"/>
  <c r="D26" i="3"/>
  <c r="I499" i="2"/>
  <c r="F35" i="3"/>
  <c r="J508" i="2"/>
  <c r="H508" i="2"/>
  <c r="I508" i="2"/>
  <c r="E35" i="3"/>
  <c r="F557" i="61"/>
  <c r="H557" i="61"/>
  <c r="H68" i="2"/>
  <c r="F71" i="61"/>
  <c r="F215" i="61"/>
  <c r="I221" i="2"/>
  <c r="I217" i="2" s="1"/>
  <c r="I216" i="2" s="1"/>
  <c r="J221" i="2"/>
  <c r="J217" i="2" s="1"/>
  <c r="J216" i="2" s="1"/>
  <c r="G557" i="61"/>
  <c r="J574" i="2"/>
  <c r="H574" i="2"/>
  <c r="I574" i="2"/>
  <c r="F109" i="3"/>
  <c r="E109" i="3"/>
  <c r="D109" i="3"/>
  <c r="J68" i="2"/>
  <c r="J64" i="2" s="1"/>
  <c r="J63" i="2" s="1"/>
  <c r="I68" i="2"/>
  <c r="I64" i="2" s="1"/>
  <c r="I63" i="2" s="1"/>
  <c r="H217" i="2"/>
  <c r="H621" i="2"/>
  <c r="I621" i="2"/>
  <c r="J621" i="2"/>
  <c r="H304" i="61" l="1"/>
  <c r="G304" i="61"/>
  <c r="F304" i="61"/>
  <c r="H302" i="61"/>
  <c r="G302" i="61"/>
  <c r="F302" i="61"/>
  <c r="H299" i="61"/>
  <c r="G299" i="61"/>
  <c r="F299" i="61"/>
  <c r="H297" i="61"/>
  <c r="G297" i="61"/>
  <c r="F297" i="61"/>
  <c r="H295" i="61"/>
  <c r="G295" i="61"/>
  <c r="F295" i="61"/>
  <c r="H292" i="61"/>
  <c r="G292" i="61"/>
  <c r="F292" i="61"/>
  <c r="H290" i="61"/>
  <c r="G290" i="61"/>
  <c r="F290" i="61"/>
  <c r="H288" i="61"/>
  <c r="G288" i="61"/>
  <c r="F288" i="61"/>
  <c r="J324" i="2"/>
  <c r="J323" i="2" s="1"/>
  <c r="I324" i="2"/>
  <c r="I323" i="2" s="1"/>
  <c r="H324" i="2"/>
  <c r="H323" i="2" s="1"/>
  <c r="J321" i="2"/>
  <c r="J320" i="2" s="1"/>
  <c r="I321" i="2"/>
  <c r="I320" i="2" s="1"/>
  <c r="H321" i="2"/>
  <c r="H320" i="2" s="1"/>
  <c r="J317" i="2"/>
  <c r="J316" i="2" s="1"/>
  <c r="I317" i="2"/>
  <c r="I316" i="2" s="1"/>
  <c r="H317" i="2"/>
  <c r="H316" i="2" s="1"/>
  <c r="J314" i="2"/>
  <c r="I314" i="2"/>
  <c r="H314" i="2"/>
  <c r="J312" i="2"/>
  <c r="I312" i="2"/>
  <c r="H312" i="2"/>
  <c r="J308" i="2"/>
  <c r="I308" i="2"/>
  <c r="H308" i="2"/>
  <c r="J306" i="2"/>
  <c r="I306" i="2"/>
  <c r="H306" i="2"/>
  <c r="J303" i="2"/>
  <c r="J302" i="2" s="1"/>
  <c r="I303" i="2"/>
  <c r="I302" i="2" s="1"/>
  <c r="H303" i="2"/>
  <c r="H302" i="2" s="1"/>
  <c r="E344" i="3"/>
  <c r="F344" i="3"/>
  <c r="D344" i="3"/>
  <c r="H301" i="61" l="1"/>
  <c r="H305" i="2"/>
  <c r="H301" i="2" s="1"/>
  <c r="I319" i="2"/>
  <c r="F301" i="61"/>
  <c r="H311" i="2"/>
  <c r="H310" i="2" s="1"/>
  <c r="G294" i="61"/>
  <c r="F294" i="61"/>
  <c r="G301" i="61"/>
  <c r="H319" i="2"/>
  <c r="I305" i="2"/>
  <c r="I301" i="2" s="1"/>
  <c r="F287" i="61"/>
  <c r="G287" i="61"/>
  <c r="H294" i="61"/>
  <c r="H287" i="61"/>
  <c r="J319" i="2"/>
  <c r="I311" i="2"/>
  <c r="I310" i="2" s="1"/>
  <c r="J311" i="2"/>
  <c r="J310" i="2" s="1"/>
  <c r="J305" i="2"/>
  <c r="J301" i="2" s="1"/>
  <c r="H690" i="61"/>
  <c r="G690" i="61"/>
  <c r="F690" i="61"/>
  <c r="H688" i="61"/>
  <c r="G688" i="61"/>
  <c r="F688" i="61"/>
  <c r="H686" i="61"/>
  <c r="G686" i="61"/>
  <c r="F686" i="61"/>
  <c r="H684" i="61"/>
  <c r="G684" i="61"/>
  <c r="F684" i="61"/>
  <c r="H682" i="61"/>
  <c r="G682" i="61"/>
  <c r="G681" i="61" s="1"/>
  <c r="F682" i="61"/>
  <c r="J492" i="2"/>
  <c r="I492" i="2"/>
  <c r="H492" i="2"/>
  <c r="J490" i="2"/>
  <c r="I490" i="2"/>
  <c r="H490" i="2"/>
  <c r="J487" i="2"/>
  <c r="I487" i="2"/>
  <c r="H487" i="2"/>
  <c r="J485" i="2"/>
  <c r="I485" i="2"/>
  <c r="H485" i="2"/>
  <c r="H483" i="2"/>
  <c r="H482" i="2" s="1"/>
  <c r="I482" i="2" l="1"/>
  <c r="H681" i="61"/>
  <c r="F681" i="61"/>
  <c r="J482" i="2"/>
  <c r="I300" i="2"/>
  <c r="J489" i="2"/>
  <c r="J300" i="2"/>
  <c r="H300" i="2"/>
  <c r="H489" i="2"/>
  <c r="I489" i="2"/>
  <c r="H246" i="61"/>
  <c r="G246" i="61"/>
  <c r="F246" i="61"/>
  <c r="H244" i="61"/>
  <c r="G244" i="61"/>
  <c r="F244" i="61"/>
  <c r="H242" i="61"/>
  <c r="G242" i="61"/>
  <c r="F242" i="61"/>
  <c r="H240" i="61"/>
  <c r="G240" i="61"/>
  <c r="F240" i="61"/>
  <c r="J253" i="2"/>
  <c r="I253" i="2"/>
  <c r="H253" i="2"/>
  <c r="J251" i="2"/>
  <c r="I251" i="2"/>
  <c r="H251" i="2"/>
  <c r="J249" i="2"/>
  <c r="I249" i="2"/>
  <c r="H249" i="2"/>
  <c r="J247" i="2"/>
  <c r="H247" i="2"/>
  <c r="E369" i="3"/>
  <c r="F369" i="3"/>
  <c r="D369" i="3"/>
  <c r="E371" i="3"/>
  <c r="I246" i="2" l="1"/>
  <c r="I245" i="2" s="1"/>
  <c r="I244" i="2" s="1"/>
  <c r="J481" i="2"/>
  <c r="I481" i="2"/>
  <c r="H246" i="2"/>
  <c r="H245" i="2" s="1"/>
  <c r="H481" i="2"/>
  <c r="J246" i="2"/>
  <c r="J245" i="2" s="1"/>
  <c r="F239" i="61"/>
  <c r="G239" i="61"/>
  <c r="H239" i="61"/>
  <c r="H314" i="61"/>
  <c r="G314" i="61"/>
  <c r="F314" i="61"/>
  <c r="H312" i="61"/>
  <c r="G312" i="61"/>
  <c r="F312" i="61"/>
  <c r="J335" i="2"/>
  <c r="I335" i="2"/>
  <c r="H335" i="2"/>
  <c r="J333" i="2"/>
  <c r="I333" i="2"/>
  <c r="H333" i="2"/>
  <c r="E334" i="3"/>
  <c r="F334" i="3"/>
  <c r="D334" i="3"/>
  <c r="I479" i="2" l="1"/>
  <c r="I478" i="2" s="1"/>
  <c r="I480" i="2"/>
  <c r="J480" i="2"/>
  <c r="J479" i="2"/>
  <c r="J478" i="2" s="1"/>
  <c r="J332" i="2"/>
  <c r="J331" i="2" s="1"/>
  <c r="J330" i="2" s="1"/>
  <c r="J329" i="2" s="1"/>
  <c r="G311" i="61"/>
  <c r="G310" i="61" s="1"/>
  <c r="H332" i="2"/>
  <c r="H331" i="2" s="1"/>
  <c r="H330" i="2" s="1"/>
  <c r="H329" i="2" s="1"/>
  <c r="F311" i="61"/>
  <c r="I332" i="2"/>
  <c r="I331" i="2" s="1"/>
  <c r="I330" i="2" s="1"/>
  <c r="I329" i="2" s="1"/>
  <c r="H311" i="61"/>
  <c r="H310" i="61" s="1"/>
  <c r="E629" i="3"/>
  <c r="F629" i="3"/>
  <c r="D629" i="3"/>
  <c r="H95" i="61" l="1"/>
  <c r="G95" i="61"/>
  <c r="F95" i="61"/>
  <c r="J90" i="2"/>
  <c r="I90" i="2"/>
  <c r="H90" i="2"/>
  <c r="D644" i="3" l="1"/>
  <c r="F644" i="3"/>
  <c r="F651" i="3"/>
  <c r="E651" i="3"/>
  <c r="D651" i="3"/>
  <c r="F649" i="3"/>
  <c r="E649" i="3"/>
  <c r="D649" i="3"/>
  <c r="H34" i="61"/>
  <c r="G34" i="61"/>
  <c r="F34" i="61"/>
  <c r="H32" i="61"/>
  <c r="G32" i="61"/>
  <c r="F32" i="61"/>
  <c r="I29" i="2"/>
  <c r="I26" i="2" s="1"/>
  <c r="I25" i="2" s="1"/>
  <c r="I24" i="2" s="1"/>
  <c r="I23" i="2" s="1"/>
  <c r="I22" i="2" s="1"/>
  <c r="J29" i="2"/>
  <c r="J26" i="2" s="1"/>
  <c r="J25" i="2" s="1"/>
  <c r="J24" i="2" s="1"/>
  <c r="J23" i="2" s="1"/>
  <c r="J22" i="2" s="1"/>
  <c r="E644" i="3"/>
  <c r="H107" i="61"/>
  <c r="G107" i="61"/>
  <c r="F107" i="61"/>
  <c r="H102" i="2"/>
  <c r="H450" i="2" l="1"/>
  <c r="H449" i="2" s="1"/>
  <c r="H98" i="61"/>
  <c r="G98" i="61"/>
  <c r="F98" i="61"/>
  <c r="H202" i="61" l="1"/>
  <c r="F202" i="61"/>
  <c r="G202" i="61"/>
  <c r="F588" i="3" l="1"/>
  <c r="E588" i="3"/>
  <c r="D588" i="3"/>
  <c r="J650" i="2" l="1"/>
  <c r="I650" i="2"/>
  <c r="H650" i="2"/>
  <c r="H652" i="61"/>
  <c r="G652" i="61"/>
  <c r="F652" i="61"/>
  <c r="H643" i="61"/>
  <c r="G643" i="61"/>
  <c r="F643" i="61"/>
  <c r="H639" i="61"/>
  <c r="G639" i="61"/>
  <c r="F639" i="61"/>
  <c r="H634" i="61"/>
  <c r="G634" i="61"/>
  <c r="F634" i="61"/>
  <c r="H455" i="2"/>
  <c r="E481" i="3"/>
  <c r="E480" i="3" s="1"/>
  <c r="F481" i="3"/>
  <c r="F480" i="3" s="1"/>
  <c r="D481" i="3"/>
  <c r="D480" i="3" s="1"/>
  <c r="E487" i="3"/>
  <c r="F487" i="3"/>
  <c r="D487" i="3"/>
  <c r="E478" i="3" l="1"/>
  <c r="F478" i="3"/>
  <c r="D478" i="3"/>
  <c r="F483" i="3"/>
  <c r="E483" i="3"/>
  <c r="D483" i="3"/>
  <c r="F476" i="3"/>
  <c r="F475" i="3" s="1"/>
  <c r="E476" i="3"/>
  <c r="D476" i="3"/>
  <c r="H121" i="61"/>
  <c r="G117" i="61"/>
  <c r="H117" i="61"/>
  <c r="F117" i="61"/>
  <c r="H112" i="61"/>
  <c r="F131" i="61"/>
  <c r="G131" i="61"/>
  <c r="H131" i="61"/>
  <c r="H138" i="61"/>
  <c r="G138" i="61"/>
  <c r="F138" i="61"/>
  <c r="E475" i="3" l="1"/>
  <c r="D475" i="3"/>
  <c r="I702" i="2"/>
  <c r="I684" i="2" s="1"/>
  <c r="I661" i="2" s="1"/>
  <c r="G121" i="61"/>
  <c r="F540" i="61"/>
  <c r="F539" i="61" s="1"/>
  <c r="F112" i="61"/>
  <c r="E474" i="3"/>
  <c r="H540" i="61"/>
  <c r="H539" i="61" s="1"/>
  <c r="G540" i="61"/>
  <c r="G539" i="61" s="1"/>
  <c r="F474" i="3"/>
  <c r="H111" i="61"/>
  <c r="F121" i="61"/>
  <c r="G112" i="61"/>
  <c r="J702" i="2"/>
  <c r="J684" i="2" s="1"/>
  <c r="J661" i="2" s="1"/>
  <c r="H684" i="2"/>
  <c r="E402" i="3"/>
  <c r="F402" i="3"/>
  <c r="D402" i="3"/>
  <c r="F371" i="3"/>
  <c r="D371" i="3"/>
  <c r="G111" i="61" l="1"/>
  <c r="F111" i="61"/>
  <c r="D474" i="3"/>
  <c r="H155" i="61"/>
  <c r="G155" i="61"/>
  <c r="F155" i="61"/>
  <c r="E360" i="3" l="1"/>
  <c r="E359" i="3" s="1"/>
  <c r="F360" i="3"/>
  <c r="F359" i="3" s="1"/>
  <c r="D360" i="3"/>
  <c r="D359" i="3" s="1"/>
  <c r="E357" i="3"/>
  <c r="E356" i="3" s="1"/>
  <c r="F357" i="3"/>
  <c r="F356" i="3" s="1"/>
  <c r="D357" i="3"/>
  <c r="D356" i="3" s="1"/>
  <c r="F355" i="3" l="1"/>
  <c r="E355" i="3"/>
  <c r="D355" i="3"/>
  <c r="E350" i="3"/>
  <c r="F350" i="3"/>
  <c r="D350" i="3"/>
  <c r="F353" i="3"/>
  <c r="F352" i="3" s="1"/>
  <c r="E353" i="3"/>
  <c r="E352" i="3" s="1"/>
  <c r="D352" i="3"/>
  <c r="F348" i="3"/>
  <c r="E348" i="3"/>
  <c r="D348" i="3"/>
  <c r="F286" i="61"/>
  <c r="G286" i="61"/>
  <c r="H286" i="61"/>
  <c r="E347" i="3" l="1"/>
  <c r="E346" i="3" s="1"/>
  <c r="D347" i="3"/>
  <c r="D346" i="3" s="1"/>
  <c r="F347" i="3"/>
  <c r="F346" i="3" s="1"/>
  <c r="F310" i="61" l="1"/>
  <c r="H255" i="61"/>
  <c r="G255" i="61"/>
  <c r="F255" i="61"/>
  <c r="H252" i="61"/>
  <c r="G252" i="61"/>
  <c r="J264" i="2"/>
  <c r="J263" i="2" s="1"/>
  <c r="I264" i="2"/>
  <c r="I263" i="2" s="1"/>
  <c r="J259" i="2"/>
  <c r="I259" i="2"/>
  <c r="H259" i="2"/>
  <c r="E313" i="3"/>
  <c r="F313" i="3"/>
  <c r="D313" i="3"/>
  <c r="E318" i="3"/>
  <c r="F318" i="3"/>
  <c r="D318" i="3"/>
  <c r="E316" i="3"/>
  <c r="F316" i="3"/>
  <c r="D316" i="3"/>
  <c r="J258" i="2" l="1"/>
  <c r="I258" i="2"/>
  <c r="H258" i="2"/>
  <c r="I266" i="2"/>
  <c r="H266" i="2"/>
  <c r="J266" i="2"/>
  <c r="I257" i="2" l="1"/>
  <c r="I256" i="2" s="1"/>
  <c r="J257" i="2"/>
  <c r="J256" i="2" s="1"/>
  <c r="H284" i="61"/>
  <c r="G284" i="61"/>
  <c r="F284" i="61"/>
  <c r="I298" i="2"/>
  <c r="H298" i="2"/>
  <c r="H409" i="61"/>
  <c r="G409" i="61"/>
  <c r="F409" i="61"/>
  <c r="H407" i="61"/>
  <c r="G407" i="61"/>
  <c r="F407" i="61"/>
  <c r="J443" i="2"/>
  <c r="I443" i="2"/>
  <c r="H443" i="2"/>
  <c r="J441" i="2"/>
  <c r="I441" i="2"/>
  <c r="E293" i="3"/>
  <c r="F293" i="3"/>
  <c r="D293" i="3"/>
  <c r="F406" i="61" l="1"/>
  <c r="F405" i="61" s="1"/>
  <c r="F404" i="61" s="1"/>
  <c r="H406" i="61"/>
  <c r="H405" i="61" s="1"/>
  <c r="H404" i="61" s="1"/>
  <c r="I440" i="2"/>
  <c r="I439" i="2" s="1"/>
  <c r="I438" i="2" s="1"/>
  <c r="I437" i="2" s="1"/>
  <c r="G406" i="61"/>
  <c r="G405" i="61" s="1"/>
  <c r="G404" i="61" s="1"/>
  <c r="J440" i="2"/>
  <c r="J439" i="2" s="1"/>
  <c r="J438" i="2" s="1"/>
  <c r="J437" i="2" s="1"/>
  <c r="H440" i="2"/>
  <c r="H439" i="2" s="1"/>
  <c r="H438" i="2" s="1"/>
  <c r="H437" i="2" s="1"/>
  <c r="E287" i="3"/>
  <c r="F287" i="3"/>
  <c r="D287" i="3"/>
  <c r="E282" i="3"/>
  <c r="F282" i="3"/>
  <c r="D282" i="3"/>
  <c r="E280" i="3"/>
  <c r="F280" i="3"/>
  <c r="D280" i="3"/>
  <c r="E278" i="3"/>
  <c r="E277" i="3" s="1"/>
  <c r="F278" i="3"/>
  <c r="D278" i="3"/>
  <c r="H234" i="61"/>
  <c r="G234" i="61"/>
  <c r="F234" i="61"/>
  <c r="H232" i="61"/>
  <c r="G232" i="61"/>
  <c r="F232" i="61"/>
  <c r="H230" i="61"/>
  <c r="G230" i="61"/>
  <c r="F230" i="61"/>
  <c r="H228" i="61"/>
  <c r="G228" i="61"/>
  <c r="F228" i="61"/>
  <c r="H226" i="61"/>
  <c r="G226" i="61"/>
  <c r="F226" i="61"/>
  <c r="H224" i="61"/>
  <c r="G224" i="61"/>
  <c r="F224" i="61"/>
  <c r="J240" i="2"/>
  <c r="I240" i="2"/>
  <c r="H240" i="2"/>
  <c r="J238" i="2"/>
  <c r="I238" i="2"/>
  <c r="H238" i="2"/>
  <c r="J236" i="2"/>
  <c r="I236" i="2"/>
  <c r="H236" i="2"/>
  <c r="J234" i="2"/>
  <c r="I234" i="2"/>
  <c r="H234" i="2"/>
  <c r="J231" i="2"/>
  <c r="I231" i="2"/>
  <c r="H231" i="2"/>
  <c r="J229" i="2"/>
  <c r="I229" i="2"/>
  <c r="H229" i="2"/>
  <c r="E272" i="3"/>
  <c r="F272" i="3"/>
  <c r="D272" i="3"/>
  <c r="E270" i="3"/>
  <c r="F270" i="3"/>
  <c r="D270" i="3"/>
  <c r="E268" i="3"/>
  <c r="F268" i="3"/>
  <c r="D268" i="3"/>
  <c r="E266" i="3"/>
  <c r="F266" i="3"/>
  <c r="D266" i="3"/>
  <c r="H626" i="61"/>
  <c r="G626" i="61"/>
  <c r="F626" i="61"/>
  <c r="H786" i="2"/>
  <c r="H785" i="2" s="1"/>
  <c r="H553" i="61"/>
  <c r="H552" i="61" s="1"/>
  <c r="H551" i="61" s="1"/>
  <c r="G553" i="61"/>
  <c r="G552" i="61" s="1"/>
  <c r="G551" i="61" s="1"/>
  <c r="F553" i="61"/>
  <c r="J618" i="2"/>
  <c r="I618" i="2"/>
  <c r="H618" i="2"/>
  <c r="D277" i="3" l="1"/>
  <c r="F277" i="3"/>
  <c r="I233" i="2"/>
  <c r="D265" i="3"/>
  <c r="H233" i="2"/>
  <c r="J233" i="2"/>
  <c r="F223" i="61"/>
  <c r="F222" i="61" s="1"/>
  <c r="G223" i="61"/>
  <c r="G222" i="61" s="1"/>
  <c r="H223" i="61"/>
  <c r="H222" i="61" s="1"/>
  <c r="I228" i="2"/>
  <c r="H228" i="2"/>
  <c r="J228" i="2"/>
  <c r="H216" i="2"/>
  <c r="H525" i="61"/>
  <c r="H524" i="61" s="1"/>
  <c r="F525" i="61"/>
  <c r="F524" i="61" s="1"/>
  <c r="F552" i="61"/>
  <c r="G525" i="61"/>
  <c r="G524" i="61" s="1"/>
  <c r="F265" i="3"/>
  <c r="E265" i="3"/>
  <c r="H64" i="2"/>
  <c r="H664" i="2"/>
  <c r="I227" i="2" l="1"/>
  <c r="H227" i="2"/>
  <c r="J227" i="2"/>
  <c r="J644" i="2" l="1"/>
  <c r="J643" i="2" s="1"/>
  <c r="J642" i="2" s="1"/>
  <c r="I644" i="2"/>
  <c r="I643" i="2" s="1"/>
  <c r="I642" i="2" s="1"/>
  <c r="H644" i="2"/>
  <c r="H643" i="2" s="1"/>
  <c r="H642" i="2" s="1"/>
  <c r="J616" i="2"/>
  <c r="I616" i="2"/>
  <c r="H616" i="2"/>
  <c r="J614" i="2"/>
  <c r="I614" i="2"/>
  <c r="H614" i="2"/>
  <c r="J593" i="2"/>
  <c r="I593" i="2"/>
  <c r="H593" i="2"/>
  <c r="F127" i="3"/>
  <c r="E127" i="3"/>
  <c r="D127" i="3"/>
  <c r="H487" i="61"/>
  <c r="G487" i="61"/>
  <c r="F487" i="61"/>
  <c r="H485" i="61"/>
  <c r="G485" i="61"/>
  <c r="F485" i="61"/>
  <c r="H477" i="61"/>
  <c r="G477" i="61"/>
  <c r="F477" i="61"/>
  <c r="H469" i="61"/>
  <c r="G469" i="61"/>
  <c r="F469" i="61"/>
  <c r="F465" i="61"/>
  <c r="F464" i="61" s="1"/>
  <c r="J570" i="2"/>
  <c r="J569" i="2" s="1"/>
  <c r="I570" i="2"/>
  <c r="I569" i="2" s="1"/>
  <c r="J561" i="2"/>
  <c r="I561" i="2"/>
  <c r="H561" i="2"/>
  <c r="J557" i="2"/>
  <c r="I557" i="2"/>
  <c r="H556" i="2"/>
  <c r="J608" i="2"/>
  <c r="J607" i="2" s="1"/>
  <c r="I608" i="2"/>
  <c r="I607" i="2" s="1"/>
  <c r="H608" i="2"/>
  <c r="H607" i="2" s="1"/>
  <c r="H442" i="61"/>
  <c r="G442" i="61"/>
  <c r="F442" i="61"/>
  <c r="H434" i="61"/>
  <c r="G434" i="61"/>
  <c r="F434" i="61"/>
  <c r="H432" i="61"/>
  <c r="G432" i="61"/>
  <c r="F432" i="61"/>
  <c r="F429" i="61" s="1"/>
  <c r="H430" i="61"/>
  <c r="G430" i="61"/>
  <c r="F430" i="61"/>
  <c r="J544" i="2"/>
  <c r="J543" i="2" s="1"/>
  <c r="I544" i="2"/>
  <c r="I543" i="2" s="1"/>
  <c r="H544" i="2"/>
  <c r="H543" i="2" s="1"/>
  <c r="J541" i="2"/>
  <c r="I541" i="2"/>
  <c r="H541" i="2"/>
  <c r="J539" i="2"/>
  <c r="I539" i="2"/>
  <c r="H539" i="2"/>
  <c r="J537" i="2"/>
  <c r="I537" i="2"/>
  <c r="H537" i="2"/>
  <c r="J530" i="2"/>
  <c r="I530" i="2"/>
  <c r="H530" i="2"/>
  <c r="H527" i="2" s="1"/>
  <c r="J528" i="2"/>
  <c r="I528" i="2"/>
  <c r="I527" i="2" s="1"/>
  <c r="J521" i="2"/>
  <c r="I521" i="2"/>
  <c r="H521" i="2"/>
  <c r="J519" i="2"/>
  <c r="I519" i="2"/>
  <c r="H519" i="2"/>
  <c r="J517" i="2"/>
  <c r="I517" i="2"/>
  <c r="H517" i="2"/>
  <c r="H425" i="61"/>
  <c r="G425" i="61"/>
  <c r="F425" i="61"/>
  <c r="H423" i="61"/>
  <c r="G423" i="61"/>
  <c r="F423" i="61"/>
  <c r="H417" i="61"/>
  <c r="G417" i="61"/>
  <c r="F417" i="61"/>
  <c r="H415" i="61"/>
  <c r="G415" i="61"/>
  <c r="G414" i="61" s="1"/>
  <c r="F415" i="61"/>
  <c r="E261" i="3"/>
  <c r="F261" i="3"/>
  <c r="D261" i="3"/>
  <c r="E263" i="3"/>
  <c r="F263" i="3"/>
  <c r="D263" i="3"/>
  <c r="I556" i="2" l="1"/>
  <c r="J556" i="2"/>
  <c r="J516" i="2"/>
  <c r="H516" i="2"/>
  <c r="I516" i="2"/>
  <c r="G429" i="61"/>
  <c r="H414" i="61"/>
  <c r="F414" i="61"/>
  <c r="G464" i="61"/>
  <c r="H429" i="61"/>
  <c r="H464" i="61"/>
  <c r="H463" i="61" s="1"/>
  <c r="J527" i="2"/>
  <c r="G463" i="61"/>
  <c r="F463" i="61"/>
  <c r="H413" i="61"/>
  <c r="E260" i="3"/>
  <c r="G413" i="61"/>
  <c r="I613" i="2"/>
  <c r="I612" i="2" s="1"/>
  <c r="I606" i="2" s="1"/>
  <c r="F260" i="3"/>
  <c r="J613" i="2"/>
  <c r="H613" i="2"/>
  <c r="D260" i="3"/>
  <c r="H498" i="2"/>
  <c r="I592" i="2"/>
  <c r="H536" i="2"/>
  <c r="J592" i="2"/>
  <c r="H592" i="2"/>
  <c r="I498" i="2"/>
  <c r="I497" i="2" s="1"/>
  <c r="I496" i="2" s="1"/>
  <c r="I536" i="2"/>
  <c r="J536" i="2"/>
  <c r="J498" i="2"/>
  <c r="J497" i="2" s="1"/>
  <c r="J496" i="2" s="1"/>
  <c r="H612" i="2" l="1"/>
  <c r="H606" i="2" s="1"/>
  <c r="J612" i="2"/>
  <c r="J606" i="2" s="1"/>
  <c r="I515" i="2"/>
  <c r="H515" i="2"/>
  <c r="J515" i="2"/>
  <c r="J555" i="2"/>
  <c r="J554" i="2" s="1"/>
  <c r="J553" i="2" s="1"/>
  <c r="I555" i="2"/>
  <c r="I554" i="2" s="1"/>
  <c r="I553" i="2" s="1"/>
  <c r="H555" i="2"/>
  <c r="H554" i="2" s="1"/>
  <c r="H553" i="2" s="1"/>
  <c r="E218" i="3" l="1"/>
  <c r="F218" i="3"/>
  <c r="D218" i="3"/>
  <c r="E194" i="3" l="1"/>
  <c r="E193" i="3" s="1"/>
  <c r="F194" i="3"/>
  <c r="F193" i="3" s="1"/>
  <c r="D194" i="3"/>
  <c r="D193" i="3" s="1"/>
  <c r="E186" i="3" l="1"/>
  <c r="E185" i="3" s="1"/>
  <c r="F186" i="3"/>
  <c r="F185" i="3" s="1"/>
  <c r="D186" i="3"/>
  <c r="D185" i="3" s="1"/>
  <c r="E179" i="3"/>
  <c r="F179" i="3"/>
  <c r="D179" i="3"/>
  <c r="D170" i="3"/>
  <c r="E170" i="3"/>
  <c r="F170" i="3"/>
  <c r="F159" i="3"/>
  <c r="E159" i="3"/>
  <c r="D159" i="3"/>
  <c r="E146" i="3"/>
  <c r="F146" i="3"/>
  <c r="D146" i="3"/>
  <c r="E141" i="3"/>
  <c r="F141" i="3"/>
  <c r="D141" i="3"/>
  <c r="E139" i="3"/>
  <c r="F139" i="3"/>
  <c r="D139" i="3"/>
  <c r="E134" i="3"/>
  <c r="F134" i="3"/>
  <c r="D134" i="3"/>
  <c r="E131" i="3"/>
  <c r="F131" i="3"/>
  <c r="D131" i="3"/>
  <c r="E129" i="3"/>
  <c r="F129" i="3"/>
  <c r="D129" i="3"/>
  <c r="E124" i="3"/>
  <c r="F124" i="3"/>
  <c r="D124" i="3"/>
  <c r="E122" i="3"/>
  <c r="F122" i="3"/>
  <c r="D122" i="3"/>
  <c r="E120" i="3"/>
  <c r="F120" i="3"/>
  <c r="D120" i="3"/>
  <c r="D126" i="3" l="1"/>
  <c r="F126" i="3"/>
  <c r="E133" i="3"/>
  <c r="E126" i="3"/>
  <c r="F119" i="3"/>
  <c r="E119" i="3"/>
  <c r="D119" i="3"/>
  <c r="D133" i="3"/>
  <c r="F133" i="3"/>
  <c r="E118" i="3" l="1"/>
  <c r="F118" i="3"/>
  <c r="D118" i="3"/>
  <c r="E105" i="3"/>
  <c r="E104" i="3" s="1"/>
  <c r="F105" i="3"/>
  <c r="F104" i="3" s="1"/>
  <c r="D105" i="3"/>
  <c r="D104" i="3" s="1"/>
  <c r="E98" i="3"/>
  <c r="F98" i="3"/>
  <c r="D98" i="3"/>
  <c r="E96" i="3"/>
  <c r="F96" i="3"/>
  <c r="D96" i="3"/>
  <c r="D91" i="3" s="1"/>
  <c r="E80" i="3"/>
  <c r="F80" i="3"/>
  <c r="D80" i="3"/>
  <c r="E78" i="3"/>
  <c r="F78" i="3"/>
  <c r="D78" i="3"/>
  <c r="E75" i="3"/>
  <c r="F75" i="3"/>
  <c r="D75" i="3"/>
  <c r="E73" i="3"/>
  <c r="F73" i="3"/>
  <c r="D73" i="3"/>
  <c r="F91" i="3" l="1"/>
  <c r="E91" i="3"/>
  <c r="D72" i="3"/>
  <c r="F72" i="3"/>
  <c r="E72" i="3"/>
  <c r="E70" i="3"/>
  <c r="F70" i="3"/>
  <c r="D70" i="3"/>
  <c r="E68" i="3"/>
  <c r="F68" i="3"/>
  <c r="D68" i="3"/>
  <c r="E66" i="3"/>
  <c r="F66" i="3"/>
  <c r="D66" i="3"/>
  <c r="F65" i="3" l="1"/>
  <c r="E90" i="3"/>
  <c r="F90" i="3"/>
  <c r="D90" i="3"/>
  <c r="E65" i="3"/>
  <c r="D65" i="3"/>
  <c r="E59" i="3"/>
  <c r="F59" i="3"/>
  <c r="D59" i="3"/>
  <c r="E57" i="3"/>
  <c r="F57" i="3"/>
  <c r="D57" i="3"/>
  <c r="E48" i="3"/>
  <c r="F48" i="3"/>
  <c r="D48" i="3"/>
  <c r="E50" i="3"/>
  <c r="F50" i="3"/>
  <c r="D50" i="3"/>
  <c r="E46" i="3"/>
  <c r="F46" i="3"/>
  <c r="D46" i="3"/>
  <c r="F45" i="3" l="1"/>
  <c r="D45" i="3"/>
  <c r="D56" i="3"/>
  <c r="E45" i="3"/>
  <c r="F56" i="3"/>
  <c r="E56" i="3"/>
  <c r="E41" i="3"/>
  <c r="E40" i="3" s="1"/>
  <c r="F41" i="3"/>
  <c r="F40" i="3" s="1"/>
  <c r="D41" i="3"/>
  <c r="D40" i="3" s="1"/>
  <c r="F525" i="3"/>
  <c r="E525" i="3"/>
  <c r="D525" i="3"/>
  <c r="F523" i="3"/>
  <c r="E523" i="3"/>
  <c r="D523" i="3"/>
  <c r="F514" i="3"/>
  <c r="F513" i="3" s="1"/>
  <c r="E514" i="3"/>
  <c r="E513" i="3" s="1"/>
  <c r="D514" i="3"/>
  <c r="D513" i="3" s="1"/>
  <c r="D522" i="3" l="1"/>
  <c r="E44" i="3"/>
  <c r="F44" i="3"/>
  <c r="D44" i="3"/>
  <c r="F25" i="3"/>
  <c r="E25" i="3"/>
  <c r="E522" i="3"/>
  <c r="F522" i="3"/>
  <c r="F24" i="3" l="1"/>
  <c r="E512" i="3"/>
  <c r="E511" i="3" s="1"/>
  <c r="E24" i="3"/>
  <c r="F512" i="3"/>
  <c r="F511" i="3" s="1"/>
  <c r="H620" i="61"/>
  <c r="H619" i="61" s="1"/>
  <c r="G620" i="61"/>
  <c r="G619" i="61" s="1"/>
  <c r="F620" i="61"/>
  <c r="F619" i="61" s="1"/>
  <c r="H582" i="61" l="1"/>
  <c r="H581" i="61" s="1"/>
  <c r="G582" i="61"/>
  <c r="G581" i="61" s="1"/>
  <c r="F384" i="3"/>
  <c r="E384" i="3"/>
  <c r="D384" i="3"/>
  <c r="H29" i="2" l="1"/>
  <c r="H27" i="2"/>
  <c r="F464" i="3"/>
  <c r="F463" i="3" s="1"/>
  <c r="E464" i="3"/>
  <c r="E463" i="3" s="1"/>
  <c r="D464" i="3"/>
  <c r="D463" i="3" s="1"/>
  <c r="H26" i="2" l="1"/>
  <c r="E224" i="3"/>
  <c r="E223" i="3" s="1"/>
  <c r="F224" i="3"/>
  <c r="F223" i="3" s="1"/>
  <c r="D224" i="3"/>
  <c r="D223" i="3" s="1"/>
  <c r="G428" i="61" l="1"/>
  <c r="G427" i="61" s="1"/>
  <c r="H428" i="61"/>
  <c r="H427" i="61" s="1"/>
  <c r="G412" i="61"/>
  <c r="F413" i="61"/>
  <c r="F412" i="61" s="1"/>
  <c r="H412" i="61"/>
  <c r="F428" i="61"/>
  <c r="F427" i="61" s="1"/>
  <c r="H148" i="2" l="1"/>
  <c r="H147" i="2" s="1"/>
  <c r="F394" i="3"/>
  <c r="E394" i="3"/>
  <c r="D461" i="3" l="1"/>
  <c r="D460" i="3" s="1"/>
  <c r="D459" i="3" s="1"/>
  <c r="F472" i="3"/>
  <c r="F470" i="3"/>
  <c r="F468" i="3"/>
  <c r="F461" i="3"/>
  <c r="F460" i="3" s="1"/>
  <c r="F459" i="3" s="1"/>
  <c r="F457" i="3"/>
  <c r="F456" i="3" s="1"/>
  <c r="F452" i="3"/>
  <c r="F450" i="3"/>
  <c r="F448" i="3"/>
  <c r="D448" i="3"/>
  <c r="F447" i="3" l="1"/>
  <c r="F446" i="3" s="1"/>
  <c r="F467" i="3"/>
  <c r="F466" i="3" s="1"/>
  <c r="F445" i="3" l="1"/>
  <c r="G56" i="61"/>
  <c r="H56" i="61"/>
  <c r="F392" i="3" l="1"/>
  <c r="E392" i="3"/>
  <c r="D392" i="3"/>
  <c r="F390" i="3"/>
  <c r="E390" i="3"/>
  <c r="D390" i="3"/>
  <c r="F388" i="3"/>
  <c r="E388" i="3"/>
  <c r="D388" i="3"/>
  <c r="F386" i="3"/>
  <c r="E386" i="3"/>
  <c r="D386" i="3"/>
  <c r="F380" i="3"/>
  <c r="E380" i="3"/>
  <c r="D380" i="3"/>
  <c r="E378" i="3"/>
  <c r="D378" i="3"/>
  <c r="F378" i="3"/>
  <c r="F376" i="3"/>
  <c r="E376" i="3"/>
  <c r="D376" i="3"/>
  <c r="F404" i="3"/>
  <c r="E404" i="3"/>
  <c r="D404" i="3"/>
  <c r="F400" i="3"/>
  <c r="E400" i="3"/>
  <c r="D400" i="3"/>
  <c r="F398" i="3"/>
  <c r="E398" i="3"/>
  <c r="D398" i="3"/>
  <c r="F397" i="3" l="1"/>
  <c r="F396" i="3" s="1"/>
  <c r="F375" i="3"/>
  <c r="F374" i="3" s="1"/>
  <c r="E375" i="3"/>
  <c r="E374" i="3" s="1"/>
  <c r="D375" i="3"/>
  <c r="E397" i="3"/>
  <c r="E396" i="3" s="1"/>
  <c r="D397" i="3"/>
  <c r="F373" i="3" l="1"/>
  <c r="E373" i="3"/>
  <c r="H138" i="2"/>
  <c r="H137" i="2" s="1"/>
  <c r="I138" i="2"/>
  <c r="I137" i="2" s="1"/>
  <c r="J138" i="2"/>
  <c r="J137" i="2" s="1"/>
  <c r="F142" i="61"/>
  <c r="F141" i="61" s="1"/>
  <c r="F443" i="3" l="1"/>
  <c r="E443" i="3"/>
  <c r="D443" i="3"/>
  <c r="F441" i="3"/>
  <c r="E441" i="3"/>
  <c r="D441" i="3"/>
  <c r="F437" i="3"/>
  <c r="E437" i="3"/>
  <c r="D437" i="3"/>
  <c r="F435" i="3"/>
  <c r="E435" i="3"/>
  <c r="D435" i="3"/>
  <c r="F429" i="3"/>
  <c r="E429" i="3"/>
  <c r="D429" i="3"/>
  <c r="F426" i="3"/>
  <c r="E426" i="3"/>
  <c r="D426" i="3"/>
  <c r="F424" i="3"/>
  <c r="E424" i="3"/>
  <c r="D424" i="3"/>
  <c r="F409" i="3"/>
  <c r="F408" i="3" s="1"/>
  <c r="E409" i="3"/>
  <c r="E408" i="3" s="1"/>
  <c r="D409" i="3"/>
  <c r="D408" i="3" s="1"/>
  <c r="F440" i="3" l="1"/>
  <c r="D440" i="3"/>
  <c r="E440" i="3"/>
  <c r="F251" i="3"/>
  <c r="F250" i="3" s="1"/>
  <c r="E251" i="3"/>
  <c r="E250" i="3" s="1"/>
  <c r="D251" i="3"/>
  <c r="D250" i="3" s="1"/>
  <c r="F248" i="3"/>
  <c r="F247" i="3" s="1"/>
  <c r="E248" i="3"/>
  <c r="E247" i="3" s="1"/>
  <c r="D248" i="3"/>
  <c r="D247" i="3" s="1"/>
  <c r="F238" i="3"/>
  <c r="E238" i="3"/>
  <c r="D238" i="3"/>
  <c r="F236" i="3"/>
  <c r="E236" i="3"/>
  <c r="D236" i="3"/>
  <c r="F233" i="3"/>
  <c r="F232" i="3" s="1"/>
  <c r="E233" i="3"/>
  <c r="E232" i="3" s="1"/>
  <c r="D233" i="3"/>
  <c r="D232" i="3" s="1"/>
  <c r="D235" i="3" l="1"/>
  <c r="F235" i="3"/>
  <c r="E235" i="3"/>
  <c r="F238" i="61" l="1"/>
  <c r="G238" i="61" l="1"/>
  <c r="H238" i="61"/>
  <c r="H244" i="2"/>
  <c r="J244" i="2"/>
  <c r="E654" i="3" l="1"/>
  <c r="D654" i="3"/>
  <c r="D648" i="3" s="1"/>
  <c r="E642" i="3"/>
  <c r="E641" i="3" s="1"/>
  <c r="D642" i="3"/>
  <c r="D641" i="3" s="1"/>
  <c r="E633" i="3"/>
  <c r="D633" i="3"/>
  <c r="E620" i="3"/>
  <c r="E617" i="3" s="1"/>
  <c r="D620" i="3"/>
  <c r="D617" i="3" s="1"/>
  <c r="E614" i="3"/>
  <c r="D614" i="3"/>
  <c r="E612" i="3"/>
  <c r="D612" i="3"/>
  <c r="E609" i="3"/>
  <c r="D609" i="3"/>
  <c r="E606" i="3"/>
  <c r="D606" i="3"/>
  <c r="E603" i="3"/>
  <c r="E602" i="3" s="1"/>
  <c r="D602" i="3"/>
  <c r="E594" i="3"/>
  <c r="D594" i="3"/>
  <c r="E592" i="3"/>
  <c r="D592" i="3"/>
  <c r="E590" i="3"/>
  <c r="D590" i="3"/>
  <c r="E586" i="3"/>
  <c r="D586" i="3"/>
  <c r="E509" i="3"/>
  <c r="E508" i="3" s="1"/>
  <c r="D509" i="3"/>
  <c r="D508" i="3" s="1"/>
  <c r="E506" i="3"/>
  <c r="E505" i="3" s="1"/>
  <c r="D506" i="3"/>
  <c r="D505" i="3" s="1"/>
  <c r="E502" i="3"/>
  <c r="E501" i="3" s="1"/>
  <c r="D502" i="3"/>
  <c r="D501" i="3" s="1"/>
  <c r="E499" i="3"/>
  <c r="E497" i="3"/>
  <c r="E492" i="3"/>
  <c r="E491" i="3" s="1"/>
  <c r="D492" i="3"/>
  <c r="D491" i="3" s="1"/>
  <c r="E472" i="3"/>
  <c r="D472" i="3"/>
  <c r="E470" i="3"/>
  <c r="D470" i="3"/>
  <c r="E468" i="3"/>
  <c r="D468" i="3"/>
  <c r="E461" i="3"/>
  <c r="E460" i="3" s="1"/>
  <c r="E459" i="3" s="1"/>
  <c r="E457" i="3"/>
  <c r="E456" i="3" s="1"/>
  <c r="D457" i="3"/>
  <c r="D456" i="3" s="1"/>
  <c r="E452" i="3"/>
  <c r="D452" i="3"/>
  <c r="E450" i="3"/>
  <c r="D450" i="3"/>
  <c r="E448" i="3"/>
  <c r="E439" i="3"/>
  <c r="D439" i="3"/>
  <c r="E434" i="3"/>
  <c r="E433" i="3" s="1"/>
  <c r="D434" i="3"/>
  <c r="D433" i="3" s="1"/>
  <c r="E428" i="3"/>
  <c r="D428" i="3"/>
  <c r="E423" i="3"/>
  <c r="D423" i="3"/>
  <c r="E422" i="3"/>
  <c r="D422" i="3"/>
  <c r="E407" i="3"/>
  <c r="D407" i="3"/>
  <c r="D374" i="3"/>
  <c r="E367" i="3"/>
  <c r="D367" i="3"/>
  <c r="E365" i="3"/>
  <c r="D365" i="3"/>
  <c r="E342" i="3"/>
  <c r="E341" i="3" s="1"/>
  <c r="D342" i="3"/>
  <c r="D341" i="3" s="1"/>
  <c r="E339" i="3"/>
  <c r="E338" i="3" s="1"/>
  <c r="D339" i="3"/>
  <c r="D338" i="3" s="1"/>
  <c r="E332" i="3"/>
  <c r="D332" i="3"/>
  <c r="E327" i="3"/>
  <c r="E326" i="3" s="1"/>
  <c r="D327" i="3"/>
  <c r="D326" i="3" s="1"/>
  <c r="E324" i="3"/>
  <c r="E323" i="3" s="1"/>
  <c r="D324" i="3"/>
  <c r="D323" i="3" s="1"/>
  <c r="E320" i="3"/>
  <c r="E315" i="3" s="1"/>
  <c r="D320" i="3"/>
  <c r="D315" i="3" s="1"/>
  <c r="E311" i="3"/>
  <c r="D311" i="3"/>
  <c r="E309" i="3"/>
  <c r="D309" i="3"/>
  <c r="E305" i="3"/>
  <c r="E304" i="3" s="1"/>
  <c r="D305" i="3"/>
  <c r="D304" i="3" s="1"/>
  <c r="E300" i="3"/>
  <c r="D300" i="3"/>
  <c r="E296" i="3"/>
  <c r="E295" i="3" s="1"/>
  <c r="D296" i="3"/>
  <c r="D295" i="3" s="1"/>
  <c r="E290" i="3"/>
  <c r="D290" i="3"/>
  <c r="E285" i="3"/>
  <c r="E284" i="3" s="1"/>
  <c r="E276" i="3" s="1"/>
  <c r="D285" i="3"/>
  <c r="D284" i="3" s="1"/>
  <c r="D276" i="3" s="1"/>
  <c r="E258" i="3"/>
  <c r="E257" i="3" s="1"/>
  <c r="E256" i="3" s="1"/>
  <c r="D258" i="3"/>
  <c r="D246" i="3"/>
  <c r="E246" i="3"/>
  <c r="E231" i="3"/>
  <c r="E227" i="3"/>
  <c r="E226" i="3" s="1"/>
  <c r="D227" i="3"/>
  <c r="D226" i="3" s="1"/>
  <c r="E415" i="3"/>
  <c r="D415" i="3"/>
  <c r="E413" i="3"/>
  <c r="D413" i="3"/>
  <c r="E221" i="3"/>
  <c r="E220" i="3" s="1"/>
  <c r="D221" i="3"/>
  <c r="D220" i="3" s="1"/>
  <c r="E216" i="3"/>
  <c r="D216" i="3"/>
  <c r="E214" i="3"/>
  <c r="D214" i="3"/>
  <c r="E212" i="3"/>
  <c r="D212" i="3"/>
  <c r="E205" i="3"/>
  <c r="D205" i="3"/>
  <c r="E203" i="3"/>
  <c r="D203" i="3"/>
  <c r="E197" i="3"/>
  <c r="E196" i="3" s="1"/>
  <c r="D197" i="3"/>
  <c r="D196" i="3" s="1"/>
  <c r="E177" i="3"/>
  <c r="E176" i="3" s="1"/>
  <c r="D177" i="3"/>
  <c r="D176" i="3" s="1"/>
  <c r="E168" i="3"/>
  <c r="D168" i="3"/>
  <c r="E166" i="3"/>
  <c r="E165" i="3" s="1"/>
  <c r="D166" i="3"/>
  <c r="D165" i="3" s="1"/>
  <c r="E157" i="3"/>
  <c r="D153" i="3"/>
  <c r="D202" i="3" l="1"/>
  <c r="D201" i="3" s="1"/>
  <c r="E202" i="3"/>
  <c r="E201" i="3" s="1"/>
  <c r="D447" i="3"/>
  <c r="E447" i="3"/>
  <c r="E446" i="3" s="1"/>
  <c r="E153" i="3"/>
  <c r="D308" i="3"/>
  <c r="D307" i="3" s="1"/>
  <c r="E467" i="3"/>
  <c r="E466" i="3" s="1"/>
  <c r="E308" i="3"/>
  <c r="E331" i="3"/>
  <c r="E330" i="3" s="1"/>
  <c r="E329" i="3" s="1"/>
  <c r="D331" i="3"/>
  <c r="D330" i="3" s="1"/>
  <c r="D329" i="3" s="1"/>
  <c r="D585" i="3"/>
  <c r="E585" i="3"/>
  <c r="D628" i="3"/>
  <c r="D364" i="3"/>
  <c r="E364" i="3"/>
  <c r="E421" i="3"/>
  <c r="E628" i="3"/>
  <c r="D211" i="3"/>
  <c r="D210" i="3" s="1"/>
  <c r="D152" i="3"/>
  <c r="E211" i="3"/>
  <c r="E210" i="3" s="1"/>
  <c r="D421" i="3"/>
  <c r="E605" i="3"/>
  <c r="E648" i="3"/>
  <c r="D605" i="3"/>
  <c r="D601" i="3" s="1"/>
  <c r="E504" i="3"/>
  <c r="D504" i="3"/>
  <c r="D512" i="3"/>
  <c r="D511" i="3" s="1"/>
  <c r="E337" i="3"/>
  <c r="E336" i="3" s="1"/>
  <c r="D299" i="3"/>
  <c r="E299" i="3"/>
  <c r="E412" i="3"/>
  <c r="E411" i="3" s="1"/>
  <c r="E406" i="3" s="1"/>
  <c r="D467" i="3"/>
  <c r="D466" i="3" s="1"/>
  <c r="E496" i="3"/>
  <c r="E490" i="3" s="1"/>
  <c r="E289" i="3"/>
  <c r="E255" i="3" s="1"/>
  <c r="D322" i="3"/>
  <c r="E307" i="3"/>
  <c r="E322" i="3"/>
  <c r="D337" i="3"/>
  <c r="D336" i="3" s="1"/>
  <c r="D289" i="3"/>
  <c r="D496" i="3"/>
  <c r="D490" i="3" s="1"/>
  <c r="D25" i="3"/>
  <c r="D24" i="3" s="1"/>
  <c r="D257" i="3"/>
  <c r="D256" i="3" s="1"/>
  <c r="E230" i="3"/>
  <c r="D412" i="3"/>
  <c r="D411" i="3" s="1"/>
  <c r="D406" i="3" s="1"/>
  <c r="D231" i="3"/>
  <c r="D230" i="3" s="1"/>
  <c r="D396" i="3"/>
  <c r="D373" i="3" s="1"/>
  <c r="I794" i="2"/>
  <c r="I793" i="2" s="1"/>
  <c r="I792" i="2" s="1"/>
  <c r="H794" i="2"/>
  <c r="H793" i="2" s="1"/>
  <c r="H792" i="2" s="1"/>
  <c r="H784" i="2" s="1"/>
  <c r="H783" i="2" s="1"/>
  <c r="I786" i="2"/>
  <c r="I785" i="2" s="1"/>
  <c r="H773" i="2"/>
  <c r="H772" i="2" s="1"/>
  <c r="H771" i="2" s="1"/>
  <c r="I761" i="2"/>
  <c r="H761" i="2"/>
  <c r="I649" i="2"/>
  <c r="I648" i="2" s="1"/>
  <c r="I647" i="2" s="1"/>
  <c r="I646" i="2" s="1"/>
  <c r="I641" i="2" s="1"/>
  <c r="I640" i="2" s="1"/>
  <c r="H649" i="2"/>
  <c r="H648" i="2" s="1"/>
  <c r="H647" i="2" s="1"/>
  <c r="H646" i="2" s="1"/>
  <c r="H641" i="2" s="1"/>
  <c r="H640" i="2" s="1"/>
  <c r="I599" i="2"/>
  <c r="I598" i="2" s="1"/>
  <c r="I597" i="2" s="1"/>
  <c r="I596" i="2" s="1"/>
  <c r="H480" i="2"/>
  <c r="I470" i="2"/>
  <c r="I464" i="2" s="1"/>
  <c r="I463" i="2" s="1"/>
  <c r="I462" i="2" s="1"/>
  <c r="I445" i="2" s="1"/>
  <c r="H470" i="2"/>
  <c r="H466" i="2"/>
  <c r="H465" i="2" s="1"/>
  <c r="H454" i="2"/>
  <c r="I296" i="2"/>
  <c r="I295" i="2" s="1"/>
  <c r="H297" i="2"/>
  <c r="H163" i="2"/>
  <c r="H162" i="2" s="1"/>
  <c r="H146" i="2"/>
  <c r="H145" i="2" s="1"/>
  <c r="H144" i="2" s="1"/>
  <c r="I136" i="2"/>
  <c r="H136" i="2"/>
  <c r="H135" i="2" s="1"/>
  <c r="H130" i="2"/>
  <c r="H101" i="2"/>
  <c r="H100" i="2" s="1"/>
  <c r="I85" i="2"/>
  <c r="H85" i="2"/>
  <c r="H81" i="2"/>
  <c r="H80" i="2" s="1"/>
  <c r="I60" i="2"/>
  <c r="I59" i="2" s="1"/>
  <c r="I58" i="2" s="1"/>
  <c r="I57" i="2" s="1"/>
  <c r="H60" i="2"/>
  <c r="H59" i="2" s="1"/>
  <c r="H58" i="2" s="1"/>
  <c r="H57" i="2" s="1"/>
  <c r="I53" i="2"/>
  <c r="I52" i="2" s="1"/>
  <c r="I47" i="2" s="1"/>
  <c r="I46" i="2" s="1"/>
  <c r="H53" i="2"/>
  <c r="H52" i="2" s="1"/>
  <c r="H49" i="2"/>
  <c r="H48" i="2" s="1"/>
  <c r="H44" i="2"/>
  <c r="H43" i="2" s="1"/>
  <c r="I36" i="2"/>
  <c r="I35" i="2" s="1"/>
  <c r="I34" i="2" s="1"/>
  <c r="I33" i="2" s="1"/>
  <c r="I32" i="2" s="1"/>
  <c r="H36" i="2"/>
  <c r="H35" i="2" s="1"/>
  <c r="H34" i="2" s="1"/>
  <c r="H33" i="2" s="1"/>
  <c r="H32" i="2" s="1"/>
  <c r="E152" i="3" l="1"/>
  <c r="E151" i="3" s="1"/>
  <c r="I135" i="2"/>
  <c r="I98" i="2" s="1"/>
  <c r="I654" i="2"/>
  <c r="E584" i="3"/>
  <c r="E583" i="3" s="1"/>
  <c r="D584" i="3"/>
  <c r="D583" i="3" s="1"/>
  <c r="D255" i="3"/>
  <c r="D151" i="3"/>
  <c r="H84" i="2"/>
  <c r="I84" i="2"/>
  <c r="E445" i="3"/>
  <c r="E489" i="3"/>
  <c r="D489" i="3"/>
  <c r="E601" i="3"/>
  <c r="D363" i="3"/>
  <c r="D362" i="3"/>
  <c r="E363" i="3"/>
  <c r="E362" i="3"/>
  <c r="D446" i="3"/>
  <c r="D445" i="3" s="1"/>
  <c r="D298" i="3"/>
  <c r="E298" i="3"/>
  <c r="H599" i="2"/>
  <c r="H598" i="2" s="1"/>
  <c r="H597" i="2" s="1"/>
  <c r="H596" i="2" s="1"/>
  <c r="I297" i="2"/>
  <c r="I760" i="2"/>
  <c r="I759" i="2" s="1"/>
  <c r="I716" i="2" s="1"/>
  <c r="H591" i="2"/>
  <c r="H590" i="2" s="1"/>
  <c r="H89" i="2"/>
  <c r="H99" i="2"/>
  <c r="I89" i="2"/>
  <c r="I591" i="2"/>
  <c r="I590" i="2" s="1"/>
  <c r="H760" i="2"/>
  <c r="H759" i="2" s="1"/>
  <c r="H296" i="2"/>
  <c r="H295" i="2" s="1"/>
  <c r="H294" i="2" s="1"/>
  <c r="H453" i="2"/>
  <c r="H452" i="2" s="1"/>
  <c r="H639" i="2"/>
  <c r="I639" i="2"/>
  <c r="I784" i="2"/>
  <c r="I783" i="2" s="1"/>
  <c r="H497" i="2"/>
  <c r="H496" i="2" s="1"/>
  <c r="H448" i="2"/>
  <c r="H447" i="2" s="1"/>
  <c r="H446" i="2" s="1"/>
  <c r="H226" i="2"/>
  <c r="H215" i="2" s="1"/>
  <c r="H663" i="2"/>
  <c r="H662" i="2" s="1"/>
  <c r="I226" i="2"/>
  <c r="I215" i="2" s="1"/>
  <c r="I143" i="2" s="1"/>
  <c r="H479" i="2"/>
  <c r="H478" i="2" s="1"/>
  <c r="H42" i="2"/>
  <c r="H41" i="2" s="1"/>
  <c r="H47" i="2"/>
  <c r="H46" i="2" s="1"/>
  <c r="H151" i="2"/>
  <c r="H150" i="2" s="1"/>
  <c r="H718" i="2"/>
  <c r="H717" i="2" s="1"/>
  <c r="H657" i="2"/>
  <c r="H656" i="2" s="1"/>
  <c r="H63" i="2"/>
  <c r="H25" i="2"/>
  <c r="H24" i="2" s="1"/>
  <c r="H23" i="2" s="1"/>
  <c r="H22" i="2" s="1"/>
  <c r="H464" i="2"/>
  <c r="H463" i="2" s="1"/>
  <c r="H462" i="2" s="1"/>
  <c r="F669" i="61"/>
  <c r="F668" i="61" s="1"/>
  <c r="F667" i="61" s="1"/>
  <c r="F651" i="61"/>
  <c r="F650" i="61" s="1"/>
  <c r="G651" i="61"/>
  <c r="G650" i="61" s="1"/>
  <c r="G642" i="61"/>
  <c r="F642" i="61"/>
  <c r="F641" i="61" s="1"/>
  <c r="G638" i="61"/>
  <c r="G637" i="61" s="1"/>
  <c r="F638" i="61"/>
  <c r="F637" i="61" s="1"/>
  <c r="F636" i="61" s="1"/>
  <c r="G633" i="61"/>
  <c r="G632" i="61" s="1"/>
  <c r="G631" i="61" s="1"/>
  <c r="F633" i="61"/>
  <c r="F632" i="61" s="1"/>
  <c r="F631" i="61" s="1"/>
  <c r="G618" i="61"/>
  <c r="F618" i="61"/>
  <c r="G518" i="61"/>
  <c r="G517" i="61" s="1"/>
  <c r="G516" i="61" s="1"/>
  <c r="F518" i="61"/>
  <c r="F517" i="61" s="1"/>
  <c r="F516" i="61" s="1"/>
  <c r="G513" i="61"/>
  <c r="G512" i="61" s="1"/>
  <c r="G511" i="61" s="1"/>
  <c r="F513" i="61"/>
  <c r="F512" i="61" s="1"/>
  <c r="F511" i="61" s="1"/>
  <c r="G492" i="61"/>
  <c r="G462" i="61" s="1"/>
  <c r="F492" i="61"/>
  <c r="F462" i="61" s="1"/>
  <c r="G352" i="61"/>
  <c r="G309" i="61" s="1"/>
  <c r="F352" i="61"/>
  <c r="F309" i="61" s="1"/>
  <c r="G283" i="61"/>
  <c r="G282" i="61" s="1"/>
  <c r="G281" i="61" s="1"/>
  <c r="F283" i="61"/>
  <c r="F282" i="61" s="1"/>
  <c r="F281" i="61" s="1"/>
  <c r="G201" i="61"/>
  <c r="F201" i="61"/>
  <c r="G142" i="61"/>
  <c r="G141" i="61" s="1"/>
  <c r="G137" i="61"/>
  <c r="F137" i="61"/>
  <c r="G106" i="61"/>
  <c r="G105" i="61" s="1"/>
  <c r="F106" i="61"/>
  <c r="F105" i="61" s="1"/>
  <c r="G94" i="61"/>
  <c r="F94" i="61"/>
  <c r="G90" i="61"/>
  <c r="G89" i="61" s="1"/>
  <c r="F90" i="61"/>
  <c r="F89" i="61" s="1"/>
  <c r="G86" i="61"/>
  <c r="G85" i="61" s="1"/>
  <c r="F86" i="61"/>
  <c r="F85" i="61" s="1"/>
  <c r="G67" i="61"/>
  <c r="G66" i="61" s="1"/>
  <c r="G65" i="61" s="1"/>
  <c r="G64" i="61" s="1"/>
  <c r="F67" i="61"/>
  <c r="F66" i="61" s="1"/>
  <c r="F65" i="61" s="1"/>
  <c r="F64" i="61" s="1"/>
  <c r="G61" i="61"/>
  <c r="G60" i="61" s="1"/>
  <c r="F61" i="61"/>
  <c r="F60" i="61" s="1"/>
  <c r="G55" i="61"/>
  <c r="F55" i="61"/>
  <c r="G51" i="61"/>
  <c r="G50" i="61" s="1"/>
  <c r="G49" i="61" s="1"/>
  <c r="G48" i="61" s="1"/>
  <c r="F51" i="61"/>
  <c r="F50" i="61" s="1"/>
  <c r="F49" i="61" s="1"/>
  <c r="F48" i="61" s="1"/>
  <c r="G44" i="61"/>
  <c r="G43" i="61" s="1"/>
  <c r="F44" i="61"/>
  <c r="F43" i="61" s="1"/>
  <c r="G40" i="61"/>
  <c r="G39" i="61" s="1"/>
  <c r="F40" i="61"/>
  <c r="F39" i="61" s="1"/>
  <c r="F31" i="61"/>
  <c r="F30" i="61" s="1"/>
  <c r="G28" i="61"/>
  <c r="G27" i="61" s="1"/>
  <c r="G26" i="61" s="1"/>
  <c r="G25" i="61" s="1"/>
  <c r="F28" i="61"/>
  <c r="F27" i="61" s="1"/>
  <c r="F26" i="61" s="1"/>
  <c r="F25" i="61" s="1"/>
  <c r="H79" i="2" l="1"/>
  <c r="F84" i="61"/>
  <c r="G84" i="61"/>
  <c r="I79" i="2"/>
  <c r="I62" i="2" s="1"/>
  <c r="I40" i="2" s="1"/>
  <c r="H655" i="2"/>
  <c r="H654" i="2" s="1"/>
  <c r="I653" i="2"/>
  <c r="D23" i="3"/>
  <c r="D22" i="3" s="1"/>
  <c r="E23" i="3"/>
  <c r="E22" i="3" s="1"/>
  <c r="G411" i="61"/>
  <c r="H143" i="2"/>
  <c r="H661" i="2"/>
  <c r="I514" i="2"/>
  <c r="I513" i="2" s="1"/>
  <c r="I294" i="2"/>
  <c r="I255" i="2" s="1"/>
  <c r="H716" i="2"/>
  <c r="H257" i="2"/>
  <c r="H256" i="2" s="1"/>
  <c r="H605" i="2"/>
  <c r="G641" i="61"/>
  <c r="G636" i="61" s="1"/>
  <c r="I605" i="2"/>
  <c r="G215" i="61"/>
  <c r="G214" i="61" s="1"/>
  <c r="F214" i="61"/>
  <c r="F251" i="61"/>
  <c r="G251" i="61"/>
  <c r="G270" i="61"/>
  <c r="F136" i="61"/>
  <c r="G136" i="61"/>
  <c r="G154" i="61"/>
  <c r="G153" i="61" s="1"/>
  <c r="G151" i="61" s="1"/>
  <c r="G150" i="61" s="1"/>
  <c r="G149" i="61" s="1"/>
  <c r="G148" i="61" s="1"/>
  <c r="F270" i="61"/>
  <c r="G71" i="61"/>
  <c r="G70" i="61" s="1"/>
  <c r="F680" i="61"/>
  <c r="F679" i="61" s="1"/>
  <c r="F678" i="61" s="1"/>
  <c r="G680" i="61"/>
  <c r="G679" i="61" s="1"/>
  <c r="G678" i="61" s="1"/>
  <c r="F655" i="61"/>
  <c r="F649" i="61" s="1"/>
  <c r="G655" i="61"/>
  <c r="G649" i="61" s="1"/>
  <c r="G669" i="61"/>
  <c r="G668" i="61" s="1"/>
  <c r="G667" i="61" s="1"/>
  <c r="F582" i="61"/>
  <c r="F581" i="61" s="1"/>
  <c r="H105" i="2"/>
  <c r="H98" i="2" s="1"/>
  <c r="F154" i="61"/>
  <c r="F153" i="61" s="1"/>
  <c r="F151" i="61" s="1"/>
  <c r="F150" i="61" s="1"/>
  <c r="F149" i="61" s="1"/>
  <c r="F148" i="61" s="1"/>
  <c r="G165" i="61"/>
  <c r="G164" i="61" s="1"/>
  <c r="F165" i="61"/>
  <c r="F164" i="61" s="1"/>
  <c r="F104" i="61"/>
  <c r="G104" i="61"/>
  <c r="F54" i="61"/>
  <c r="F53" i="61" s="1"/>
  <c r="G38" i="61"/>
  <c r="G37" i="61" s="1"/>
  <c r="G54" i="61"/>
  <c r="G53" i="61" s="1"/>
  <c r="H445" i="2"/>
  <c r="G31" i="61"/>
  <c r="G30" i="61" s="1"/>
  <c r="F551" i="61"/>
  <c r="F411" i="61" s="1"/>
  <c r="F70" i="61"/>
  <c r="F38" i="61"/>
  <c r="F37" i="61" s="1"/>
  <c r="I495" i="2" l="1"/>
  <c r="I494" i="2" s="1"/>
  <c r="H653" i="2"/>
  <c r="I39" i="2"/>
  <c r="F580" i="61"/>
  <c r="G69" i="61"/>
  <c r="G24" i="61" s="1"/>
  <c r="F69" i="61"/>
  <c r="F24" i="61" s="1"/>
  <c r="H62" i="2"/>
  <c r="H40" i="2" s="1"/>
  <c r="G630" i="61"/>
  <c r="F630" i="61"/>
  <c r="H255" i="2"/>
  <c r="F250" i="61"/>
  <c r="H514" i="2"/>
  <c r="H513" i="2" s="1"/>
  <c r="F213" i="61"/>
  <c r="G213" i="61"/>
  <c r="G250" i="61"/>
  <c r="G110" i="61"/>
  <c r="G103" i="61" s="1"/>
  <c r="G580" i="61"/>
  <c r="F110" i="61"/>
  <c r="F103" i="61" s="1"/>
  <c r="G249" i="61" l="1"/>
  <c r="G248" i="61" s="1"/>
  <c r="F249" i="61"/>
  <c r="F248" i="61" s="1"/>
  <c r="H495" i="2"/>
  <c r="H494" i="2" s="1"/>
  <c r="F147" i="61"/>
  <c r="I21" i="2"/>
  <c r="G147" i="61"/>
  <c r="H39" i="2"/>
  <c r="F23" i="61" l="1"/>
  <c r="G23" i="61"/>
  <c r="H21" i="2"/>
  <c r="F603" i="3" l="1"/>
  <c r="F177" i="3" l="1"/>
  <c r="F176" i="3" s="1"/>
  <c r="F499" i="3" l="1"/>
  <c r="F497" i="3"/>
  <c r="F496" i="3" l="1"/>
  <c r="F590" i="3"/>
  <c r="H669" i="61" l="1"/>
  <c r="F205" i="3" l="1"/>
  <c r="H518" i="61" l="1"/>
  <c r="H517" i="61" s="1"/>
  <c r="H516" i="61" s="1"/>
  <c r="F594" i="3" l="1"/>
  <c r="F592" i="3"/>
  <c r="F586" i="3"/>
  <c r="J136" i="2"/>
  <c r="J135" i="2" s="1"/>
  <c r="J98" i="2" s="1"/>
  <c r="F585" i="3" l="1"/>
  <c r="F584" i="3" s="1"/>
  <c r="F583" i="3" s="1"/>
  <c r="H142" i="61"/>
  <c r="H141" i="61" s="1"/>
  <c r="F367" i="3" l="1"/>
  <c r="F365" i="3"/>
  <c r="F364" i="3" l="1"/>
  <c r="F362" i="3" s="1"/>
  <c r="H31" i="61" l="1"/>
  <c r="H61" i="61" l="1"/>
  <c r="H60" i="61" s="1"/>
  <c r="F633" i="3" l="1"/>
  <c r="F285" i="3" l="1"/>
  <c r="F284" i="3" s="1"/>
  <c r="F276" i="3" s="1"/>
  <c r="F258" i="3"/>
  <c r="F257" i="3" s="1"/>
  <c r="F256" i="3" s="1"/>
  <c r="F614" i="3" l="1"/>
  <c r="F332" i="3" l="1"/>
  <c r="F331" i="3" s="1"/>
  <c r="F330" i="3" l="1"/>
  <c r="H55" i="61" l="1"/>
  <c r="H54" i="61" s="1"/>
  <c r="F602" i="3"/>
  <c r="F654" i="3"/>
  <c r="F648" i="3" s="1"/>
  <c r="F157" i="3"/>
  <c r="F153" i="3" s="1"/>
  <c r="F227" i="3"/>
  <c r="F226" i="3" s="1"/>
  <c r="F415" i="3"/>
  <c r="F413" i="3"/>
  <c r="F168" i="3"/>
  <c r="H492" i="61" l="1"/>
  <c r="H462" i="61" s="1"/>
  <c r="H618" i="61"/>
  <c r="F412" i="3"/>
  <c r="F411" i="3" s="1"/>
  <c r="H668" i="61"/>
  <c r="H580" i="61" l="1"/>
  <c r="H30" i="61" l="1"/>
  <c r="F342" i="3" l="1"/>
  <c r="F341" i="3" s="1"/>
  <c r="J599" i="2" l="1"/>
  <c r="J598" i="2" s="1"/>
  <c r="J597" i="2" s="1"/>
  <c r="J596" i="2" s="1"/>
  <c r="J786" i="2" l="1"/>
  <c r="J785" i="2" s="1"/>
  <c r="F502" i="3"/>
  <c r="F501" i="3" s="1"/>
  <c r="F320" i="3"/>
  <c r="F315" i="3" s="1"/>
  <c r="F363" i="3" l="1"/>
  <c r="F296" i="3" l="1"/>
  <c r="F290" i="3"/>
  <c r="J657" i="2" l="1"/>
  <c r="J656" i="2" s="1"/>
  <c r="J655" i="2" s="1"/>
  <c r="F407" i="3"/>
  <c r="F406" i="3" s="1"/>
  <c r="F324" i="3"/>
  <c r="J654" i="2" l="1"/>
  <c r="F642" i="3" l="1"/>
  <c r="F641" i="3" s="1"/>
  <c r="F620" i="3"/>
  <c r="F617" i="3" s="1"/>
  <c r="F612" i="3"/>
  <c r="F609" i="3"/>
  <c r="F606" i="3"/>
  <c r="F509" i="3"/>
  <c r="F508" i="3" s="1"/>
  <c r="F506" i="3"/>
  <c r="F505" i="3" s="1"/>
  <c r="F492" i="3"/>
  <c r="F428" i="3"/>
  <c r="F339" i="3"/>
  <c r="F338" i="3" s="1"/>
  <c r="F337" i="3" s="1"/>
  <c r="F336" i="3" s="1"/>
  <c r="F327" i="3"/>
  <c r="F326" i="3" s="1"/>
  <c r="F323" i="3"/>
  <c r="F311" i="3"/>
  <c r="F309" i="3"/>
  <c r="F305" i="3"/>
  <c r="F304" i="3" s="1"/>
  <c r="F300" i="3"/>
  <c r="F295" i="3"/>
  <c r="F221" i="3"/>
  <c r="F220" i="3" s="1"/>
  <c r="F216" i="3"/>
  <c r="F214" i="3"/>
  <c r="F212" i="3"/>
  <c r="F203" i="3"/>
  <c r="F202" i="3" s="1"/>
  <c r="F201" i="3" s="1"/>
  <c r="F197" i="3"/>
  <c r="F196" i="3" s="1"/>
  <c r="F166" i="3"/>
  <c r="F165" i="3" s="1"/>
  <c r="J794" i="2"/>
  <c r="J793" i="2" s="1"/>
  <c r="J792" i="2" s="1"/>
  <c r="J784" i="2" s="1"/>
  <c r="J783" i="2" s="1"/>
  <c r="J649" i="2"/>
  <c r="J648" i="2" s="1"/>
  <c r="J647" i="2" s="1"/>
  <c r="J646" i="2" s="1"/>
  <c r="J641" i="2" s="1"/>
  <c r="J640" i="2" s="1"/>
  <c r="J297" i="2"/>
  <c r="J89" i="2"/>
  <c r="J85" i="2"/>
  <c r="J60" i="2"/>
  <c r="J59" i="2" s="1"/>
  <c r="J58" i="2" s="1"/>
  <c r="J57" i="2" s="1"/>
  <c r="J53" i="2"/>
  <c r="J52" i="2" s="1"/>
  <c r="J47" i="2" s="1"/>
  <c r="J46" i="2" s="1"/>
  <c r="J36" i="2"/>
  <c r="J35" i="2" s="1"/>
  <c r="J34" i="2" s="1"/>
  <c r="J33" i="2" s="1"/>
  <c r="J32" i="2" s="1"/>
  <c r="H651" i="61"/>
  <c r="H650" i="61" s="1"/>
  <c r="H642" i="61"/>
  <c r="H638" i="61"/>
  <c r="H637" i="61" s="1"/>
  <c r="H633" i="61"/>
  <c r="H632" i="61" s="1"/>
  <c r="H631" i="61" s="1"/>
  <c r="H513" i="61"/>
  <c r="H512" i="61" s="1"/>
  <c r="H511" i="61" s="1"/>
  <c r="H411" i="61" s="1"/>
  <c r="H283" i="61"/>
  <c r="H282" i="61" s="1"/>
  <c r="H281" i="61" s="1"/>
  <c r="H270" i="61"/>
  <c r="H201" i="61"/>
  <c r="H106" i="61"/>
  <c r="H105" i="61" s="1"/>
  <c r="H94" i="61"/>
  <c r="H90" i="61"/>
  <c r="H89" i="61" s="1"/>
  <c r="H86" i="61"/>
  <c r="H85" i="61" s="1"/>
  <c r="H67" i="61"/>
  <c r="H66" i="61" s="1"/>
  <c r="H65" i="61" s="1"/>
  <c r="H64" i="61" s="1"/>
  <c r="H53" i="61"/>
  <c r="H51" i="61"/>
  <c r="H50" i="61" s="1"/>
  <c r="H49" i="61" s="1"/>
  <c r="H48" i="61" s="1"/>
  <c r="H44" i="61"/>
  <c r="H40" i="61"/>
  <c r="H39" i="61" s="1"/>
  <c r="H28" i="61"/>
  <c r="H27" i="61" s="1"/>
  <c r="H26" i="61" s="1"/>
  <c r="H25" i="61" s="1"/>
  <c r="H84" i="61" l="1"/>
  <c r="F491" i="3"/>
  <c r="F490" i="3" s="1"/>
  <c r="F152" i="3"/>
  <c r="F308" i="3"/>
  <c r="F307" i="3" s="1"/>
  <c r="J84" i="2"/>
  <c r="J79" i="2" s="1"/>
  <c r="F211" i="3"/>
  <c r="F210" i="3" s="1"/>
  <c r="F605" i="3"/>
  <c r="F504" i="3"/>
  <c r="H215" i="61"/>
  <c r="H214" i="61" s="1"/>
  <c r="H213" i="61" s="1"/>
  <c r="H165" i="61"/>
  <c r="H164" i="61" s="1"/>
  <c r="F289" i="3"/>
  <c r="F255" i="3" s="1"/>
  <c r="J605" i="2"/>
  <c r="H641" i="61"/>
  <c r="H636" i="61" s="1"/>
  <c r="H43" i="61"/>
  <c r="H38" i="61" s="1"/>
  <c r="H37" i="61" s="1"/>
  <c r="H680" i="61"/>
  <c r="H679" i="61" s="1"/>
  <c r="H678" i="61" s="1"/>
  <c r="J514" i="2"/>
  <c r="J513" i="2" s="1"/>
  <c r="H71" i="61"/>
  <c r="H70" i="61" s="1"/>
  <c r="H137" i="61"/>
  <c r="F246" i="3"/>
  <c r="F299" i="3"/>
  <c r="H352" i="61"/>
  <c r="H309" i="61" s="1"/>
  <c r="F231" i="3"/>
  <c r="J591" i="2"/>
  <c r="J590" i="2" s="1"/>
  <c r="F439" i="3"/>
  <c r="J226" i="2"/>
  <c r="J215" i="2" s="1"/>
  <c r="J143" i="2" s="1"/>
  <c r="H655" i="61"/>
  <c r="H649" i="61" s="1"/>
  <c r="F628" i="3"/>
  <c r="F329" i="3"/>
  <c r="F423" i="3"/>
  <c r="F322" i="3"/>
  <c r="F434" i="3"/>
  <c r="F433" i="3" s="1"/>
  <c r="H154" i="61"/>
  <c r="H153" i="61" s="1"/>
  <c r="H151" i="61" s="1"/>
  <c r="H150" i="61" s="1"/>
  <c r="H149" i="61" s="1"/>
  <c r="H148" i="61" s="1"/>
  <c r="J296" i="2"/>
  <c r="J295" i="2" s="1"/>
  <c r="J294" i="2" s="1"/>
  <c r="J255" i="2" s="1"/>
  <c r="J470" i="2"/>
  <c r="J464" i="2" s="1"/>
  <c r="J463" i="2" s="1"/>
  <c r="J462" i="2" s="1"/>
  <c r="J445" i="2" s="1"/>
  <c r="J761" i="2"/>
  <c r="H251" i="61"/>
  <c r="H104" i="61"/>
  <c r="J639" i="2"/>
  <c r="F422" i="3"/>
  <c r="J62" i="2" l="1"/>
  <c r="J40" i="2" s="1"/>
  <c r="F489" i="3"/>
  <c r="J495" i="2"/>
  <c r="J494" i="2" s="1"/>
  <c r="F151" i="3"/>
  <c r="H69" i="61"/>
  <c r="H24" i="61" s="1"/>
  <c r="H630" i="61"/>
  <c r="F421" i="3"/>
  <c r="H147" i="61"/>
  <c r="H110" i="61"/>
  <c r="F601" i="3"/>
  <c r="H136" i="61"/>
  <c r="F230" i="3"/>
  <c r="J760" i="2"/>
  <c r="J759" i="2" s="1"/>
  <c r="J716" i="2" s="1"/>
  <c r="J653" i="2" s="1"/>
  <c r="H667" i="61"/>
  <c r="F298" i="3"/>
  <c r="H250" i="61"/>
  <c r="H249" i="61" l="1"/>
  <c r="H248" i="61" s="1"/>
  <c r="F23" i="3"/>
  <c r="F22" i="3" s="1"/>
  <c r="H103" i="61"/>
  <c r="J39" i="2"/>
  <c r="G62" i="1"/>
  <c r="F62" i="1"/>
  <c r="E62" i="1"/>
  <c r="G60" i="1"/>
  <c r="F60" i="1"/>
  <c r="E60" i="1"/>
  <c r="G56" i="1"/>
  <c r="F56" i="1"/>
  <c r="E56" i="1"/>
  <c r="E53" i="1"/>
  <c r="G53" i="1"/>
  <c r="F53" i="1"/>
  <c r="G46" i="1"/>
  <c r="F46" i="1"/>
  <c r="E46" i="1"/>
  <c r="G36" i="1"/>
  <c r="F36" i="1"/>
  <c r="E36" i="1"/>
  <c r="E32" i="1"/>
  <c r="G24" i="1"/>
  <c r="G23" i="1" s="1"/>
  <c r="F24" i="1"/>
  <c r="E24" i="1"/>
  <c r="F23" i="1" l="1"/>
  <c r="H23" i="61"/>
  <c r="E23" i="1"/>
  <c r="J21" i="2"/>
</calcChain>
</file>

<file path=xl/sharedStrings.xml><?xml version="1.0" encoding="utf-8"?>
<sst xmlns="http://schemas.openxmlformats.org/spreadsheetml/2006/main" count="7420" uniqueCount="881">
  <si>
    <t>Развитие деятельности муниципального бюджетного учреждения Городской молодежный центр "Звездный"</t>
  </si>
  <si>
    <t>Транспорт</t>
  </si>
  <si>
    <t>Профессиональная подготовка, переподготовка и повышение квалификации</t>
  </si>
  <si>
    <t>Предоставление субсидий общественным организациям ветеранов войны, труда, вооруженных сил и правоохранительных органов, инвалидов и т.д.</t>
  </si>
  <si>
    <t>Другие вопросы в области национальной экономики</t>
  </si>
  <si>
    <t>Резервные фонды</t>
  </si>
  <si>
    <t>Массовый спорт</t>
  </si>
  <si>
    <t xml:space="preserve">Другие вопросы в области культуры, кинематографии </t>
  </si>
  <si>
    <t>Средства массовой информации</t>
  </si>
  <si>
    <t>13</t>
  </si>
  <si>
    <t>Обеспечение деятельности финансовых, налоговых и таможенных органов и органов (финансово-бюджетного) надзора</t>
  </si>
  <si>
    <t>Резервные фонды  местных администраций</t>
  </si>
  <si>
    <t>Прочая закупка товаров, работ и услуг для государственных (муниципальных) нужд</t>
  </si>
  <si>
    <t>810</t>
  </si>
  <si>
    <t>Охрана семьи и детства</t>
  </si>
  <si>
    <t>Другие вопросы в области средств массовой информации</t>
  </si>
  <si>
    <t>Реализация государственных полномочий по созданию, исполнению полномочий и обеспечению деятельности комиссий по делам несовершеннолетних и защите их прав</t>
  </si>
  <si>
    <t>Осуществление  государственных полномочий Тверской области по созданию административных комиссий</t>
  </si>
  <si>
    <t>Функционирование высшего должностного лица субъекта Российской Федерации и муниципального образования</t>
  </si>
  <si>
    <t>Органы юстиции</t>
  </si>
  <si>
    <t>630</t>
  </si>
  <si>
    <t xml:space="preserve">Культура и кинематография </t>
  </si>
  <si>
    <t>Р</t>
  </si>
  <si>
    <t>Другие вопросы в области национальной безопасности и правоохранительной деятельности</t>
  </si>
  <si>
    <t>Содержание и ремонт детских и спортивных площадок</t>
  </si>
  <si>
    <t>Обустройство и ремонт контейнерных площадок</t>
  </si>
  <si>
    <t>9940000000</t>
  </si>
  <si>
    <t>Подпрограмма "Организация похоронного дела"</t>
  </si>
  <si>
    <t>П</t>
  </si>
  <si>
    <t>Сумма тыс.руб.</t>
  </si>
  <si>
    <t>Расходы на обеспечение деятельности представительного органа местного самоуправления</t>
  </si>
  <si>
    <t>Расходы на обеспечение деятельности исполнительного органа местного самоуправления</t>
  </si>
  <si>
    <t>0230000000</t>
  </si>
  <si>
    <t>0290000000</t>
  </si>
  <si>
    <t>0700000000</t>
  </si>
  <si>
    <t>0710000000</t>
  </si>
  <si>
    <t>0730000000</t>
  </si>
  <si>
    <t>1300000000</t>
  </si>
  <si>
    <t>1310000000</t>
  </si>
  <si>
    <t>1320000000</t>
  </si>
  <si>
    <t>Отдельные мероприятия, не включенные в муниципальные программы</t>
  </si>
  <si>
    <t>Реализация  функций, связанных с общегосударственным управлением</t>
  </si>
  <si>
    <t>Прочие выплаты по обязательствам муниципального образования</t>
  </si>
  <si>
    <t>Коммунальное хозяйство</t>
  </si>
  <si>
    <t>Жилищное хозяйство</t>
  </si>
  <si>
    <t>0220000000</t>
  </si>
  <si>
    <t>Финансовое обеспечение повышения квалификации и профессиональной подготовки педагогических кадров</t>
  </si>
  <si>
    <t>Организация отдыха детей</t>
  </si>
  <si>
    <t>Обеспечивающая подпрограмма</t>
  </si>
  <si>
    <t>Жилищно-коммунальное хозяйство</t>
  </si>
  <si>
    <t>Благоустройство</t>
  </si>
  <si>
    <t>Организационное и методическое сопровождение государственной итоговой аттестации</t>
  </si>
  <si>
    <t>1100000000</t>
  </si>
  <si>
    <t>1110000000</t>
  </si>
  <si>
    <t>1120000000</t>
  </si>
  <si>
    <t>1130000000</t>
  </si>
  <si>
    <t>1140000000</t>
  </si>
  <si>
    <t>1200000000</t>
  </si>
  <si>
    <t>1210000000</t>
  </si>
  <si>
    <t>1220000000</t>
  </si>
  <si>
    <t>1230000000</t>
  </si>
  <si>
    <t>0200000000</t>
  </si>
  <si>
    <t>0210000000</t>
  </si>
  <si>
    <t>Командирование спортсменов муниципального образования для участия в официальных областных спортивно-массовых мероприятиях и соревнованиях</t>
  </si>
  <si>
    <t>120</t>
  </si>
  <si>
    <t>Расходы на выплаты персоналу государственных (муниципальных) органов</t>
  </si>
  <si>
    <t>110</t>
  </si>
  <si>
    <t>0600000000</t>
  </si>
  <si>
    <t>0610000000</t>
  </si>
  <si>
    <t>0900000000</t>
  </si>
  <si>
    <t>0910000000</t>
  </si>
  <si>
    <t>0300000000</t>
  </si>
  <si>
    <t>0310000000</t>
  </si>
  <si>
    <t>1000000000</t>
  </si>
  <si>
    <t>1010000000</t>
  </si>
  <si>
    <t>0100000000</t>
  </si>
  <si>
    <t>0110000000</t>
  </si>
  <si>
    <t>0120000000</t>
  </si>
  <si>
    <t>0190000000</t>
  </si>
  <si>
    <t>Организация выездов представителей молодежных общественных объединений на областные, межрегиональные, всероссийские мероприятия</t>
  </si>
  <si>
    <t>Расходы на выплату персоналу государственных (муниципальных) органов</t>
  </si>
  <si>
    <t xml:space="preserve">                                                        </t>
  </si>
  <si>
    <t>Подпрограмма "Реализация социальной политики"</t>
  </si>
  <si>
    <t>360</t>
  </si>
  <si>
    <t>Иные выплаты населению</t>
  </si>
  <si>
    <t>Подпрограмма "Обеспечение жильем отдельных категорий граждан"</t>
  </si>
  <si>
    <t>870</t>
  </si>
  <si>
    <t>Резервные средства</t>
  </si>
  <si>
    <t xml:space="preserve">к решению Собрания депутатов </t>
  </si>
  <si>
    <t>№ п/п</t>
  </si>
  <si>
    <t>01</t>
  </si>
  <si>
    <t>02</t>
  </si>
  <si>
    <t xml:space="preserve">                                 Наименование</t>
  </si>
  <si>
    <t>Общегосударственные вопросы</t>
  </si>
  <si>
    <t>В С Е Г О:</t>
  </si>
  <si>
    <t>03</t>
  </si>
  <si>
    <t>04</t>
  </si>
  <si>
    <t>05</t>
  </si>
  <si>
    <t>06</t>
  </si>
  <si>
    <t>Другие общегосударственные вопросы</t>
  </si>
  <si>
    <t>Национальная безопасность и правоохранительная деятельность</t>
  </si>
  <si>
    <t>09</t>
  </si>
  <si>
    <t>Национальная экономика</t>
  </si>
  <si>
    <t>08</t>
  </si>
  <si>
    <t>11</t>
  </si>
  <si>
    <t>Сельское хозяйство и рыболовство</t>
  </si>
  <si>
    <t>07</t>
  </si>
  <si>
    <t>Образование</t>
  </si>
  <si>
    <t>Культура</t>
  </si>
  <si>
    <t>Дошкольное образование</t>
  </si>
  <si>
    <t>Общее образование</t>
  </si>
  <si>
    <t>Другие вопросы в области образования</t>
  </si>
  <si>
    <t>10</t>
  </si>
  <si>
    <t>Социальная политика</t>
  </si>
  <si>
    <t>Пенсионное обеспечение</t>
  </si>
  <si>
    <t>КВР</t>
  </si>
  <si>
    <t>Глава муниципального образования</t>
  </si>
  <si>
    <t>Центральный аппарат</t>
  </si>
  <si>
    <t>Социальное обеспечение населения</t>
  </si>
  <si>
    <t xml:space="preserve"> Р</t>
  </si>
  <si>
    <t xml:space="preserve"> П</t>
  </si>
  <si>
    <t xml:space="preserve"> КЦСР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</si>
  <si>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</si>
  <si>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14</t>
  </si>
  <si>
    <t>12</t>
  </si>
  <si>
    <t>Физическая культура и спорт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</si>
  <si>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</si>
  <si>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</si>
  <si>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Защита населения и территории от чрезвычайных ситуаций природного и техногенного характера, гражданская оборона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</si>
  <si>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</si>
  <si>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ППП</t>
  </si>
  <si>
    <t>"О районном бюджете Удомельского района на 2016 год"</t>
  </si>
  <si>
    <t>Расходы на выплаты персоналу казенных учреждений</t>
  </si>
  <si>
    <t>850</t>
  </si>
  <si>
    <t>Уплата налогов, сборов и иных платежей</t>
  </si>
  <si>
    <t>Финансовое обеспечение массовых мероприятий муниципального значения, способствующих духовно-нравственному воспитанию детей и формированию гражданской позиции</t>
  </si>
  <si>
    <t>Финансовое обеспечение мероприятий по формированию здорового образа жизни</t>
  </si>
  <si>
    <t>Организационно-методическое сопровождение организации и обеспечения подвоза учащихся и воспитанников общеобразовательных, дошкольных образовательных учреждений</t>
  </si>
  <si>
    <t xml:space="preserve"> Удомельского района от 17.12.2015 № 256</t>
  </si>
  <si>
    <t xml:space="preserve"> Приложение 1</t>
  </si>
  <si>
    <t>Удомельская городская Дума</t>
  </si>
  <si>
    <t>Председатель городской Думы</t>
  </si>
  <si>
    <t>плановый период</t>
  </si>
  <si>
    <t>2018 год</t>
  </si>
  <si>
    <t>2019 год</t>
  </si>
  <si>
    <t xml:space="preserve">"О  бюджете Удомельского городского округа </t>
  </si>
  <si>
    <t xml:space="preserve">Расходы, не включенные в муниципальные программы </t>
  </si>
  <si>
    <t>Расходы, не включенные в муниципальные программы</t>
  </si>
  <si>
    <t>0800000000</t>
  </si>
  <si>
    <t>0810000000</t>
  </si>
  <si>
    <t>Подпрограмма "Расселение аварийного жилищного фонда Удомельского городского округа"</t>
  </si>
  <si>
    <t>Подпрограмма "Капитальный ремонт общего имущества в многоквартирных домах на территории Удомельского городского округа"</t>
  </si>
  <si>
    <t>0510000000</t>
  </si>
  <si>
    <t>0520000000</t>
  </si>
  <si>
    <t>0530000000</t>
  </si>
  <si>
    <t>Уплата взносов на проведение капитального ремонта общего имущества в многоквартирных домах, в части муниципального жилищного фонда Удомельского городского округа</t>
  </si>
  <si>
    <t>0500000000</t>
  </si>
  <si>
    <t>Молодежная политика</t>
  </si>
  <si>
    <t>Дополнительное образование детей</t>
  </si>
  <si>
    <t>Подпрограмма "Управление имуществом Удомельского городского округа"</t>
  </si>
  <si>
    <t>Проведение инвентаризации муниципального имущества Удомельского городского округа</t>
  </si>
  <si>
    <t xml:space="preserve">Оценка рыночной стоимости объектов недвижимости и рыночной стоимости арендной платы за объекты муниципального имущества </t>
  </si>
  <si>
    <t>Обеспечение учета муниципального имущества для поддержки полной и достоверной информации об объектах, находящихся в собственности муниципального образования Удомельский городской округ</t>
  </si>
  <si>
    <t>Содержание объектов нежилого фонда муниципальной казны Удомельского городского округа</t>
  </si>
  <si>
    <t>Подпрограмма "Управление земельными ресурсами Удомельского городского округа"</t>
  </si>
  <si>
    <t>0320000000</t>
  </si>
  <si>
    <t>Организация работ по формированию земельных участков, в том числе по объектам жилищно-коммунального хозяйства</t>
  </si>
  <si>
    <t>Подпрограмма "Сохранность автомобильных дорог общего пользования местного значения на территории Удомельского городского округа"</t>
  </si>
  <si>
    <t>Подпрограмма "Поддержка средств массовой информации муниципального образования Удомельский городской округ"</t>
  </si>
  <si>
    <t>Формирование земельных участков для бесплатного предоставления многодетным гражданам</t>
  </si>
  <si>
    <t>Приобретение  жилых помещений для детей-сирот, детей, оставшихся без попечения родителей за счет средств областного бюджета Тверской области</t>
  </si>
  <si>
    <t>Финансирование расходов на борьбу с борщевиком Сосновского</t>
  </si>
  <si>
    <t>Предоставление субсидий муниципальным унитарным предприятиям коммунального хозяйства на возмещение нормативных затрат, связанных с оказанием ими услуг</t>
  </si>
  <si>
    <t>Сохранение и развитие библиотечного дела в Удомельском городском округе</t>
  </si>
  <si>
    <t>Подпрограмма "Культура Удомельского городского округа"</t>
  </si>
  <si>
    <t>Организация и проведение культурно-досуговых мероприятий и развитие народного творчества в Удомельском городском округе</t>
  </si>
  <si>
    <t>Развитие дополнительного образования в сфере культуры и искусства</t>
  </si>
  <si>
    <t>Популяризация и пропаганда деятельности по сохранению объектов культурного наследия Удомельского городского округа</t>
  </si>
  <si>
    <t xml:space="preserve"> Управление культуры, спорта и молодежной политики Администрации Удомельского городского округа</t>
  </si>
  <si>
    <t>Проведение официальных муниципальных физкультурно-оздоровительных и спортивных мероприятий для всех возрастных групп и категорий населения муниципального образования Удомельского городского округа</t>
  </si>
  <si>
    <t xml:space="preserve">Подпрограмма "Молодежь Удомельского городского округа" </t>
  </si>
  <si>
    <t>Организация и проведение творческих  мероприятий для детей и молодежи</t>
  </si>
  <si>
    <t xml:space="preserve">Подпрограмма "Противодействие незаконному обороту наркотиков, наркомании, алкоголизму, табакокурению и другим видам зависимости в Удомельском городском округе" </t>
  </si>
  <si>
    <t>Проведение мероприятий для подростков и молодежи, направленных на формирование здорового образа жизни и  негативного отношения к наркомании, алкоголизму , табакокурению. Поддержка детского и молодежного самодеятельного творчества</t>
  </si>
  <si>
    <t>Социальная реклама</t>
  </si>
  <si>
    <t>Финансовое обеспечение компенсации расходов на оплату жилых помещений, отопления и освещения педагогическим работникам образовательных учреждений, проживающим и работающим в сельских населенных пунктах Удомельского городского округа</t>
  </si>
  <si>
    <t>Финансовое обеспечение деятельности муниципального центра тестирования ГТО</t>
  </si>
  <si>
    <t>Содержание автомобильных дорог общего пользования регионального и межмуниципального значения Тверской области 3 класса на территории Удомельского городского округа</t>
  </si>
  <si>
    <t>Содержание улично-дорожной сети в городе Удомля</t>
  </si>
  <si>
    <t>Подпрограмма "Организации регулярных перевозок пассажиров и багажа автомобильным транспортом на территории Удомельского городского округа"</t>
  </si>
  <si>
    <t>Подпрограмма "Общественная безопасность и профилактика правонарушений на территории Удомельского городского округа"</t>
  </si>
  <si>
    <t>Обслуживание газового хозяйства северной части города Удомля</t>
  </si>
  <si>
    <t>Разработка и актуализация схем теплоснабжения, водоснабжения Удомельского городского округа</t>
  </si>
  <si>
    <t>Организация и содержание мест захоронений (кладбищ)</t>
  </si>
  <si>
    <t>Оформление и обустройство новых мест под захоронения</t>
  </si>
  <si>
    <t>Финансирование расходов по проведению субботников</t>
  </si>
  <si>
    <t>Изготовление наглядной агитации: памятки,плакаты,рекламные щиты</t>
  </si>
  <si>
    <t>9950000000</t>
  </si>
  <si>
    <t>Казенные учреждения, не включенные в муниципальные программы</t>
  </si>
  <si>
    <t>Администрация Удомельского городского округа</t>
  </si>
  <si>
    <t>Финансовое Управление Администрации Удомельского городского округа</t>
  </si>
  <si>
    <t>Дорожное хозяйство (дорожные фонды)</t>
  </si>
  <si>
    <t>Подпрограмма "Повышение пожарной безопасности на территории Удомельского городского округа"</t>
  </si>
  <si>
    <t>Контрольно-счетная комиссия Удомельского городского округа</t>
  </si>
  <si>
    <t>Подпрограмма "Физическая культура и спорт  Удомельского городского округа"</t>
  </si>
  <si>
    <t>Приобретение жилых помещений для малоимущих многодетных семей за счет местного бюджета</t>
  </si>
  <si>
    <t>Подпрограмма "Снижение рисков и смягчение последствий чрезвычайных ситуаций на территории Удомельского городского округа"</t>
  </si>
  <si>
    <t>Подпрограмма "Осуществление мероприятий по обеспечению безопасности людей на водных объектах Удомельского городского округа"</t>
  </si>
  <si>
    <t>Оснащение и модернизация сил и средств для оповещения населения об угрозе возникновения или о возникновении чрезвычайных ситуаций</t>
  </si>
  <si>
    <t>Организация и проведение акций, посвященных памятным датам истории России, государственным символам Российской Федерации</t>
  </si>
  <si>
    <t>Управление образования  Администрации Удомельского городского округа</t>
  </si>
  <si>
    <t>0210100000</t>
  </si>
  <si>
    <t>0230100000</t>
  </si>
  <si>
    <t>0810100000</t>
  </si>
  <si>
    <t>240</t>
  </si>
  <si>
    <t>Иные закупки товаров, работ и услуг для обеспечения государственных (муниципальных) нужд</t>
  </si>
  <si>
    <t>Задача "Сохранение и развитие культурного потенциала Удомельского городского округа"</t>
  </si>
  <si>
    <t>0920000000</t>
  </si>
  <si>
    <t>Организация транспортного обслуживания населения на муниципальных маршрутах регулярных перевозок по регулируемым тарифам на территории Удомельского городского округа</t>
  </si>
  <si>
    <t>Подпрограмма "Создание условий для формирования современной городской среды и обустройства мест массового отдыха населения (общественной территории) на территории Удомельского городского округа"</t>
  </si>
  <si>
    <t>Оснащение сил и средств гражданской обороны, создание материальных запасов</t>
  </si>
  <si>
    <t>1110100000</t>
  </si>
  <si>
    <t>1120100000</t>
  </si>
  <si>
    <t>1130100000</t>
  </si>
  <si>
    <t>Информирование населения по противодействию терроризму и экстремизму</t>
  </si>
  <si>
    <t>Задача "Создание необходимых условий для обеспечения безопасности людей на водных объектах Удомельского городского округа</t>
  </si>
  <si>
    <t>Информирование населения по безопасному нахождению на водных объектах</t>
  </si>
  <si>
    <t>Субсидии бюджетным учреждениям</t>
  </si>
  <si>
    <t>610</t>
  </si>
  <si>
    <t>1010100000</t>
  </si>
  <si>
    <t>1600000000</t>
  </si>
  <si>
    <t>1610000000</t>
  </si>
  <si>
    <t>Подпрограмма "Повышение безопасности дорожного движения на территории Удомельского городского округа"</t>
  </si>
  <si>
    <t>1610100000</t>
  </si>
  <si>
    <t>Задача "Профилактика дорожно-транспортных происшествий на территории Удомельского городского округа"</t>
  </si>
  <si>
    <t>Подпрограмма "Поддержка средств массовой информации муниципального образования  Удомельского городского округа"</t>
  </si>
  <si>
    <t>Задача "Создание эффективной системы обеспечения населения качественными и доступными услугами, поддержка отдельных категорий граждан"</t>
  </si>
  <si>
    <t>Задача "Обслуживание действующего емкостного газового хозяйства северной части города Удомля"</t>
  </si>
  <si>
    <t>0710100000</t>
  </si>
  <si>
    <t>0730100000</t>
  </si>
  <si>
    <t>1210100000</t>
  </si>
  <si>
    <t>Озеленение видовых и памятных мест на территории города, в том числе приобретение, посадка цветов, уход за ними, покос травы, стрижка кустов и спиливание деревьев</t>
  </si>
  <si>
    <t>Наружное оформление территорий города Удомля</t>
  </si>
  <si>
    <t>1220100000</t>
  </si>
  <si>
    <t>Задача "Содержание мест захоронений"</t>
  </si>
  <si>
    <t>1230100000</t>
  </si>
  <si>
    <t>Задача "Предотвращение и ликвидация вредного воздействия отходов производства и потребления на окружающую среду"</t>
  </si>
  <si>
    <t>0310100000</t>
  </si>
  <si>
    <t>Задача "Оптимизация состава муниципального имущества Удомельского городского округа"</t>
  </si>
  <si>
    <t>0310200000</t>
  </si>
  <si>
    <t>Задача "Повышение эффективности использования имущества, находящегося в собственности муниципального образования Удомельский городской округ"</t>
  </si>
  <si>
    <t>0320100000</t>
  </si>
  <si>
    <t>Бюджетные инвестиции</t>
  </si>
  <si>
    <t>410</t>
  </si>
  <si>
    <t>Социальные выплаты гражданам, кроме публичных нормативных социальных выплат</t>
  </si>
  <si>
    <t>Подпрограмма" Профилактика терроризма и экстремизма на территории Удомельского городского округа"</t>
  </si>
  <si>
    <t>Изготовление наглядной агитации: памятки, плакаты, рекламные щиты</t>
  </si>
  <si>
    <t>Задача "Содержание и озеленение территории города Удомля"</t>
  </si>
  <si>
    <t>0210200000</t>
  </si>
  <si>
    <t>Задача "Укрепление и модернизация материально-технической базы муниципальных учреждений культуры Удомельского городского округа"</t>
  </si>
  <si>
    <t>0210300000</t>
  </si>
  <si>
    <t>Задача "Сохранение культурного наследия Удомельского городского округа"</t>
  </si>
  <si>
    <t>0220100000</t>
  </si>
  <si>
    <t>Задача "Развитие массового спорта и физкультурно-оздоровительного движения среди всех возрастных групп и категорий населения Удомельского городского округа, включая лиц с ограниченными физическими возможностями и инвалидов"</t>
  </si>
  <si>
    <t>0230200000</t>
  </si>
  <si>
    <t>Задача "Создание условий для повышения качества и разнообразия услуг, предоставляемых в сфере молодежной политики, удовлетворения потребностей в развитии и реализации духовного потенциала молодежи"</t>
  </si>
  <si>
    <t>320</t>
  </si>
  <si>
    <t>Расходы на руководство и управление администратора программы (Управление культуры, спорта и молодежной политики Администрации Удомельского городского округа)</t>
  </si>
  <si>
    <t>0510100000</t>
  </si>
  <si>
    <t>Содержания муниципальных жилых помещений до момента их предоставления в пользование гражданам</t>
  </si>
  <si>
    <t>Задача  "Обеспечение содержания и сохранности муниципального жилищного фонда"</t>
  </si>
  <si>
    <t>Задача  "Проведение текущего ремонта жилых помещений муниципального жилищного фонда"</t>
  </si>
  <si>
    <t>0520100000</t>
  </si>
  <si>
    <t>Задача "Выявление аварийного жилищного фонда"</t>
  </si>
  <si>
    <t>Обследование многоквартирных домов, домов блокированной застройки, в которых находится муниципальная собственность Удомельского городского округа, для признания таких домов аварийными, подлежащими сносу или реконструкции, а также муниципальных жилых помещений для признания пригодными (не пригодными) для проживания граждан</t>
  </si>
  <si>
    <t>0520200000</t>
  </si>
  <si>
    <t xml:space="preserve"> Наименование</t>
  </si>
  <si>
    <t xml:space="preserve"> Бюджетные инвестиции</t>
  </si>
  <si>
    <t>Снос аварийных многоквартирных домов и домов блокированной застройки</t>
  </si>
  <si>
    <t>0530100000</t>
  </si>
  <si>
    <t>0530200000</t>
  </si>
  <si>
    <t>1310100000</t>
  </si>
  <si>
    <t>Задача "Содействие в решении жилищных проблем малоимущих многодетных семей"</t>
  </si>
  <si>
    <t>1310200000</t>
  </si>
  <si>
    <t>1320200000</t>
  </si>
  <si>
    <t>310</t>
  </si>
  <si>
    <t>Публичные нормативные социальные выплаты гражданам</t>
  </si>
  <si>
    <t>Задача "Социальная поддержка старшего поколения"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</si>
  <si>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</si>
  <si>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0110200000</t>
  </si>
  <si>
    <t>0110300000</t>
  </si>
  <si>
    <t>Расходы на обеспечение деятельности казенного учреждения Централизованная бухгалтерия</t>
  </si>
  <si>
    <t>Содержание казенных учреждений</t>
  </si>
  <si>
    <t>Финансовое обеспечение муниципального задания на оказание муниципальных услуг (выполнение работ) муниципальных бюджетных общеобразовательных учреждений</t>
  </si>
  <si>
    <t>0120100000</t>
  </si>
  <si>
    <t>Судебная система</t>
  </si>
  <si>
    <t>1210200000</t>
  </si>
  <si>
    <t>Задача "Благоустройство и наружное оформление территории города Удомля"</t>
  </si>
  <si>
    <t>1140100000</t>
  </si>
  <si>
    <t>Задача "Осуществление подготовки и содержания в готовности необходимых сил и средств для защиты населения и территории Удомельского городского округа от чрезвычайных ситуаций"</t>
  </si>
  <si>
    <t>Задача "Эффективное управление муниципальными унитарными предприятиями"</t>
  </si>
  <si>
    <t>Выполнение работ по содержанию автомобильных дорог общего пользования местного значения и сооружений на них, нацеленное на обеспечение их проезжаемости и безопасности до сельских населенных пунктов"</t>
  </si>
  <si>
    <t>0910100000</t>
  </si>
  <si>
    <t>Задача "Развитие автомобильного транспорта"</t>
  </si>
  <si>
    <t>Подпрограмма "Содержание и ремонт муниципального жилищного фонда Удомельского городского округа"</t>
  </si>
  <si>
    <t>0510200000</t>
  </si>
  <si>
    <t>Определение стоимости возмещения за жилое помещение в аварийном жилищном фонде Удомельского городского округа</t>
  </si>
  <si>
    <t xml:space="preserve">Подпрограмма "Предоставление субсидий муниципальным унитарным предприятиям на возмещение нормативных затрат, связанных с оказанием ими услуг, юридическим лицам (за исключением субсидий государственным (муниципальным) учреждениям), индивидуальным предпринимателям, оказывающим услуги для граждан" </t>
  </si>
  <si>
    <t>1310300000</t>
  </si>
  <si>
    <t>Задача "Осуществление взаимодействия с общественными организациями по реализации социально значимых мероприятий"</t>
  </si>
  <si>
    <t>Задача "Распределение объемов энергоресурсов на инженерных сетях Удомельского городского округа"</t>
  </si>
  <si>
    <t>Задача "Создание необходимых условий по обеспечению пожарной безопасности на территории  Удомельского городского округа"</t>
  </si>
  <si>
    <t>Санитарная очистка города (сбор, вывоз, утилизация ТКО и КГМ)</t>
  </si>
  <si>
    <t>09201S0300</t>
  </si>
  <si>
    <t>13101S0290</t>
  </si>
  <si>
    <t>Задача "Содержание автомобильных дорог и сооружений на них в границах Удомельского городского округа"</t>
  </si>
  <si>
    <t>Финансовое обеспечение мероприятий по подвозу учащихся из средств областного бюджета</t>
  </si>
  <si>
    <t>Задача "Организация и проведение патриотических и творческих мероприятий"</t>
  </si>
  <si>
    <t>Задача "Эффективное управление и распоряжение муниципальными земельными участками и земельными участками, государственная собственность на которые не разграничена"</t>
  </si>
  <si>
    <t>Задача "Реализация механизма проведения капитального ремонта общего имущества в многоквартирных домах, в соответствии с действующим законодательством Российской Федерации"</t>
  </si>
  <si>
    <t>Задача "Проведение профилактических мероприятий по предупреждению террористических и экстремистских проявлений на территории Удомельского городского округа"</t>
  </si>
  <si>
    <t>Приобретение  жилых помещений для детей-сирот, детей, оставшихся без попечения родителей</t>
  </si>
  <si>
    <t>Задача "Проведение работы по профилактике распространения наркомании, алкоголизма и связанных с ними правонарушений</t>
  </si>
  <si>
    <t xml:space="preserve"> Приложение 6</t>
  </si>
  <si>
    <t>Повышение заработной платы работникам муниципальных учреждений культуры  из бюджета Удомельского городского округа</t>
  </si>
  <si>
    <t>Повышение заработной платы из областного бюджета работникам учреждений дополнительного образования в сфере культуры и искусства Удомельского городского округа</t>
  </si>
  <si>
    <t>Повышение заработной платы работникам учреждений дополнительного образования в сфере культуры и искусства из бюджета Удомельского городского округа</t>
  </si>
  <si>
    <t xml:space="preserve">Реализация мероприятий по благоустройству общественных территорий </t>
  </si>
  <si>
    <t xml:space="preserve">Предоставление молодым семьям Удомельского городского округа социальных выплат на приобретение (строительство) жилья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</si>
  <si>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товаров,работ,услуг</t>
  </si>
  <si>
    <t>код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</si>
  <si>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</si>
  <si>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</si>
  <si>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</si>
  <si>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</si>
  <si>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</si>
  <si>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</si>
  <si>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</si>
  <si>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Уменьшение прочих остатков денежных средств бюджетов городских округов</t>
  </si>
  <si>
    <t xml:space="preserve"> Итого источники финансирования дефицита бюджета </t>
  </si>
  <si>
    <t>Содержание светофорного регулирования</t>
  </si>
  <si>
    <t>Предоставление субсидий юридическим лицам (за исключением субсидий государственным (муниципальным)учреждениям), индивидуальным предпринимателям, оказывающим банно-прачечные услуги для отдельной  категорий граждан в городе Удомля</t>
  </si>
  <si>
    <t>13103L4970</t>
  </si>
  <si>
    <t>Задача "Обеспечение жильем молодых семей Удомельского городского округа "</t>
  </si>
  <si>
    <t>0110100000</t>
  </si>
  <si>
    <t>Страхование газового хозяйства северной части города Удомля</t>
  </si>
  <si>
    <t>Задача "Содержание действующего емкостного газового хозяйства северной части города Удомля"</t>
  </si>
  <si>
    <t>Проведение текущего ремонта муниципального жилого фонда</t>
  </si>
  <si>
    <t>13102R0820</t>
  </si>
  <si>
    <t>Задача "Вовлечение земельных участков в хозяйственный оборот"</t>
  </si>
  <si>
    <t>Задача "Профилактика  совершения правонарушений и преступлений в общественных местах"</t>
  </si>
  <si>
    <t>Предоставление компенсаций членам добровольной народной дружины Удомельского городского округа, участвовавшим в охране общественного порядка</t>
  </si>
  <si>
    <t>Нанесение осевой горизонтальной разметки  на территории  Удомельского городского округа</t>
  </si>
  <si>
    <t>0320200000</t>
  </si>
  <si>
    <t>Подпрограмма "Развитие инженерных сетей округа"</t>
  </si>
  <si>
    <t>09101S1050</t>
  </si>
  <si>
    <t>Выполнение работ по ремонту дорог общего пользования</t>
  </si>
  <si>
    <t>Ремонт автомобильных дорог за счет средств областного бюджета</t>
  </si>
  <si>
    <t>Ремонт дворовых территорий многоквартирных домов, проездов к дворовым территориям многоквартирных домов</t>
  </si>
  <si>
    <t>09101S1020</t>
  </si>
  <si>
    <t>Ремонт дворовых территорий многоквартирных домов, проездов к дворовым территориям многоквартирных домов за счет средств областного бюджета</t>
  </si>
  <si>
    <t>Обеспечение безопасности дорожного движения на автомобильных дорогах общего пользования местного значения за счет средств областного бюджета</t>
  </si>
  <si>
    <t>141F255552</t>
  </si>
  <si>
    <t xml:space="preserve">Обеспечение безопасности дорожного движения на автомобильных дорогах общего пользования местного значения </t>
  </si>
  <si>
    <t>Повышение заработной платы из областного бюджета работникам муниципальных учреждений культуры Удомельского городского округа</t>
  </si>
  <si>
    <t xml:space="preserve">Предоставление субсидии  из бюджета Удомельского  городского округа на поддержку некоммерческих организаций </t>
  </si>
  <si>
    <t>141F254240</t>
  </si>
  <si>
    <t>Создание комфортной городской среды в малых городах - победителях Всероссийского конкурса лучших проектов создания комфортной городской среды</t>
  </si>
  <si>
    <t>161R3S1090</t>
  </si>
  <si>
    <t>161R311090</t>
  </si>
  <si>
    <t>350</t>
  </si>
  <si>
    <t>Премии и гранты</t>
  </si>
  <si>
    <t>2022 год</t>
  </si>
  <si>
    <t xml:space="preserve">Приобретение информационно-пропагандической продукции по безопасности дорожного движения </t>
  </si>
  <si>
    <t>Размещение социальной рекламы по безопасности дорожного движения</t>
  </si>
  <si>
    <t>Муниципальные программы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</si>
  <si>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</si>
  <si>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Подпрограмма "Реализация Программы поддержки местных инициатив Тверской области на территории Удомельского городского округа"</t>
  </si>
  <si>
    <t>Пенсии за выслугу лет муниципальным служащим</t>
  </si>
  <si>
    <t>Задача "Повышение уровня благоустройства общественных территорий  в соответствии с едиными требованиями и внедрение цифровых сервисов и современных технологий, направленных на создание благоприятной (комфортной) городской среды"</t>
  </si>
  <si>
    <t>Осуществление переданных полномочий Российской Федерации на государственную регистрацию актов гражданского состояния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</si>
  <si>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</si>
  <si>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</si>
  <si>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Разработка проектно - сметной документации</t>
  </si>
  <si>
    <t>0730200000</t>
  </si>
  <si>
    <t>Задача "Проведение капитального ремонта объектов теплоэнергетических комплексов"</t>
  </si>
  <si>
    <t>0720000000</t>
  </si>
  <si>
    <t>Замена светильников на современные энергосберегающие</t>
  </si>
  <si>
    <t>Строительство объектов водоснабжения и водоотведения</t>
  </si>
  <si>
    <t>Обеспечение комплексной безопасности зданий и помещений дошкольных образовательных учреждений, находящихся в муниципальной собственности</t>
  </si>
  <si>
    <t>к решению Удомельской городской Думы</t>
  </si>
  <si>
    <t>Организация бесплатного горячего питания обучающихся, получающих начальное общее образование в муниципальных образовательных учреждениях</t>
  </si>
  <si>
    <t>2023 год</t>
  </si>
  <si>
    <t>Защита населения и территории от чрезвычайных ситуаций природного и техногенного характера,  пожарная безопасность</t>
  </si>
  <si>
    <t>Ремонт автомобильных дорог на территории г.Удомля</t>
  </si>
  <si>
    <t>Поддержка волонтерского движения</t>
  </si>
  <si>
    <t>Ремонт (капитальный ремонт) тротуаров на территории г.Удомля</t>
  </si>
  <si>
    <t>Муниципальная программа "Создание условий для экономического развития Удомельского городского округа на 2022-2027 годы"</t>
  </si>
  <si>
    <t>141F200000</t>
  </si>
  <si>
    <t>Задача "Реализация  проекта "Формирование комфортной городской среды" в рамках национального проекта "Жилье и городская среда"</t>
  </si>
  <si>
    <t>Обеспечение государственных гарантий реализации прав на получение бесплатного дошкольного образования  за счет средств областного бюджета</t>
  </si>
  <si>
    <t>0110110740</t>
  </si>
  <si>
    <t>Финансовое обеспечение муниципального задания на оказание муниципальных услуг (выполнение работ) муниципальных бюджетных образовательных учреждений дошкольного образования</t>
  </si>
  <si>
    <t>0110121100</t>
  </si>
  <si>
    <t>Задача "Развитие инфраструктуры дошкольных образовательных учреждений"</t>
  </si>
  <si>
    <t>Финансовое обеспечение мероприятий капитального и (или) текущего ремонтов муниципальных дошкольных образовательных учреждений</t>
  </si>
  <si>
    <t>0110221210</t>
  </si>
  <si>
    <t>0110221220</t>
  </si>
  <si>
    <t>Задача " Содействие развитию системы дошкольного образования"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</si>
  <si>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</si>
  <si>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0110310500</t>
  </si>
  <si>
    <t>Подпрограмма "Развитие системы дошкольного образования"</t>
  </si>
  <si>
    <t>Задача "Обеспечение качества условий предоставления образовательных услуг учреждениями дошкольного образования"</t>
  </si>
  <si>
    <t>Задача "Обеспечение качества условий предоставления образовательных услуг муниципальными бюджетными общеобразовательными учреждениямиг"</t>
  </si>
  <si>
    <t>Обеспечение государственных гарантий реализации прав на получение бесплатного начального общего, основного общего и среднего общего образования  за счет средств областного бюджета</t>
  </si>
  <si>
    <t>0120110750</t>
  </si>
  <si>
    <t>0120121100</t>
  </si>
  <si>
    <t xml:space="preserve"> Ежемесячное денежное вознаграждение за классное руководство педагогическим работникам муниципальных образовательных учреждений</t>
  </si>
  <si>
    <t>0120153031</t>
  </si>
  <si>
    <t>Задача "Развитие инфраструктуры муниципальных общеобразовательных учреждений"</t>
  </si>
  <si>
    <t>0120200000</t>
  </si>
  <si>
    <t>0120221210</t>
  </si>
  <si>
    <t>Финансовое обеспечение мероприятий капитального и (или) текущего ремонтов муниципальных  общеобразовательных учреждений</t>
  </si>
  <si>
    <t>0120221220</t>
  </si>
  <si>
    <t xml:space="preserve"> Обеспечение комплексной безопасности зданий и помещений общеобразовательных учреждений, находящихся в муниципальной собственности</t>
  </si>
  <si>
    <t>0120300000</t>
  </si>
  <si>
    <t>0120310250</t>
  </si>
  <si>
    <t>01203S0250</t>
  </si>
  <si>
    <t>0120321260</t>
  </si>
  <si>
    <t>0120400000</t>
  </si>
  <si>
    <t>Задача "Обеспечение деятельности по сохранению и укреплению здоровья школьников, формирование основ здорового образа жизни"</t>
  </si>
  <si>
    <t>01204L3040</t>
  </si>
  <si>
    <t>01204S0240</t>
  </si>
  <si>
    <t xml:space="preserve"> Финансирование обеспечение отдыха, оздоровления и занятости детей и подростков</t>
  </si>
  <si>
    <t>0120410240</t>
  </si>
  <si>
    <t>0130000000</t>
  </si>
  <si>
    <t>Подпрограмма "Развитие системы дополнительного образования и воспитания детей"</t>
  </si>
  <si>
    <t>Задача "Обеспечение качества условий предоставления образовательных услуг учреждениями дополнительного образования"</t>
  </si>
  <si>
    <t xml:space="preserve"> Финансовое обеспечение муниципального задания на оказание муниципальных услуг (выполнение работ) муниципальных бюджетных учреждений дополнительного образования</t>
  </si>
  <si>
    <t>0130121100</t>
  </si>
  <si>
    <t>0130100000</t>
  </si>
  <si>
    <t>0130110690</t>
  </si>
  <si>
    <t xml:space="preserve"> Финансовое обеспечение повышения заработной платы педагогическим работникам  муниципальных бюджетных учреждений дополнительного образования за счет средств областного бюджета</t>
  </si>
  <si>
    <t>01301S0690</t>
  </si>
  <si>
    <t xml:space="preserve"> Финансовое обеспечение повышения заработной платы педагогическим работникам  муниципальных бюджетных учреждений дополнительного образования за счет средств бюджета округа</t>
  </si>
  <si>
    <t>Задача "Развитие инфраструктуры учреждений дополнительного образования"</t>
  </si>
  <si>
    <t>0130200000</t>
  </si>
  <si>
    <t>0130221220</t>
  </si>
  <si>
    <t xml:space="preserve"> Обеспечение комплексной безопасности зданий и помещений учреждений дополнительного образования, находящихся в муниципальной собственности</t>
  </si>
  <si>
    <t>Задача "Обеспечение доступности  направлений дополнительного образования"</t>
  </si>
  <si>
    <t>0130300000</t>
  </si>
  <si>
    <t>Финансовое обеспечение участия в спортивных мероприятиях регионального,всероссийского, международного уровней</t>
  </si>
  <si>
    <t>0130321400</t>
  </si>
  <si>
    <t>0130321500</t>
  </si>
  <si>
    <t>Финансовое обеспечение муниципального мероприятия "День защиты детей"</t>
  </si>
  <si>
    <t>Подпрограмма "Создание современной образовательной среды"</t>
  </si>
  <si>
    <t>0140000000</t>
  </si>
  <si>
    <t>0140100000</t>
  </si>
  <si>
    <t>Финансовое обеспечение поощрения лучших педагогов,работающих в муниципальной сети профильных курсов</t>
  </si>
  <si>
    <t>Финансовое обеспечение участия педагогов и обучающихся в региональных и межрегиональных мероприятиях в рамках регионального проекта "Цифровая образовательная среда"</t>
  </si>
  <si>
    <t>0140200000</t>
  </si>
  <si>
    <t>Задача "Создание условий для непрывного развития кадрового потенциала отрасли "Образование"</t>
  </si>
  <si>
    <t>0140300000</t>
  </si>
  <si>
    <t>01403S1080</t>
  </si>
  <si>
    <t>Финансовое обеспечение участия детей и подростков в социально-значимых региональных проектах из бюджета Удомельского городского округа</t>
  </si>
  <si>
    <t xml:space="preserve"> Организация участия детей и подростков в социально-значимых региональных проектах</t>
  </si>
  <si>
    <t xml:space="preserve"> Расходы на руководство и управление главного администратора программы (Управление образования Администрации Удомельского городского округа)</t>
  </si>
  <si>
    <t>02101S0680</t>
  </si>
  <si>
    <t>Задача "Развитие художественно-эстетического округа"</t>
  </si>
  <si>
    <t>02102S0690</t>
  </si>
  <si>
    <t>02103L4670</t>
  </si>
  <si>
    <t>Финансовое обеспечение мероприятий капитального и (или) текущего ремонтов муниципальных  учреждений культуры</t>
  </si>
  <si>
    <t>0210321210</t>
  </si>
  <si>
    <t>0210400000</t>
  </si>
  <si>
    <t>Задача "Укрепление и модернизация материально-технической базы муниципальных учреждений дополнительного образования в сфере культуры и искусства Удомельского городского округа"</t>
  </si>
  <si>
    <t>0210421210</t>
  </si>
  <si>
    <t>Финансовое обеспечение мероприятий капитального и (или) текущего ремонтов муниципальных  учреждений дополнительного образования в сфере культуры и искусства</t>
  </si>
  <si>
    <t>021А200000</t>
  </si>
  <si>
    <t>Задача "Реализация  проекта "Творческие люди" в рамках национального проекта "Культура"</t>
  </si>
  <si>
    <t>Государственная поддержка отрасли культуры (в части оказания государственной поддержки лучшим работникам сельских учреждений культуры)</t>
  </si>
  <si>
    <t>021А255194</t>
  </si>
  <si>
    <t>0210600000</t>
  </si>
  <si>
    <t>0210623035</t>
  </si>
  <si>
    <t>0220123040</t>
  </si>
  <si>
    <t>0220123045</t>
  </si>
  <si>
    <t>0230123050</t>
  </si>
  <si>
    <t>0230123055</t>
  </si>
  <si>
    <t>0230123060</t>
  </si>
  <si>
    <t>0230123065</t>
  </si>
  <si>
    <t xml:space="preserve"> Финансовое обеспечение мероприятий капитального и (или) текущего ремонтов муниципальных  учреждений  в сфере молодежной политики</t>
  </si>
  <si>
    <t>Задача "Укрепление и модернизация материально-технической базы муниципальных учреждений  в сфере молодежной политикиУдомельского городского округа"</t>
  </si>
  <si>
    <t>0230300000</t>
  </si>
  <si>
    <t>0310123171</t>
  </si>
  <si>
    <t>0310223172</t>
  </si>
  <si>
    <t>0310223173</t>
  </si>
  <si>
    <t>0320123190</t>
  </si>
  <si>
    <t>0320223195</t>
  </si>
  <si>
    <t>Подпрограмма "Создание условий для развития экономического потенциала и формирования благоприятного предпринимательского климата"</t>
  </si>
  <si>
    <t>Задача "Предотвращение распространения борщевика Сосновского на территории Удомельского городского округа"</t>
  </si>
  <si>
    <t>2024 год</t>
  </si>
  <si>
    <t>Распределение бюджетных ассигнований  бюджета  Удомельского городского округа по разделам и подразделам классификации расходов бюджета на 2022 год  и на плановый период 2023 и 2024 годов</t>
  </si>
  <si>
    <t>на 2022 год и на плановый период 2023 и 2024 годов"</t>
  </si>
  <si>
    <t>Источники финансирования дефицита бюджета Удомельского городского округа  на 2022 год  и на плановый период 2023 и 2024 годов</t>
  </si>
  <si>
    <t>04101223205</t>
  </si>
  <si>
    <t xml:space="preserve"> Привлечение субъектов малого и среднего предпринимательства к участию в выставках, ярмарках, конкурсах, мероприятиях, проводимых на территории Удомельского городского округа</t>
  </si>
  <si>
    <t xml:space="preserve"> Создание и развитие школы малого и среднего предпринимательства</t>
  </si>
  <si>
    <t>Задача "Управление качеством образования"</t>
  </si>
  <si>
    <t>Задача "Развитие и поддержка субъектов малого и среднего предпринимательства и самозанятых в Удомельском городском округе"</t>
  </si>
  <si>
    <t>Задача "Расширение доступа субъектов малого и среднего предпринимательства и самозанятых к финансовым ресурсам"</t>
  </si>
  <si>
    <t>Предоставление гранта в форме субсидии начинающим субъектам предпринимательства на создание собственного дела</t>
  </si>
  <si>
    <t>0410300000</t>
  </si>
  <si>
    <t>Предоставление гранта в форме субсидии субъектам малого и среднего предпринимательства на создание и развитие крестьянского (фермерского) хозяйства</t>
  </si>
  <si>
    <t>Предоставление субсидий субъектам малого и среднего предпринимательства - сельскохозяйственным кооперативам и крестьянским (фермерским) хозяйствам на проведение профилактических, противоэпизодических, противоинфекционных мероприятий</t>
  </si>
  <si>
    <t>Предоставление субсидий субъектам малого и среднего предпринимательства - сельскохозяйственным кооперативам и крестьянским (фермерским) хозяйствам на оказание поддержки по сохранению поголовья сельскохозяйственных животных</t>
  </si>
  <si>
    <t>Задача "Повышение качества,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области, местного самоуправления Удомельского городского округа в печатных изданиях"</t>
  </si>
  <si>
    <t>04201S0320</t>
  </si>
  <si>
    <t xml:space="preserve">Предоставление субсидии из областного бюджета на поддержку некоммерческих организаций </t>
  </si>
  <si>
    <t xml:space="preserve">Подпрограмма "Предоставление субсидий муниципальным унитарным предприятиям на возмещение нормативных затрат, связанных с оказанием ими услуг, юридическим лицам (за исключением субсидий государственным (муниципальным) учреждениям), индивидуальным предпринимателям,физическим лицам, оказывающим услуги для граждан" </t>
  </si>
  <si>
    <t>Другие вопросы в области жилищно-коммунального хозяйства</t>
  </si>
  <si>
    <t>Предоставление субсидий юридическим лицам (за исключением субсидий государственным (муниципальным) учреждениям), индивидуальным предпринимателям,физическим лицам, оказывающим  услуги туалета общественного пользования  в городе Удомля</t>
  </si>
  <si>
    <t>0510123251</t>
  </si>
  <si>
    <t>0510223252</t>
  </si>
  <si>
    <t>0520123263</t>
  </si>
  <si>
    <t>Разработка проектно-сметной документации</t>
  </si>
  <si>
    <t>Задача "Переселение граждан из  аварийного жилищного фонда"</t>
  </si>
  <si>
    <t>Предоставление собственникам жилых помещений в аварийном жилищном фонде возмещения за жилое помещение</t>
  </si>
  <si>
    <t>Приобретение жилых помещений для предоставления гражданам, по договорам социального найма,проживающим в аварийном жилищном фонде</t>
  </si>
  <si>
    <t>0520223266</t>
  </si>
  <si>
    <t>Задача "Проведение капитального ремонта общего имущества в многоквартирных домах на территории Удомельского городского округа"</t>
  </si>
  <si>
    <t>Проведение капитального ремонта общего имущества в многоквартирных домах на территории Удомельского городского округа</t>
  </si>
  <si>
    <t>0610123075</t>
  </si>
  <si>
    <t>Задача  "Обеспечение снижения негативного воздействия от несанкционированного размещения твердых коммунальных отходов на окружающую среду"</t>
  </si>
  <si>
    <t>Подпрограмма "Организация мероприятий по охране окружающей среды в границах Удомельского городского округа"</t>
  </si>
  <si>
    <t>0710123351</t>
  </si>
  <si>
    <t>0710223352</t>
  </si>
  <si>
    <t>0710200000</t>
  </si>
  <si>
    <t>0720100000</t>
  </si>
  <si>
    <t>0720123361</t>
  </si>
  <si>
    <t>Выполнение работ по разработке проектно-сметной документации</t>
  </si>
  <si>
    <t>0720123362</t>
  </si>
  <si>
    <t>07202S0700</t>
  </si>
  <si>
    <t>0720200000</t>
  </si>
  <si>
    <t>Подпрограмма "Организация коммунального хозяйства Удомельского городского округа"</t>
  </si>
  <si>
    <t>Развитие, модернизация и капитальный ремонт объектов коммунальной инфраструктуры</t>
  </si>
  <si>
    <t>0730123371</t>
  </si>
  <si>
    <t>0730223372</t>
  </si>
  <si>
    <t>Подпрограмма "Реализация Генерального плана и Правил землепользования и застройки  на территории Удомельского городского округа "</t>
  </si>
  <si>
    <t>Задача "Внесение в ЕГРН сведений о границах населенных пунктов и территориальных зон на основании Генерального плана и Правил землепользования и застройки на территории Удомельского городского округа"</t>
  </si>
  <si>
    <t>0810123101</t>
  </si>
  <si>
    <t>Разработка материалов по описанию границ функциональных зон Ж-1; Ж-3; О-1; О-2; О-3 на  территории Удомельского городского округа на основании Правил землепользования и застройки  Удомельского городского округа</t>
  </si>
  <si>
    <t>Разработка материалов по описанию границ функциональных зон П-1; П-2; Т-1; Т-2;  на  территории Удомельского городского округа на основании Правил землепользования и застройки Удомельского городского округа</t>
  </si>
  <si>
    <t>Разработка материалов по описанию границ функциональных зон Р-1; Р-2; Р-4;С-1; Т-2; С-3; С-4; СХ-2; СХ-3 на  территории Удомельского городского округа на основании Правил землепользования и застройки Удомельского городского округа</t>
  </si>
  <si>
    <t>0910111020</t>
  </si>
  <si>
    <t>0910111050</t>
  </si>
  <si>
    <t>Приобретение свидетельств, карт маршрутов на транспортные средства по регулярным и нерегулируемым маршрутам перевозок на территории Удомельского городского округа</t>
  </si>
  <si>
    <t>1010123081</t>
  </si>
  <si>
    <t>1020000000</t>
  </si>
  <si>
    <t>1020100000</t>
  </si>
  <si>
    <t xml:space="preserve">Обеспечение первичных мер пожарной безопасности на территории Удомельского городского округа </t>
  </si>
  <si>
    <t>Содержание и благоустройство видовых и памятных мест  Удомельского городского округа</t>
  </si>
  <si>
    <t>Задача "Определение потребности в обустройстве новых мест захоронения на территории города Удомля"</t>
  </si>
  <si>
    <t>1220200000</t>
  </si>
  <si>
    <t>1230123535</t>
  </si>
  <si>
    <t>1230123540</t>
  </si>
  <si>
    <t>1230123545</t>
  </si>
  <si>
    <t>1240000000</t>
  </si>
  <si>
    <t>Подпрограмма "Энергосбережение и повышение энергетической эффективности территории Удомельского городского округа"</t>
  </si>
  <si>
    <t>Задача "Энергосбережение и повышение энергетической эффективности при обеспечении уличного освещения территории Удомельского городского округа"</t>
  </si>
  <si>
    <t>1240100000</t>
  </si>
  <si>
    <t>1240123550</t>
  </si>
  <si>
    <t>Выполнение работ по выявлению  и устранению неучтенных точек подключения уличного освещения, установка (замена) счетчиков</t>
  </si>
  <si>
    <t>1240123560</t>
  </si>
  <si>
    <t>1240200000</t>
  </si>
  <si>
    <t>Задача "Строительство, восстановление, ремонт внешних и внутренних сетей электроснабжения "</t>
  </si>
  <si>
    <t>1240300000</t>
  </si>
  <si>
    <t>1240323580</t>
  </si>
  <si>
    <t>1240323585</t>
  </si>
  <si>
    <t xml:space="preserve"> Содержание сетей уличного освещения</t>
  </si>
  <si>
    <t>Обеспечение уличного освещения  на территории Удомельского городского округа</t>
  </si>
  <si>
    <t>1240223570</t>
  </si>
  <si>
    <t>Разработка проектно-сметной документации на проведение работ по восстановлению, ремонту внешних и внутренних сетей электроснабжения</t>
  </si>
  <si>
    <t>1320100000</t>
  </si>
  <si>
    <t>161R300000</t>
  </si>
  <si>
    <t>Задача "Реализация  проекта "Безопасность дорожного движения" в рамках национального проекта "Безопасные и качественные автомобильные дороги"</t>
  </si>
  <si>
    <t>1610123145</t>
  </si>
  <si>
    <t>Разработка проекта организации дорожного движения</t>
  </si>
  <si>
    <t>1610123150</t>
  </si>
  <si>
    <t>1610123155</t>
  </si>
  <si>
    <t>1610123160</t>
  </si>
  <si>
    <t>1610123165</t>
  </si>
  <si>
    <t>9940026300</t>
  </si>
  <si>
    <t>9950022600</t>
  </si>
  <si>
    <t>9950022700</t>
  </si>
  <si>
    <t xml:space="preserve"> Расходы на обеспечение деятельности муниципального казенного учреждения "Управление административно-хозяйственного обеспечения"</t>
  </si>
  <si>
    <t>9950022800</t>
  </si>
  <si>
    <t>Расходы на обеспечение деятельности муниципального казенного учреждения  "Управление по делам гражданской обороны и чрезвычайным ситуациям УГО"</t>
  </si>
  <si>
    <t xml:space="preserve">Ведомственная структура расходов  бюджета Удомельского городского округа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 видов расходов классификации  расходов бюджетов на  2022 год и на плановый период 2023 и 2024 годов                                                  </t>
  </si>
  <si>
    <t>Распределение бюджетных ассигнований по целевым статьям  (муниципальным программам и непрограммным направлениям деятельности), 
группам видов расходов, классификации расходов бюджета на 2022 год и на плановый период 2023 и 2024 годов</t>
  </si>
  <si>
    <t>1500000000</t>
  </si>
  <si>
    <t>Расходы на реализацию программ по поддержке местных инициатив  за счет средств местного бюджета, поступлений от юридических лиц и вкладов граждан</t>
  </si>
  <si>
    <t>Задача "Благоустройство территории Удомельского городского округа в рамках реализации программы поддержки местных инициатив"</t>
  </si>
  <si>
    <t>15103S9000</t>
  </si>
  <si>
    <t>Подпрограмма "Реализация мероприятий поддержки общественных и гражданских инициатив  на территории Удомельского городского округа"</t>
  </si>
  <si>
    <t>0610123080</t>
  </si>
  <si>
    <t>Организация видео-фото наблюдения на территории Удомельского  городского округа</t>
  </si>
  <si>
    <t>Подпрограмма "Реализация Генерального плана и Правил землепользования и застройки  на территории Удомельского городского округа"</t>
  </si>
  <si>
    <t>Подпрограмма "Организация газоснабжения северной части города Удомля "</t>
  </si>
  <si>
    <t>0710223353</t>
  </si>
  <si>
    <t>Экспертиза промышленной безопасности технического устройства газового оборудования</t>
  </si>
  <si>
    <t>Подпрограмма "Организация газоснабжения северной части города Удомля"</t>
  </si>
  <si>
    <t>0120421600</t>
  </si>
  <si>
    <t>Финансовое обеспечение бесплатным питанием обучающихся с ограниченными возможностями здоровья в муниципальных общеобразовательных учреждениях</t>
  </si>
  <si>
    <t>0140121270</t>
  </si>
  <si>
    <t>0140221280</t>
  </si>
  <si>
    <t>0140221300</t>
  </si>
  <si>
    <t>0120423005</t>
  </si>
  <si>
    <t>0140123010</t>
  </si>
  <si>
    <t>0140123015</t>
  </si>
  <si>
    <t>0130321250</t>
  </si>
  <si>
    <t>Подпрограмма "Развитие системы начального общего, основного общего и среднего общего образования"</t>
  </si>
  <si>
    <t>Задача "Приобретение жилых помещений для детей-сирот, детей оставшихся без попечения родителей, лиц из их числа для обеспечения их жилыми помещениями по договорам найма специализированных жилых помещений"</t>
  </si>
  <si>
    <t>Задача "Капитальный ремонт и/или ремонт автомобильных дорог на территории Удомельского городского округа в рамках реализации программы поддержки местных инициатив"</t>
  </si>
  <si>
    <t>Задача "Ремонт дворовых территорий многоквартирных домов в рамках реализации мероприятий поддержки общественных и гражданских инициатив на территории Удомельского городского округа"</t>
  </si>
  <si>
    <t>Организация транспортного обслуживания населения на муниципальных маршрутах регулярных перевозок сверх минимальных социальных требований, установленных Правительством Тверской области</t>
  </si>
  <si>
    <t xml:space="preserve"> Приложение 3</t>
  </si>
  <si>
    <t xml:space="preserve"> Приложение 4</t>
  </si>
  <si>
    <t xml:space="preserve"> Приложение 5</t>
  </si>
  <si>
    <t>Расходы на реализацию предложений по обращениям, поступающим к депутатам Удомельской городской Думы</t>
  </si>
  <si>
    <t>9940026900</t>
  </si>
  <si>
    <t>9940021900</t>
  </si>
  <si>
    <t>Благоустройство дворовой территории пр. Курчатова д.8</t>
  </si>
  <si>
    <t xml:space="preserve"> Распределение бюджетных ассигнований  бюджета Удомельского городского округа по разделам, подразделам, целевым статьям (муниципальным программам и непрограммным направлениям деятельности), группам видов расходов классификации  расходов бюджета на 2022 год и на плановый период 2023 и 2024 годов</t>
  </si>
  <si>
    <t>Оснащение автобусов, осуществляющих подвоз  обучающихся и воспитанников муниципальных учреждений, необходимыми техническими средствами</t>
  </si>
  <si>
    <t>0130321260</t>
  </si>
  <si>
    <t xml:space="preserve"> Расходы на реализацию предложений по обращениям, поступающим к депутатам Удомельской городской Думы бюджетных учреждений</t>
  </si>
  <si>
    <t>Муниципальная программа муниципального образования Удомельский городской округ «Развитие образования Удомельского городского округа на 2022 - 2027 годы»</t>
  </si>
  <si>
    <t>Муниципальная программа муниципального образования Удомельский городской округ «Развитие культуры, спорта и молодежной политики Удомельского городского округа на 2022 - 2027 годы»</t>
  </si>
  <si>
    <t>Муниципальная программа муниципального образования Удомельский городской округ «Улучшение экологической обстановки Удомельского городского округа на 2022 - 2027 годы»</t>
  </si>
  <si>
    <t>Муниципальная программа муниципального образования Удомельский городской округ «Управление жилищным фондом Удомельского городского округа на 2022 - 2027 годы»</t>
  </si>
  <si>
    <t>Муниципальная программа муниципального образования Удомельский городской округ «Создание условий для экономического развития Удомельского городского округа на 2022 - 2027 годы»</t>
  </si>
  <si>
    <t>Муниципальная программа муниципального образования Удомельский городской округ «Управление имуществом и земельными ресурсами Удомельского городского округа на 2022 - 2027 годы»</t>
  </si>
  <si>
    <t>Муниципальная программа муниципального образования Удомельский городской округ «Комплекс мероприятий по организации коммунального и газового хозяйства Удомельского городского округа на 2022 - 2027 годы»</t>
  </si>
  <si>
    <t>Задача "Строительство  инженерных систем округа"</t>
  </si>
  <si>
    <t>Проведение капитального ремонта объектов теплоэнергетических комплексов за счет средств местного бюджета</t>
  </si>
  <si>
    <t>Муниципальная программа муниципального образования Удомельский городской округ «Территориальное планирование Удомельского городского округа на 2022 - 2027 годы»</t>
  </si>
  <si>
    <t>Муниципальная программа муниципального образования Удомельский городской округ «Развитие транспортного комплекса и дорожного хозяйства на территории Удомельского городского округа на 2022 - 2027 годы»</t>
  </si>
  <si>
    <t>Муниципальная программа муниципального образования Удомельский городской округ «Профилактика правонарушений на территории Удомельского городского округа на 2022 - 2027 годы»</t>
  </si>
  <si>
    <t>Муниципальная программа муниципального образования Удомельский городской округ «Обеспечение безопасности жизнедеятельности населения Удомельского городского округа на 2022 - 2027 годы»</t>
  </si>
  <si>
    <t>Муниципальная программа муниципального образования Удомельский городской округ «Содержание и благоустройство территории Удомельского городского округа на 2022 - 2027 годы»</t>
  </si>
  <si>
    <t>Муниципальная программа муниципального образования Удомельский городской округ «Социальная политика, поддержка и защита населения Удомельского городского округа на 2022 - 2027 годы»</t>
  </si>
  <si>
    <t>Муниципальная программа муниципального образования Удомельский городской округ «Формирование комфортной городской среды на территории Удомельского городского округа на 2018 - 2024 годы»</t>
  </si>
  <si>
    <t>Муниципальная программа муниципального образования Удомельский городской округ «Поддержка муниципальных инициатив и участия населения в осуществлении местного самоуправления на территории муниципального образования Удомельский городской округ на 2022 - 2027 годы»</t>
  </si>
  <si>
    <t>Муниципальная программа муниципального образования Удомельский городской округ «Повышение безопасности дорожного движения на территории Удомельского городского округа на 2022 - 2027 годы»</t>
  </si>
  <si>
    <t>Центральный аппарат Удомельской городской Думы</t>
  </si>
  <si>
    <t>021А100000</t>
  </si>
  <si>
    <t>Задача "Реализация  проекта "Культурная среда" в рамках национального проекта "Культура"</t>
  </si>
  <si>
    <t>021А154540</t>
  </si>
  <si>
    <t>Создание модельных муниципальных библиотек</t>
  </si>
  <si>
    <t>Задача "Обеспечение доступности  транспортных услуг в общеобразовательных учреждениях в части  подвоза обучающихся к месту обучения и обратно"</t>
  </si>
  <si>
    <t>Задача "Создание условий для непрерывного развития кадрового потенциала отрасли "Образование"</t>
  </si>
  <si>
    <t>Финансовое обеспечение мероприятий по поддержке  педагогов - молодых специалистов</t>
  </si>
  <si>
    <t>Задача "Создание условий для воспитания гармонично развитой  и социально ориентированной личности"</t>
  </si>
  <si>
    <t>Финансовое обеспечение проведения муниципальных мероприятий с одаренными и высокомотивированными обучающимися, воспитанниками, организация их участия в региональных, всероссийских мероприятиях</t>
  </si>
  <si>
    <t>Задача "Повышение качества,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области, местного самоуправления Удомельского городского округа в телевизионном и радиоэфире"</t>
  </si>
  <si>
    <t>Разработка материалов по описанию границ населенных пунктов на основании Генерального плана Удомельского городского округа</t>
  </si>
  <si>
    <t>Выполнение работ по содержанию автомобильных дорог общего пользования местного значения и сооружений на них, нацеленное на обеспечение их проезжаемости и безопасности до сельских населенных пунктов</t>
  </si>
  <si>
    <t>Организация  транспортного обслуживания населения на муниципальных маршрутах регулярных перевозок по регулируемым тарифам в границах Удомельского городского округа  за счет средств областного бюджета</t>
  </si>
  <si>
    <t>Задача "Проведение работы по профилактике распространения наркомании, алкоголизма и связанных с ними правонарушений"</t>
  </si>
  <si>
    <t>Задача "Создание необходимых условий для обеспечения безопасности людей на водных объектах Удомельского городского округа"</t>
  </si>
  <si>
    <t>Благоустройство дворовой территории МКД (устройство парковочных мест) по адресу: Тверская область, г.Удомля, ул.Александрова, д.10</t>
  </si>
  <si>
    <t xml:space="preserve">Капитальный ремонт дороги на дворовой территории многоквартирного дома по адресу: Тверская область, г.Удомля, ул.Энергетиков, д.11-д </t>
  </si>
  <si>
    <t>15102S9017</t>
  </si>
  <si>
    <t>15102S9018</t>
  </si>
  <si>
    <t>15103S9012</t>
  </si>
  <si>
    <t>15103S9013</t>
  </si>
  <si>
    <t>15103S9014</t>
  </si>
  <si>
    <t>15103S9015</t>
  </si>
  <si>
    <t>15103S9016</t>
  </si>
  <si>
    <t>Устройство спортивно-игрового комплекса по адресу: Тверская область, г. Удомля, ул. Космонавтов, д.5 а</t>
  </si>
  <si>
    <t>Благоустройство гражданского кладбища по адресу: Тверская область, Удомельский городской округ, д. Венецианово</t>
  </si>
  <si>
    <t>Благоустройство гражданского кладбища по адресу: Тверская область, Удомельский городской округ, пос. Брусово</t>
  </si>
  <si>
    <t>Благоустройство гражданского кладбища по адресу: Тверская область,Удомельский городской округ, с.Еремково</t>
  </si>
  <si>
    <t xml:space="preserve">Благоустройство гражданского кладбища по адресу: Тверская область,Удомельский городской округ, д.Касково </t>
  </si>
  <si>
    <t>к решению Удомельской городской</t>
  </si>
  <si>
    <t>"О внесении изменений в решение  Удомельской</t>
  </si>
  <si>
    <t>городской Думы от 27.12.2021  № 42</t>
  </si>
  <si>
    <t xml:space="preserve"> от 27.12.2021  № 42</t>
  </si>
  <si>
    <t>12101L2990</t>
  </si>
  <si>
    <t>Обустройство и восстановление воинских захоронений в рамках реализации федеральной целевой программы «Увековечение памяти погибших при защите Отечества на 2019 - 2024 годы»</t>
  </si>
  <si>
    <t>Капитальный ремонт дороги на дворовой территории многоквартирного дома по адресу: Тверская область, г.Удомля, ул.Энергетиков, д.11-д</t>
  </si>
  <si>
    <t xml:space="preserve">Благоустройство гражданского кладбища по адресу: Тверская область,Удомельский городской округ, с.Еремково </t>
  </si>
  <si>
    <t>Благоустройство гражданского кладбища по адресу: Тверская область, Удомельский городской округ, с.Еремково</t>
  </si>
  <si>
    <t>Благоустройство гражданского кладбища по адресу: Тверская область,Удомельский городской округ, д.Касково</t>
  </si>
  <si>
    <t>830</t>
  </si>
  <si>
    <t>Исполнение судебных актов</t>
  </si>
  <si>
    <t>0410223210</t>
  </si>
  <si>
    <t>0410223215</t>
  </si>
  <si>
    <t>0410327210</t>
  </si>
  <si>
    <t>0410327230</t>
  </si>
  <si>
    <t>0410327220</t>
  </si>
  <si>
    <t>0410327240</t>
  </si>
  <si>
    <t>0410123205</t>
  </si>
  <si>
    <t>0310223174</t>
  </si>
  <si>
    <t>Выполнение работ по разработке проектно-сметной документации на реконструкцию и ремонт автомобильных дорог, дворовых территорий многоквартирных домов, проездов к дворовым территориям, в т.ч. парковок и проведение лабораторных исследований</t>
  </si>
  <si>
    <t>Реализация мероприятий по благоустройству общественных территорий города Удомля</t>
  </si>
  <si>
    <t>Задача "Обеспечение безопасности многоквартирных домов»"</t>
  </si>
  <si>
    <t>Устройство автоматической пожарной сигнализации многоквартирного дома, расположенного по адресу: Тверская область, г. Удомля, пр. Курчатова д.14</t>
  </si>
  <si>
    <t>Подпрограмма «Реализация мероприятий поддержки общественных и гражданских инициатив  на территории Удомельского городского округа»</t>
  </si>
  <si>
    <t>Благоустройство парковой зоны ул. Венецианова</t>
  </si>
  <si>
    <t>Обеспечение комплексной безопасности зданий и помещений муниципальных  учреждений дополнительного образования в сфере культуры и искусства</t>
  </si>
  <si>
    <t>0210421220</t>
  </si>
  <si>
    <t>Задача «Реализация проектов в рамках программы поддержки школьных инициатив»</t>
  </si>
  <si>
    <t>01205S8001</t>
  </si>
  <si>
    <t>0120500000</t>
  </si>
  <si>
    <t>Финансовое обеспечение реализации проекта «Радио на все времена» в УСОШ 1</t>
  </si>
  <si>
    <t>1310110290</t>
  </si>
  <si>
    <t>Приобретение жилых помещений для малоимущих многодетных семей за счет средств областного бюджета</t>
  </si>
  <si>
    <t>0220123046</t>
  </si>
  <si>
    <t>Подготовка площадки и установка на ней оборудования</t>
  </si>
  <si>
    <t>Благоустройство дворовой территории  жилого дома (устройство парковочных мест) по адресу: Тверская область, г.Удомля, ул.Курчатова, д.6а - 1 этап (парковка)</t>
  </si>
  <si>
    <t>15102S9021</t>
  </si>
  <si>
    <t>0130221240</t>
  </si>
  <si>
    <t>Укрепление материально-технической базы учреждений  дополнительного образования</t>
  </si>
  <si>
    <t>03202L5110</t>
  </si>
  <si>
    <t>Организация проведения комплексных кадастровых работ на территории Удомельского городского округа</t>
  </si>
  <si>
    <t>0120518001</t>
  </si>
  <si>
    <t>0210610920</t>
  </si>
  <si>
    <t>Средства депутатов Законодательного Собрания Тверской области</t>
  </si>
  <si>
    <t xml:space="preserve">Укрепление материально-технической базы муниципальных общеобразовательных учреждений  </t>
  </si>
  <si>
    <t>0120221240</t>
  </si>
  <si>
    <t>340</t>
  </si>
  <si>
    <t>Стипендии</t>
  </si>
  <si>
    <t>0120210920</t>
  </si>
  <si>
    <t>Средства депутатов Законодательного Собрания Тверской области общеобразовательным учреждениям</t>
  </si>
  <si>
    <t>Задача "Система информирования граждан в сфере образования"</t>
  </si>
  <si>
    <t>Средства депутатов Законодательного Собрания Тверской области на финансовое обеспечение информационного сопровождения развития образования</t>
  </si>
  <si>
    <t>0140400000</t>
  </si>
  <si>
    <t>0140410920</t>
  </si>
  <si>
    <t>0310223175</t>
  </si>
  <si>
    <t>Увеличение уставного фонда МУП в целях финансовой устойчивости и недопущения платежеспособности</t>
  </si>
  <si>
    <t>Приобретение и установка детских игровых комплексов</t>
  </si>
  <si>
    <t>0410327250</t>
  </si>
  <si>
    <t>Предоставление субсидий субъектам малого и среднего предпринимательства - сельскохозяйственным кооперативам и крестьянским (фермерским) хозяйствам на возмещение затрат за коммунальные услуги в сфере водоснабжения</t>
  </si>
  <si>
    <t xml:space="preserve">Подпрограмма "Профилактика безнадзорности и правонарушений несовершеннолетних в Удомельском городском округе" </t>
  </si>
  <si>
    <t>1030300000</t>
  </si>
  <si>
    <t>1030000000</t>
  </si>
  <si>
    <t>Задача "Работа по формированию здорового образа жизни у несовершеннолетних, состоящих на учете в КДН и ЗП"</t>
  </si>
  <si>
    <t>Изготовление лифлетов, баннеров по профилактике безнадзорности и правонарушений несовершеннолетних</t>
  </si>
  <si>
    <t>Оплата услуг средствам массовой информации за размещение информации и объявлений о деятельности органов местного самоуправления в печатных изданиях</t>
  </si>
  <si>
    <t>Оплата услуг средствам массовой информации за размещение информации и объявлений о деятельности органов местного самоуправления в телевизионном эфире</t>
  </si>
  <si>
    <t>Оплата услуг средствам массовой информации  за размещение информации и объявлений о деятельности органов местного самоуправления в радиоэфире</t>
  </si>
  <si>
    <t>Задача "Обеспечение уличного освещения населенных пунктов, расположенных на территории Удомельского городского округа"</t>
  </si>
  <si>
    <t>Задача "Обеспечение бесперебойного функционирования объектов коммунального хозяйства территорий Удомельского городского округа"</t>
  </si>
  <si>
    <t>0130121120</t>
  </si>
  <si>
    <t>141F25424F</t>
  </si>
  <si>
    <t>Обеспечение функционирования модели персонифицированного финансирования дополнительного образования</t>
  </si>
  <si>
    <t>Создание комфортной городской среды в малых городах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</si>
  <si>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</si>
  <si>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</si>
  <si>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муниципальному долгу</t>
  </si>
  <si>
    <t>730</t>
  </si>
  <si>
    <t>Обслуживание муниципального долга</t>
  </si>
  <si>
    <t>02103S1310</t>
  </si>
  <si>
    <t>Обеспечение муниципального учреждения культурно-досугового типа автотранспортом для перевозки участников творческих коллективов</t>
  </si>
  <si>
    <t>000 01 03 00 00 00 0000 000</t>
  </si>
  <si>
    <t>000 01 05 02 01 04 0000 510</t>
  </si>
  <si>
    <t>000 01 05 02 01 04 0000 610</t>
  </si>
  <si>
    <t>000 01 06 00 00 00 0000 000</t>
  </si>
  <si>
    <t>Иные источники внутреннего финансирования дефицита бюджета</t>
  </si>
  <si>
    <t>000 01 06 01 00 00 0000 000</t>
  </si>
  <si>
    <t>Акции  и ные формы участия в капитале, находящиеся в государственной и муниципальной собственности</t>
  </si>
  <si>
    <t>000 01 06 01 00 00 0000 630</t>
  </si>
  <si>
    <t xml:space="preserve">Средства от продажи акций и иных форм участия в капитале, находящихся в государственной и муниципальной собственности собственности </t>
  </si>
  <si>
    <t>Средства от продажи акций и иных форм участия в капитале, находящихся в собственности городских округов</t>
  </si>
  <si>
    <t>Приложение 7</t>
  </si>
  <si>
    <t>к решению Удомельского городской Думы</t>
  </si>
  <si>
    <t xml:space="preserve">"О бюджете Удомельского городского округа </t>
  </si>
  <si>
    <t>на 2022 год и плановый период 2023 и 2024 годов"</t>
  </si>
  <si>
    <t xml:space="preserve">     Общий объем бюджетных ассигнований, направляемых на исполнение публичных нормативных обязательств  Удомельского городского округа на 2022 год и на плановый период 2023 и 2024 годов</t>
  </si>
  <si>
    <t>Наименование публичного нормативного обязательства</t>
  </si>
  <si>
    <t>Код строки</t>
  </si>
  <si>
    <t>Реквизиты нормативного правового акта</t>
  </si>
  <si>
    <t>Наименование</t>
  </si>
  <si>
    <t>Код расходов                       по БК</t>
  </si>
  <si>
    <t>Вид</t>
  </si>
  <si>
    <t>Дата</t>
  </si>
  <si>
    <t>Номер</t>
  </si>
  <si>
    <t>РП</t>
  </si>
  <si>
    <t>ЦСР</t>
  </si>
  <si>
    <t>1.Публичные нормативные обязательства, исполняемые за счет средств областного бюджета</t>
  </si>
  <si>
    <t>Закон Тверской области</t>
  </si>
  <si>
    <t>82-ЗО</t>
  </si>
  <si>
    <t>"О компенсации расходов на оплату жилых помещений, отопления и освещения педагогическим работникам, проживающим и работающим в сельских населенных пунктах, рабочих поселках (поселках городского типа)"</t>
  </si>
  <si>
    <t>10 03</t>
  </si>
  <si>
    <t>2.Публичные нормативные обязательства, исполняемые за счет средств  бюджета Удомельского городского округа</t>
  </si>
  <si>
    <t>Решение  Удомельской городской Думы</t>
  </si>
  <si>
    <t>"Об утверждении Положения о муниципальной службе муниципального образования Удомельский городской округ"</t>
  </si>
  <si>
    <t>10 01</t>
  </si>
  <si>
    <t>от  27.12.2021  №42</t>
  </si>
  <si>
    <t>0110111390</t>
  </si>
  <si>
    <t>Единовременная выплата к началу нового учебного года работникам муниципальных бюджетных дошкольных образовательных учреждений</t>
  </si>
  <si>
    <t>0120111390</t>
  </si>
  <si>
    <t>Единовременная выплата к началу нового учебного года работникам муниципальных бюджетных общеобразовательных учреждений</t>
  </si>
  <si>
    <t>0130111390</t>
  </si>
  <si>
    <t>Единовременная выплата к началу нового учебного года работникам муниципальных бюджетных учреждений дополнительного образования</t>
  </si>
  <si>
    <t>Единовременная выплата к началу нового учебного года работникам муниципальных бюджетных учреждений дополнительного образования в сфере культуры</t>
  </si>
  <si>
    <t xml:space="preserve">Ликвидация несанкционированных мест размещения твердых коммунальных отходов </t>
  </si>
  <si>
    <t>01101S1390</t>
  </si>
  <si>
    <t>Единовременная выплата к началу нового учебного года работникам муниципальных бюджетных дошкольных образовательных учреждений за счет средств бюджета округа</t>
  </si>
  <si>
    <t>Единовременная выплата к началу нового учебного года работникам муниципальных бюджетных общеобразовательных учреждений за счет средств бюджета округа</t>
  </si>
  <si>
    <t>01201S1390</t>
  </si>
  <si>
    <t>01301S1390</t>
  </si>
  <si>
    <t>Единовременная выплата к началу нового учебного года работникам муниципальных бюджетных учреждений дополнительного образования за счет средств бюджета округа</t>
  </si>
  <si>
    <t>02102S1390</t>
  </si>
  <si>
    <t>Единовременная выплата к началу нового учебного года работникам муниципальных бюджетных учреждений дополнительного образования в сфере культуры. за счет средств бюджета округа</t>
  </si>
  <si>
    <t>Подпрограмма "Содержание, озеленение и благоустройство территории Удомельского городского округа "</t>
  </si>
  <si>
    <t>Подпрограмма "Улучшение состояния и содержание территорииУдомельского городского округа"</t>
  </si>
  <si>
    <t>0210311310</t>
  </si>
  <si>
    <t xml:space="preserve"> Приложение 7</t>
  </si>
  <si>
    <t xml:space="preserve"> Приложение 8</t>
  </si>
  <si>
    <t xml:space="preserve">ПЕРЕЧЕНЬ
мероприятий по обращениям, поступающим к депутатам
Удомельской городской Думы, на 2022 год </t>
  </si>
  <si>
    <t>N п/п</t>
  </si>
  <si>
    <t xml:space="preserve"> Наименование мероприятий</t>
  </si>
  <si>
    <t>Главный распорядитель, распорядитель бюджетных средств</t>
  </si>
  <si>
    <t>Объем финансирования, тыс.руб.</t>
  </si>
  <si>
    <t>Раздел,подраздел классификации расходов бюджета</t>
  </si>
  <si>
    <t>ФИО депутата</t>
  </si>
  <si>
    <t>1</t>
  </si>
  <si>
    <t>Управление образования  Администрации УГО, МБУ ДО ДДТ</t>
  </si>
  <si>
    <t>07 03</t>
  </si>
  <si>
    <t>Байков В.Г.</t>
  </si>
  <si>
    <t>2</t>
  </si>
  <si>
    <t>Танцевальный коллектив "Акварель", проведение мастер класса с привлечением специалиста</t>
  </si>
  <si>
    <t xml:space="preserve"> Управление культуры, спорта и молодежной политики Администрации УГО, МБУК "Удомельский центр культуры и досуга"</t>
  </si>
  <si>
    <t>08 01</t>
  </si>
  <si>
    <t>Бреус Н.Н.</t>
  </si>
  <si>
    <t>Приобретение глубинных насосов</t>
  </si>
  <si>
    <t xml:space="preserve"> Администрация УГО</t>
  </si>
  <si>
    <t>05 02</t>
  </si>
  <si>
    <t>3</t>
  </si>
  <si>
    <t xml:space="preserve">Приобретение спортивного инвентаря </t>
  </si>
  <si>
    <t>Управление образования  Администрации УГО, МБУ ДО ДЮСШ</t>
  </si>
  <si>
    <t>Давыдов А.А.</t>
  </si>
  <si>
    <t>4</t>
  </si>
  <si>
    <t>Ремонт (замена окон в студии)</t>
  </si>
  <si>
    <t xml:space="preserve"> Управление культуры, спорта и молодежной политики Администрации УГО,МБОУ ДО "УДШИ"</t>
  </si>
  <si>
    <t>Лебедев О.В.</t>
  </si>
  <si>
    <t>5</t>
  </si>
  <si>
    <t>ликвидация несанкционированной свалки д.Галичено</t>
  </si>
  <si>
    <t>05 03</t>
  </si>
  <si>
    <t>Ларионов Д,В.</t>
  </si>
  <si>
    <t>обустройствоо контейнерной площадки д.Галичено, д.Никулкино</t>
  </si>
  <si>
    <t>6</t>
  </si>
  <si>
    <t>Приобретение ростовой куклы в дом ремесел</t>
  </si>
  <si>
    <t>Пажетных К.А.</t>
  </si>
  <si>
    <t>7</t>
  </si>
  <si>
    <t xml:space="preserve">Издание книги </t>
  </si>
  <si>
    <t xml:space="preserve"> Управление культуры, спорта и молодежной политики Администрации УГО, МКУК "Удомельская ЦБС"</t>
  </si>
  <si>
    <t>Серяков А.В.</t>
  </si>
  <si>
    <t>8</t>
  </si>
  <si>
    <t>Приобретение напольного покрытия</t>
  </si>
  <si>
    <t xml:space="preserve"> Управление культуры, спорта и молодежной политики Администрации УГО,МБУ ГМЦ "Звездный"</t>
  </si>
  <si>
    <t>07 07</t>
  </si>
  <si>
    <t>Шишкин В.Р.</t>
  </si>
  <si>
    <t>Приобретение спортивного инвентаря и оборудования, наградного материала и атрибутики</t>
  </si>
  <si>
    <t>Южакова С.Н.</t>
  </si>
  <si>
    <t>Итого:</t>
  </si>
  <si>
    <t xml:space="preserve">Приобретение спортивного инвентаря (спортивной формы для игроков) объединению "Футбол" </t>
  </si>
  <si>
    <t>Бюджетные кредиты от других бюджетов бюджетной системы  Российской Федерации</t>
  </si>
  <si>
    <t>000 01 03 00 00 00 0000 700</t>
  </si>
  <si>
    <t>Получение кредитов от других бюджетов бюджетной системы  Российской Федерации в валюте Российской Федерации</t>
  </si>
  <si>
    <t>000 01 03 00 00 04 0000 710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</si>
  <si>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</si>
  <si>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</si>
  <si>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</si>
  <si>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</si>
  <si>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</si>
  <si>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 xml:space="preserve">Думы от 15.12.2022  №113 </t>
  </si>
  <si>
    <t xml:space="preserve">Думы от 15.12.2022   №113 </t>
  </si>
  <si>
    <t>Думы от 15.12.2022  № 113</t>
  </si>
  <si>
    <t>Увеличение уставного фонда МУП в целях финансовой устойчивости и недопущения неплатежеспособности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</si>
</sst>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000000000"/>
    <numFmt numFmtId="166" formatCode="#,##0.0"/>
  </numFmts>
  <fonts count="5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4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sz val="11"/>
      <name val="Bookman Old Style"/>
      <family val="1"/>
      <charset val="204"/>
    </font>
    <font>
      <sz val="10"/>
      <name val="Arial"/>
      <family val="2"/>
      <charset val="204"/>
    </font>
    <font>
      <b/>
      <sz val="9"/>
      <name val="Arial Cyr"/>
      <charset val="204"/>
    </font>
    <font>
      <sz val="9"/>
      <name val="Arial Cyr"/>
      <charset val="204"/>
    </font>
    <font>
      <i/>
      <sz val="10"/>
      <name val="Arial Cyr"/>
      <charset val="204"/>
    </font>
    <font>
      <i/>
      <sz val="9"/>
      <name val="Arial Cyr"/>
      <charset val="204"/>
    </font>
    <font>
      <i/>
      <sz val="11"/>
      <name val="Arial"/>
      <family val="2"/>
      <charset val="204"/>
    </font>
    <font>
      <i/>
      <sz val="11"/>
      <name val="Bookman Old Style"/>
      <family val="1"/>
      <charset val="204"/>
    </font>
    <font>
      <i/>
      <sz val="11"/>
      <name val="Arial Cyr"/>
      <charset val="204"/>
    </font>
    <font>
      <b/>
      <i/>
      <sz val="11"/>
      <name val="Arial Cyr"/>
      <charset val="204"/>
    </font>
    <font>
      <b/>
      <i/>
      <sz val="10"/>
      <name val="Arial Cyr"/>
      <charset val="204"/>
    </font>
    <font>
      <b/>
      <i/>
      <sz val="11"/>
      <name val="Bookman Old Style"/>
      <family val="1"/>
      <charset val="204"/>
    </font>
    <font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b/>
      <sz val="13"/>
      <name val="Arial Cyr"/>
      <charset val="204"/>
    </font>
    <font>
      <sz val="10"/>
      <color indexed="8"/>
      <name val="Arial"/>
      <family val="2"/>
      <charset val="204"/>
    </font>
    <font>
      <b/>
      <sz val="18"/>
      <color indexed="56"/>
      <name val="Cambria"/>
      <family val="2"/>
      <charset val="204"/>
    </font>
    <font>
      <i/>
      <sz val="10"/>
      <color indexed="8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i/>
      <sz val="9"/>
      <name val="Arial"/>
      <family val="2"/>
      <charset val="204"/>
    </font>
    <font>
      <sz val="9"/>
      <name val="Bookman Old Style"/>
      <family val="1"/>
      <charset val="204"/>
    </font>
    <font>
      <sz val="10"/>
      <color indexed="8"/>
      <name val="Arial"/>
      <family val="2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64"/>
      <name val="Arial"/>
      <family val="2"/>
      <charset val="204"/>
    </font>
    <font>
      <sz val="9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0"/>
      <color theme="1" tint="4.9989318521683403E-2"/>
      <name val="Arial Cyr"/>
      <charset val="204"/>
    </font>
    <font>
      <b/>
      <sz val="10"/>
      <color rgb="FF000000"/>
      <name val="Arial CYR"/>
    </font>
    <font>
      <i/>
      <sz val="10"/>
      <color rgb="FF000000"/>
      <name val="Arial Cyr"/>
      <charset val="204"/>
    </font>
    <font>
      <sz val="10"/>
      <color rgb="FF000000"/>
      <name val="Arial Cyr"/>
      <charset val="204"/>
    </font>
    <font>
      <b/>
      <sz val="10"/>
      <color theme="1"/>
      <name val="Arial"/>
      <family val="2"/>
      <charset val="204"/>
    </font>
    <font>
      <b/>
      <i/>
      <sz val="9"/>
      <name val="Arial Cyr"/>
      <charset val="204"/>
    </font>
    <font>
      <b/>
      <i/>
      <sz val="9"/>
      <name val="Arial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4" fillId="0" borderId="0"/>
    <xf numFmtId="0" fontId="26" fillId="0" borderId="0" applyNumberFormat="0" applyFill="0" applyBorder="0" applyAlignment="0" applyProtection="0"/>
    <xf numFmtId="0" fontId="34" fillId="0" borderId="0"/>
    <xf numFmtId="1" fontId="40" fillId="0" borderId="13">
      <alignment horizontal="center" vertical="top" shrinkToFit="1"/>
    </xf>
    <xf numFmtId="0" fontId="43" fillId="0" borderId="13">
      <alignment vertical="top" wrapText="1"/>
    </xf>
  </cellStyleXfs>
  <cellXfs count="307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49" fontId="4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/>
    <xf numFmtId="0" fontId="6" fillId="0" borderId="1" xfId="0" applyFont="1" applyBorder="1"/>
    <xf numFmtId="0" fontId="4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0" fontId="7" fillId="0" borderId="1" xfId="0" applyFont="1" applyBorder="1"/>
    <xf numFmtId="0" fontId="5" fillId="0" borderId="1" xfId="0" applyFont="1" applyBorder="1"/>
    <xf numFmtId="0" fontId="6" fillId="0" borderId="1" xfId="0" applyFont="1" applyBorder="1" applyAlignment="1">
      <alignment wrapText="1"/>
    </xf>
    <xf numFmtId="0" fontId="9" fillId="0" borderId="1" xfId="0" applyFont="1" applyBorder="1"/>
    <xf numFmtId="49" fontId="1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10" fillId="0" borderId="1" xfId="0" applyFont="1" applyBorder="1"/>
    <xf numFmtId="0" fontId="8" fillId="0" borderId="0" xfId="0" applyFont="1"/>
    <xf numFmtId="0" fontId="10" fillId="0" borderId="0" xfId="0" applyFont="1"/>
    <xf numFmtId="49" fontId="1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4" fillId="0" borderId="1" xfId="0" applyFont="1" applyBorder="1"/>
    <xf numFmtId="0" fontId="15" fillId="0" borderId="1" xfId="0" applyFont="1" applyBorder="1"/>
    <xf numFmtId="0" fontId="13" fillId="0" borderId="1" xfId="0" applyFont="1" applyBorder="1"/>
    <xf numFmtId="0" fontId="14" fillId="0" borderId="0" xfId="0" applyFont="1"/>
    <xf numFmtId="0" fontId="16" fillId="0" borderId="1" xfId="0" applyFont="1" applyBorder="1"/>
    <xf numFmtId="49" fontId="17" fillId="0" borderId="1" xfId="0" applyNumberFormat="1" applyFont="1" applyBorder="1" applyAlignment="1">
      <alignment horizontal="center"/>
    </xf>
    <xf numFmtId="0" fontId="18" fillId="0" borderId="1" xfId="0" applyFont="1" applyBorder="1"/>
    <xf numFmtId="49" fontId="18" fillId="0" borderId="1" xfId="0" applyNumberFormat="1" applyFont="1" applyBorder="1" applyAlignment="1">
      <alignment horizontal="center"/>
    </xf>
    <xf numFmtId="49" fontId="19" fillId="0" borderId="1" xfId="0" applyNumberFormat="1" applyFont="1" applyBorder="1" applyAlignment="1">
      <alignment horizontal="center"/>
    </xf>
    <xf numFmtId="0" fontId="18" fillId="0" borderId="0" xfId="0" applyFont="1"/>
    <xf numFmtId="49" fontId="20" fillId="0" borderId="1" xfId="0" applyNumberFormat="1" applyFont="1" applyBorder="1" applyAlignment="1">
      <alignment horizontal="center"/>
    </xf>
    <xf numFmtId="49" fontId="21" fillId="0" borderId="1" xfId="0" applyNumberFormat="1" applyFont="1" applyBorder="1" applyAlignment="1">
      <alignment horizontal="center"/>
    </xf>
    <xf numFmtId="49" fontId="16" fillId="0" borderId="1" xfId="0" applyNumberFormat="1" applyFont="1" applyBorder="1" applyAlignment="1">
      <alignment horizontal="center"/>
    </xf>
    <xf numFmtId="0" fontId="22" fillId="0" borderId="0" xfId="0" applyFont="1"/>
    <xf numFmtId="0" fontId="16" fillId="0" borderId="0" xfId="0" applyFont="1"/>
    <xf numFmtId="49" fontId="23" fillId="0" borderId="1" xfId="0" applyNumberFormat="1" applyFont="1" applyBorder="1" applyAlignment="1">
      <alignment horizontal="center"/>
    </xf>
    <xf numFmtId="164" fontId="0" fillId="0" borderId="1" xfId="0" applyNumberFormat="1" applyBorder="1"/>
    <xf numFmtId="164" fontId="18" fillId="0" borderId="1" xfId="0" applyNumberFormat="1" applyFont="1" applyBorder="1"/>
    <xf numFmtId="164" fontId="1" fillId="0" borderId="1" xfId="0" applyNumberFormat="1" applyFont="1" applyBorder="1"/>
    <xf numFmtId="164" fontId="16" fillId="0" borderId="1" xfId="0" applyNumberFormat="1" applyFont="1" applyBorder="1"/>
    <xf numFmtId="164" fontId="17" fillId="0" borderId="1" xfId="0" applyNumberFormat="1" applyFont="1" applyBorder="1"/>
    <xf numFmtId="0" fontId="1" fillId="0" borderId="0" xfId="0" applyFont="1" applyAlignment="1">
      <alignment horizontal="right"/>
    </xf>
    <xf numFmtId="0" fontId="22" fillId="0" borderId="1" xfId="0" applyFont="1" applyBorder="1"/>
    <xf numFmtId="0" fontId="22" fillId="0" borderId="1" xfId="0" applyFont="1" applyBorder="1" applyAlignment="1">
      <alignment wrapText="1"/>
    </xf>
    <xf numFmtId="49" fontId="14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1" fillId="0" borderId="1" xfId="0" applyFont="1" applyBorder="1"/>
    <xf numFmtId="49" fontId="2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25" fillId="0" borderId="0" xfId="0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164" fontId="22" fillId="0" borderId="1" xfId="0" applyNumberFormat="1" applyFont="1" applyBorder="1"/>
    <xf numFmtId="164" fontId="9" fillId="0" borderId="1" xfId="0" applyNumberFormat="1" applyFont="1" applyBorder="1"/>
    <xf numFmtId="0" fontId="27" fillId="0" borderId="1" xfId="0" applyFont="1" applyFill="1" applyBorder="1" applyAlignment="1">
      <alignment horizontal="left" vertical="center" wrapText="1"/>
    </xf>
    <xf numFmtId="164" fontId="20" fillId="0" borderId="1" xfId="0" applyNumberFormat="1" applyFont="1" applyBorder="1"/>
    <xf numFmtId="164" fontId="29" fillId="0" borderId="1" xfId="0" applyNumberFormat="1" applyFont="1" applyBorder="1"/>
    <xf numFmtId="0" fontId="30" fillId="0" borderId="1" xfId="0" applyFont="1" applyFill="1" applyBorder="1" applyAlignment="1">
      <alignment horizontal="left" vertical="center" wrapText="1"/>
    </xf>
    <xf numFmtId="0" fontId="29" fillId="0" borderId="1" xfId="0" applyFont="1" applyBorder="1" applyAlignment="1">
      <alignment wrapText="1"/>
    </xf>
    <xf numFmtId="164" fontId="31" fillId="0" borderId="1" xfId="0" applyNumberFormat="1" applyFont="1" applyBorder="1"/>
    <xf numFmtId="0" fontId="27" fillId="0" borderId="0" xfId="0" applyFont="1" applyFill="1" applyBorder="1" applyAlignment="1">
      <alignment horizontal="left" vertical="center" wrapText="1"/>
    </xf>
    <xf numFmtId="0" fontId="8" fillId="0" borderId="1" xfId="0" applyFont="1" applyBorder="1"/>
    <xf numFmtId="0" fontId="13" fillId="0" borderId="0" xfId="0" applyFont="1"/>
    <xf numFmtId="0" fontId="13" fillId="0" borderId="1" xfId="0" applyFont="1" applyBorder="1" applyAlignment="1">
      <alignment horizontal="center"/>
    </xf>
    <xf numFmtId="0" fontId="32" fillId="0" borderId="1" xfId="0" applyFont="1" applyBorder="1"/>
    <xf numFmtId="0" fontId="33" fillId="0" borderId="1" xfId="0" applyFont="1" applyBorder="1"/>
    <xf numFmtId="49" fontId="11" fillId="0" borderId="4" xfId="0" applyNumberFormat="1" applyFont="1" applyBorder="1" applyAlignment="1">
      <alignment horizontal="center"/>
    </xf>
    <xf numFmtId="49" fontId="29" fillId="0" borderId="1" xfId="0" applyNumberFormat="1" applyFont="1" applyBorder="1" applyAlignment="1">
      <alignment horizontal="center"/>
    </xf>
    <xf numFmtId="165" fontId="11" fillId="0" borderId="1" xfId="1" applyNumberFormat="1" applyFont="1" applyBorder="1" applyAlignment="1">
      <alignment horizontal="center"/>
    </xf>
    <xf numFmtId="165" fontId="22" fillId="0" borderId="1" xfId="1" applyNumberFormat="1" applyFont="1" applyBorder="1" applyAlignment="1">
      <alignment horizontal="center"/>
    </xf>
    <xf numFmtId="165" fontId="29" fillId="0" borderId="1" xfId="1" applyNumberFormat="1" applyFont="1" applyBorder="1" applyAlignment="1">
      <alignment horizontal="center"/>
    </xf>
    <xf numFmtId="49" fontId="35" fillId="0" borderId="1" xfId="0" applyNumberFormat="1" applyFont="1" applyBorder="1" applyAlignment="1">
      <alignment horizontal="center"/>
    </xf>
    <xf numFmtId="49" fontId="36" fillId="0" borderId="1" xfId="0" applyNumberFormat="1" applyFont="1" applyBorder="1" applyAlignment="1">
      <alignment horizontal="center"/>
    </xf>
    <xf numFmtId="165" fontId="11" fillId="0" borderId="1" xfId="1" applyNumberFormat="1" applyFont="1" applyFill="1" applyBorder="1" applyAlignment="1">
      <alignment horizontal="center"/>
    </xf>
    <xf numFmtId="165" fontId="25" fillId="0" borderId="1" xfId="3" applyNumberFormat="1" applyFont="1" applyBorder="1" applyAlignment="1">
      <alignment horizontal="center"/>
    </xf>
    <xf numFmtId="165" fontId="37" fillId="0" borderId="1" xfId="1" applyNumberFormat="1" applyFont="1" applyBorder="1" applyAlignment="1">
      <alignment horizontal="center"/>
    </xf>
    <xf numFmtId="49" fontId="28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165" fontId="30" fillId="0" borderId="1" xfId="3" applyNumberFormat="1" applyFont="1" applyBorder="1" applyAlignment="1">
      <alignment horizontal="center"/>
    </xf>
    <xf numFmtId="0" fontId="30" fillId="0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indent="16"/>
    </xf>
    <xf numFmtId="0" fontId="0" fillId="0" borderId="0" xfId="0" applyAlignment="1">
      <alignment horizontal="left" indent="16"/>
    </xf>
    <xf numFmtId="0" fontId="2" fillId="0" borderId="0" xfId="0" applyFont="1" applyAlignment="1">
      <alignment horizontal="left" indent="22"/>
    </xf>
    <xf numFmtId="0" fontId="2" fillId="0" borderId="0" xfId="0" applyFont="1" applyAlignment="1">
      <alignment horizontal="left" indent="19"/>
    </xf>
    <xf numFmtId="0" fontId="0" fillId="0" borderId="0" xfId="0" applyAlignment="1">
      <alignment horizontal="left" indent="19"/>
    </xf>
    <xf numFmtId="49" fontId="0" fillId="0" borderId="2" xfId="0" applyNumberFormat="1" applyFont="1" applyBorder="1" applyAlignment="1">
      <alignment horizontal="center"/>
    </xf>
    <xf numFmtId="0" fontId="0" fillId="0" borderId="0" xfId="0"/>
    <xf numFmtId="0" fontId="12" fillId="0" borderId="1" xfId="0" applyFont="1" applyBorder="1"/>
    <xf numFmtId="164" fontId="4" fillId="0" borderId="1" xfId="0" applyNumberFormat="1" applyFont="1" applyBorder="1"/>
    <xf numFmtId="164" fontId="14" fillId="0" borderId="1" xfId="0" applyNumberFormat="1" applyFont="1" applyBorder="1"/>
    <xf numFmtId="164" fontId="11" fillId="0" borderId="1" xfId="0" applyNumberFormat="1" applyFont="1" applyBorder="1"/>
    <xf numFmtId="164" fontId="24" fillId="0" borderId="1" xfId="0" applyNumberFormat="1" applyFont="1" applyBorder="1"/>
    <xf numFmtId="164" fontId="3" fillId="0" borderId="1" xfId="0" applyNumberFormat="1" applyFont="1" applyBorder="1"/>
    <xf numFmtId="0" fontId="11" fillId="0" borderId="1" xfId="0" applyFont="1" applyBorder="1" applyAlignment="1">
      <alignment wrapText="1"/>
    </xf>
    <xf numFmtId="0" fontId="25" fillId="0" borderId="1" xfId="0" applyFont="1" applyFill="1" applyBorder="1" applyAlignment="1">
      <alignment horizontal="left" vertical="center" wrapText="1"/>
    </xf>
    <xf numFmtId="164" fontId="0" fillId="0" borderId="1" xfId="0" applyNumberFormat="1" applyFont="1" applyBorder="1"/>
    <xf numFmtId="0" fontId="0" fillId="0" borderId="1" xfId="0" applyFont="1" applyBorder="1" applyAlignment="1">
      <alignment wrapText="1"/>
    </xf>
    <xf numFmtId="49" fontId="0" fillId="0" borderId="1" xfId="0" applyNumberFormat="1" applyFont="1" applyBorder="1" applyAlignment="1">
      <alignment horizontal="left" wrapText="1"/>
    </xf>
    <xf numFmtId="0" fontId="25" fillId="0" borderId="9" xfId="0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Font="1"/>
    <xf numFmtId="0" fontId="0" fillId="0" borderId="1" xfId="0" applyFont="1" applyFill="1" applyBorder="1" applyAlignment="1">
      <alignment wrapText="1"/>
    </xf>
    <xf numFmtId="164" fontId="1" fillId="0" borderId="1" xfId="0" applyNumberFormat="1" applyFont="1" applyFill="1" applyBorder="1"/>
    <xf numFmtId="164" fontId="0" fillId="0" borderId="1" xfId="0" applyNumberFormat="1" applyFill="1" applyBorder="1"/>
    <xf numFmtId="49" fontId="0" fillId="0" borderId="1" xfId="0" applyNumberFormat="1" applyFont="1" applyFill="1" applyBorder="1" applyAlignment="1">
      <alignment horizontal="center"/>
    </xf>
    <xf numFmtId="0" fontId="11" fillId="0" borderId="8" xfId="0" applyFont="1" applyBorder="1" applyAlignment="1">
      <alignment wrapText="1"/>
    </xf>
    <xf numFmtId="165" fontId="25" fillId="0" borderId="4" xfId="3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164" fontId="1" fillId="0" borderId="4" xfId="0" applyNumberFormat="1" applyFont="1" applyBorder="1"/>
    <xf numFmtId="0" fontId="11" fillId="0" borderId="1" xfId="0" applyFont="1" applyFill="1" applyBorder="1" applyAlignment="1">
      <alignment wrapText="1"/>
    </xf>
    <xf numFmtId="49" fontId="29" fillId="0" borderId="1" xfId="0" applyNumberFormat="1" applyFont="1" applyFill="1" applyBorder="1" applyAlignment="1">
      <alignment horizontal="center"/>
    </xf>
    <xf numFmtId="49" fontId="18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/>
    <xf numFmtId="49" fontId="22" fillId="0" borderId="1" xfId="0" applyNumberFormat="1" applyFont="1" applyFill="1" applyBorder="1" applyAlignment="1">
      <alignment horizontal="center"/>
    </xf>
    <xf numFmtId="0" fontId="22" fillId="0" borderId="1" xfId="0" applyFont="1" applyFill="1" applyBorder="1" applyAlignment="1">
      <alignment wrapText="1"/>
    </xf>
    <xf numFmtId="164" fontId="14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11" fillId="0" borderId="0" xfId="0" applyFont="1" applyAlignment="1">
      <alignment wrapText="1"/>
    </xf>
    <xf numFmtId="49" fontId="11" fillId="0" borderId="2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0" fillId="0" borderId="0" xfId="0" applyAlignment="1">
      <alignment horizontal="left" indent="14"/>
    </xf>
    <xf numFmtId="0" fontId="2" fillId="0" borderId="0" xfId="0" applyFont="1" applyAlignment="1">
      <alignment horizontal="center"/>
    </xf>
    <xf numFmtId="166" fontId="1" fillId="0" borderId="1" xfId="0" applyNumberFormat="1" applyFont="1" applyBorder="1"/>
    <xf numFmtId="0" fontId="1" fillId="0" borderId="0" xfId="0" applyFont="1"/>
    <xf numFmtId="0" fontId="15" fillId="0" borderId="1" xfId="0" applyFont="1" applyBorder="1" applyAlignment="1">
      <alignment wrapText="1"/>
    </xf>
    <xf numFmtId="0" fontId="38" fillId="0" borderId="0" xfId="0" applyFont="1" applyAlignment="1">
      <alignment wrapText="1"/>
    </xf>
    <xf numFmtId="166" fontId="3" fillId="0" borderId="1" xfId="0" applyNumberFormat="1" applyFont="1" applyBorder="1"/>
    <xf numFmtId="0" fontId="12" fillId="0" borderId="1" xfId="0" applyFont="1" applyBorder="1" applyAlignment="1">
      <alignment wrapText="1"/>
    </xf>
    <xf numFmtId="166" fontId="14" fillId="0" borderId="1" xfId="0" applyNumberFormat="1" applyFont="1" applyBorder="1"/>
    <xf numFmtId="0" fontId="13" fillId="0" borderId="2" xfId="0" applyFont="1" applyBorder="1"/>
    <xf numFmtId="0" fontId="38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30" fillId="0" borderId="10" xfId="0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39" fillId="0" borderId="0" xfId="0" applyFont="1" applyAlignment="1">
      <alignment vertical="justify" wrapText="1"/>
    </xf>
    <xf numFmtId="0" fontId="0" fillId="0" borderId="1" xfId="0" applyBorder="1"/>
    <xf numFmtId="0" fontId="0" fillId="0" borderId="0" xfId="0" applyFill="1" applyBorder="1"/>
    <xf numFmtId="0" fontId="0" fillId="0" borderId="1" xfId="0" applyBorder="1" applyAlignment="1">
      <alignment wrapText="1"/>
    </xf>
    <xf numFmtId="164" fontId="4" fillId="0" borderId="1" xfId="0" applyNumberFormat="1" applyFont="1" applyBorder="1" applyAlignment="1">
      <alignment horizontal="center"/>
    </xf>
    <xf numFmtId="0" fontId="0" fillId="0" borderId="1" xfId="0" applyBorder="1" applyAlignment="1">
      <alignment wrapText="1"/>
    </xf>
    <xf numFmtId="0" fontId="39" fillId="0" borderId="0" xfId="0" applyFont="1" applyAlignment="1">
      <alignment wrapText="1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justify" vertical="center"/>
    </xf>
    <xf numFmtId="0" fontId="11" fillId="0" borderId="0" xfId="0" applyFont="1"/>
    <xf numFmtId="0" fontId="0" fillId="0" borderId="8" xfId="0" applyBorder="1" applyAlignment="1">
      <alignment wrapText="1"/>
    </xf>
    <xf numFmtId="164" fontId="11" fillId="0" borderId="0" xfId="0" applyNumberFormat="1" applyFont="1" applyBorder="1"/>
    <xf numFmtId="1" fontId="40" fillId="0" borderId="1" xfId="4" applyNumberFormat="1" applyBorder="1" applyAlignment="1" applyProtection="1">
      <alignment horizontal="center" shrinkToFit="1"/>
    </xf>
    <xf numFmtId="0" fontId="39" fillId="0" borderId="1" xfId="0" applyFont="1" applyBorder="1" applyAlignment="1">
      <alignment wrapText="1"/>
    </xf>
    <xf numFmtId="49" fontId="41" fillId="0" borderId="14" xfId="4" applyNumberFormat="1" applyFont="1" applyBorder="1" applyAlignment="1" applyProtection="1">
      <alignment horizontal="center" shrinkToFit="1"/>
    </xf>
    <xf numFmtId="0" fontId="0" fillId="0" borderId="1" xfId="0" applyFont="1" applyFill="1" applyBorder="1"/>
    <xf numFmtId="164" fontId="0" fillId="0" borderId="1" xfId="0" applyNumberFormat="1" applyFont="1" applyFill="1" applyBorder="1"/>
    <xf numFmtId="0" fontId="42" fillId="0" borderId="1" xfId="0" applyFont="1" applyFill="1" applyBorder="1"/>
    <xf numFmtId="49" fontId="11" fillId="0" borderId="1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49" fontId="11" fillId="0" borderId="1" xfId="1" applyNumberFormat="1" applyFont="1" applyBorder="1" applyAlignment="1">
      <alignment horizontal="center"/>
    </xf>
    <xf numFmtId="0" fontId="0" fillId="0" borderId="1" xfId="0" applyBorder="1" applyAlignment="1">
      <alignment wrapText="1"/>
    </xf>
    <xf numFmtId="49" fontId="40" fillId="0" borderId="1" xfId="4" applyNumberFormat="1" applyBorder="1" applyAlignment="1" applyProtection="1">
      <alignment horizontal="center" wrapText="1" shrinkToFit="1"/>
    </xf>
    <xf numFmtId="49" fontId="40" fillId="0" borderId="14" xfId="4" applyNumberFormat="1" applyBorder="1" applyAlignment="1" applyProtection="1">
      <alignment horizontal="center" shrinkToFi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49" fontId="40" fillId="0" borderId="15" xfId="4" applyNumberFormat="1" applyBorder="1" applyAlignment="1" applyProtection="1">
      <alignment horizontal="center" shrinkToFit="1"/>
    </xf>
    <xf numFmtId="0" fontId="14" fillId="0" borderId="1" xfId="0" applyFont="1" applyFill="1" applyBorder="1" applyAlignment="1">
      <alignment wrapText="1"/>
    </xf>
    <xf numFmtId="1" fontId="44" fillId="0" borderId="1" xfId="4" applyNumberFormat="1" applyFont="1" applyBorder="1" applyAlignment="1" applyProtection="1">
      <alignment horizontal="center" shrinkToFi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1" fontId="45" fillId="0" borderId="1" xfId="4" applyNumberFormat="1" applyFont="1" applyBorder="1" applyAlignment="1" applyProtection="1">
      <alignment horizontal="center" shrinkToFit="1"/>
    </xf>
    <xf numFmtId="0" fontId="0" fillId="0" borderId="0" xfId="0" applyAlignment="1">
      <alignment wrapText="1"/>
    </xf>
    <xf numFmtId="0" fontId="0" fillId="0" borderId="8" xfId="0" applyBorder="1" applyAlignment="1">
      <alignment wrapText="1"/>
    </xf>
    <xf numFmtId="0" fontId="0" fillId="0" borderId="1" xfId="0" applyBorder="1" applyAlignment="1">
      <alignment wrapText="1"/>
    </xf>
    <xf numFmtId="49" fontId="11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1" fontId="45" fillId="0" borderId="1" xfId="4" applyNumberFormat="1" applyFont="1" applyFill="1" applyBorder="1" applyAlignment="1" applyProtection="1">
      <alignment horizontal="center" shrinkToFit="1"/>
    </xf>
    <xf numFmtId="0" fontId="46" fillId="0" borderId="1" xfId="0" applyFont="1" applyBorder="1" applyAlignment="1">
      <alignment wrapText="1"/>
    </xf>
    <xf numFmtId="0" fontId="46" fillId="0" borderId="1" xfId="0" applyFont="1" applyBorder="1" applyAlignment="1">
      <alignment vertical="top" wrapText="1"/>
    </xf>
    <xf numFmtId="0" fontId="46" fillId="0" borderId="1" xfId="0" applyFont="1" applyFill="1" applyBorder="1" applyAlignment="1">
      <alignment wrapText="1"/>
    </xf>
    <xf numFmtId="0" fontId="11" fillId="0" borderId="0" xfId="0" applyFont="1" applyAlignment="1">
      <alignment horizontal="center"/>
    </xf>
    <xf numFmtId="0" fontId="22" fillId="0" borderId="0" xfId="0" applyFont="1" applyAlignment="1">
      <alignment horizontal="justify" vertical="center"/>
    </xf>
    <xf numFmtId="49" fontId="0" fillId="0" borderId="4" xfId="0" applyNumberFormat="1" applyFont="1" applyBorder="1" applyAlignment="1">
      <alignment horizontal="center"/>
    </xf>
    <xf numFmtId="0" fontId="22" fillId="0" borderId="0" xfId="0" applyFont="1" applyAlignment="1">
      <alignment horizontal="left" vertical="center" wrapText="1"/>
    </xf>
    <xf numFmtId="49" fontId="11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49" fontId="39" fillId="0" borderId="1" xfId="0" applyNumberFormat="1" applyFont="1" applyBorder="1" applyAlignment="1">
      <alignment horizontal="center"/>
    </xf>
    <xf numFmtId="0" fontId="11" fillId="0" borderId="0" xfId="0" applyFont="1" applyAlignment="1">
      <alignment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wrapText="1"/>
    </xf>
    <xf numFmtId="0" fontId="3" fillId="0" borderId="1" xfId="0" applyFont="1" applyBorder="1"/>
    <xf numFmtId="49" fontId="12" fillId="0" borderId="1" xfId="0" applyNumberFormat="1" applyFont="1" applyBorder="1" applyAlignment="1">
      <alignment horizontal="center"/>
    </xf>
    <xf numFmtId="0" fontId="47" fillId="0" borderId="1" xfId="0" applyFont="1" applyBorder="1" applyAlignment="1">
      <alignment wrapText="1"/>
    </xf>
    <xf numFmtId="49" fontId="15" fillId="0" borderId="1" xfId="0" applyNumberFormat="1" applyFont="1" applyBorder="1" applyAlignment="1">
      <alignment horizontal="center"/>
    </xf>
    <xf numFmtId="49" fontId="13" fillId="0" borderId="1" xfId="0" applyNumberFormat="1" applyFont="1" applyBorder="1" applyAlignment="1">
      <alignment horizontal="center"/>
    </xf>
    <xf numFmtId="0" fontId="48" fillId="0" borderId="1" xfId="0" applyFont="1" applyBorder="1"/>
    <xf numFmtId="0" fontId="49" fillId="0" borderId="0" xfId="0" applyFont="1" applyAlignment="1">
      <alignment wrapText="1"/>
    </xf>
    <xf numFmtId="0" fontId="32" fillId="0" borderId="1" xfId="0" applyFont="1" applyBorder="1" applyAlignment="1">
      <alignment wrapText="1"/>
    </xf>
    <xf numFmtId="0" fontId="38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2" fillId="0" borderId="0" xfId="0" applyFont="1" applyAlignment="1">
      <alignment horizontal="left" indent="21"/>
    </xf>
    <xf numFmtId="0" fontId="0" fillId="0" borderId="0" xfId="0" applyAlignment="1">
      <alignment horizontal="left" indent="21"/>
    </xf>
    <xf numFmtId="0" fontId="6" fillId="0" borderId="0" xfId="0" applyFont="1" applyAlignment="1">
      <alignment horizontal="center" wrapText="1"/>
    </xf>
    <xf numFmtId="0" fontId="6" fillId="0" borderId="0" xfId="0" applyFont="1"/>
    <xf numFmtId="0" fontId="0" fillId="0" borderId="6" xfId="0" applyBorder="1" applyAlignment="1">
      <alignment horizontal="center" wrapText="1"/>
    </xf>
    <xf numFmtId="14" fontId="0" fillId="0" borderId="1" xfId="0" applyNumberFormat="1" applyFont="1" applyBorder="1" applyAlignment="1">
      <alignment horizontal="right" wrapText="1"/>
    </xf>
    <xf numFmtId="0" fontId="3" fillId="0" borderId="0" xfId="0" applyFont="1" applyBorder="1"/>
    <xf numFmtId="49" fontId="3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wrapText="1"/>
    </xf>
    <xf numFmtId="164" fontId="1" fillId="0" borderId="0" xfId="0" applyNumberFormat="1" applyFont="1" applyBorder="1"/>
    <xf numFmtId="49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left" indent="20"/>
    </xf>
    <xf numFmtId="49" fontId="41" fillId="0" borderId="0" xfId="4" applyNumberFormat="1" applyFont="1" applyBorder="1" applyAlignment="1" applyProtection="1">
      <alignment horizontal="center" shrinkToFit="1"/>
    </xf>
    <xf numFmtId="49" fontId="41" fillId="0" borderId="15" xfId="4" applyNumberFormat="1" applyFont="1" applyBorder="1" applyAlignment="1" applyProtection="1">
      <alignment horizontal="center" shrinkToFit="1"/>
    </xf>
    <xf numFmtId="49" fontId="41" fillId="0" borderId="1" xfId="4" applyNumberFormat="1" applyFont="1" applyBorder="1" applyAlignment="1" applyProtection="1">
      <alignment horizontal="center" shrinkToFit="1"/>
    </xf>
    <xf numFmtId="0" fontId="11" fillId="0" borderId="20" xfId="0" applyFont="1" applyBorder="1" applyAlignment="1">
      <alignment vertical="center" wrapText="1"/>
    </xf>
    <xf numFmtId="164" fontId="11" fillId="0" borderId="1" xfId="0" applyNumberFormat="1" applyFont="1" applyFill="1" applyBorder="1"/>
    <xf numFmtId="0" fontId="0" fillId="0" borderId="1" xfId="0" applyBorder="1" applyAlignment="1">
      <alignment wrapText="1"/>
    </xf>
    <xf numFmtId="0" fontId="5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2" fillId="0" borderId="0" xfId="0" applyFont="1" applyAlignment="1">
      <alignment horizontal="left" indent="8"/>
    </xf>
    <xf numFmtId="0" fontId="0" fillId="0" borderId="0" xfId="0" applyAlignment="1">
      <alignment horizontal="left" indent="26"/>
    </xf>
    <xf numFmtId="0" fontId="0" fillId="0" borderId="0" xfId="0" applyAlignment="1">
      <alignment horizontal="left" indent="30"/>
    </xf>
    <xf numFmtId="0" fontId="0" fillId="0" borderId="1" xfId="0" applyBorder="1" applyAlignment="1">
      <alignment horizontal="center" vertical="center" wrapText="1"/>
    </xf>
    <xf numFmtId="164" fontId="11" fillId="0" borderId="1" xfId="0" applyNumberFormat="1" applyFont="1" applyBorder="1" applyAlignment="1">
      <alignment wrapText="1"/>
    </xf>
    <xf numFmtId="164" fontId="11" fillId="0" borderId="2" xfId="0" applyNumberFormat="1" applyFont="1" applyBorder="1" applyAlignment="1">
      <alignment wrapText="1"/>
    </xf>
    <xf numFmtId="164" fontId="0" fillId="0" borderId="2" xfId="0" applyNumberFormat="1" applyBorder="1" applyAlignment="1">
      <alignment wrapText="1"/>
    </xf>
    <xf numFmtId="164" fontId="11" fillId="0" borderId="1" xfId="0" applyNumberFormat="1" applyFont="1" applyFill="1" applyBorder="1" applyAlignment="1">
      <alignment wrapText="1"/>
    </xf>
    <xf numFmtId="164" fontId="0" fillId="0" borderId="1" xfId="0" applyNumberFormat="1" applyBorder="1" applyAlignment="1">
      <alignment wrapText="1"/>
    </xf>
    <xf numFmtId="164" fontId="0" fillId="0" borderId="1" xfId="0" applyNumberFormat="1" applyFill="1" applyBorder="1" applyAlignment="1">
      <alignment wrapText="1"/>
    </xf>
    <xf numFmtId="0" fontId="0" fillId="0" borderId="4" xfId="0" applyBorder="1" applyAlignment="1">
      <alignment horizontal="center" vertical="center" wrapText="1"/>
    </xf>
    <xf numFmtId="164" fontId="16" fillId="0" borderId="0" xfId="0" applyNumberFormat="1" applyFont="1"/>
    <xf numFmtId="164" fontId="5" fillId="0" borderId="0" xfId="0" applyNumberFormat="1" applyFont="1"/>
    <xf numFmtId="164" fontId="4" fillId="0" borderId="1" xfId="0" applyNumberFormat="1" applyFont="1" applyFill="1" applyBorder="1"/>
    <xf numFmtId="0" fontId="2" fillId="0" borderId="0" xfId="0" applyFont="1" applyAlignment="1">
      <alignment horizontal="left" indent="14"/>
    </xf>
    <xf numFmtId="0" fontId="2" fillId="0" borderId="0" xfId="0" applyFont="1" applyAlignment="1">
      <alignment horizontal="left" indent="14"/>
    </xf>
    <xf numFmtId="49" fontId="3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2" fillId="0" borderId="0" xfId="0" applyFont="1" applyAlignment="1">
      <alignment horizontal="left" indent="14"/>
    </xf>
    <xf numFmtId="0" fontId="2" fillId="0" borderId="0" xfId="0" applyFont="1" applyAlignment="1">
      <alignment horizontal="left" wrapText="1" indent="14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13" fillId="0" borderId="1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49" fontId="11" fillId="0" borderId="2" xfId="0" applyNumberFormat="1" applyFont="1" applyBorder="1" applyAlignment="1">
      <alignment horizontal="center" wrapText="1"/>
    </xf>
    <xf numFmtId="164" fontId="0" fillId="0" borderId="2" xfId="0" applyNumberFormat="1" applyBorder="1" applyAlignment="1">
      <alignment wrapText="1"/>
    </xf>
    <xf numFmtId="49" fontId="11" fillId="0" borderId="2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164" fontId="11" fillId="0" borderId="2" xfId="0" applyNumberFormat="1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wrapText="1"/>
    </xf>
    <xf numFmtId="164" fontId="0" fillId="0" borderId="4" xfId="0" applyNumberFormat="1" applyFill="1" applyBorder="1" applyAlignment="1">
      <alignment wrapText="1"/>
    </xf>
    <xf numFmtId="49" fontId="11" fillId="0" borderId="2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2" xfId="0" applyNumberFormat="1" applyFill="1" applyBorder="1" applyAlignment="1">
      <alignment vertical="center" wrapText="1"/>
    </xf>
    <xf numFmtId="164" fontId="0" fillId="0" borderId="4" xfId="0" applyNumberFormat="1" applyFill="1" applyBorder="1" applyAlignment="1">
      <alignment vertical="center" wrapText="1"/>
    </xf>
    <xf numFmtId="0" fontId="0" fillId="0" borderId="11" xfId="0" applyBorder="1" applyAlignment="1">
      <alignment wrapText="1"/>
    </xf>
  </cellXfs>
  <cellStyles count="6">
    <cellStyle name="Normal" xfId="1"/>
    <cellStyle name="xl25" xfId="4"/>
    <cellStyle name="xl37" xfId="5"/>
    <cellStyle name="Название" xfId="2" builtinId="15" customBuiltin="1"/>
    <cellStyle name="Обычный" xfId="0" builtinId="0"/>
    <cellStyle name="Обычный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3063"/>
      <rgbColor rgb="00EAEAEA"/>
      <rgbColor rgb="00333333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view="pageBreakPreview" topLeftCell="A28" zoomScale="200" zoomScaleNormal="100" zoomScaleSheetLayoutView="200" workbookViewId="0">
      <selection activeCell="G2" sqref="G2"/>
    </sheetView>
  </sheetViews>
  <sheetFormatPr defaultColWidth="9.140625" defaultRowHeight="12.75" x14ac:dyDescent="0.2"/>
  <cols>
    <col min="1" max="1" width="24" style="93" customWidth="1"/>
    <col min="2" max="2" width="33.85546875" style="93" customWidth="1"/>
    <col min="3" max="3" width="11.7109375" style="93" customWidth="1"/>
    <col min="4" max="4" width="10" style="93" hidden="1" customWidth="1"/>
    <col min="5" max="5" width="1.85546875" style="93" hidden="1" customWidth="1"/>
    <col min="6" max="6" width="11.28515625" style="93" customWidth="1"/>
    <col min="7" max="7" width="11.140625" style="93" customWidth="1"/>
    <col min="8" max="16384" width="9.140625" style="93"/>
  </cols>
  <sheetData>
    <row r="1" spans="1:3" x14ac:dyDescent="0.2">
      <c r="A1" s="7"/>
      <c r="B1" s="253" t="s">
        <v>139</v>
      </c>
      <c r="C1" s="90"/>
    </row>
    <row r="2" spans="1:3" x14ac:dyDescent="0.2">
      <c r="A2" s="7"/>
      <c r="B2" s="253" t="s">
        <v>683</v>
      </c>
      <c r="C2" s="90"/>
    </row>
    <row r="3" spans="1:3" x14ac:dyDescent="0.2">
      <c r="A3" s="7"/>
      <c r="B3" s="254" t="s">
        <v>877</v>
      </c>
      <c r="C3" s="90"/>
    </row>
    <row r="4" spans="1:3" x14ac:dyDescent="0.2">
      <c r="A4" s="7"/>
      <c r="B4" s="253" t="s">
        <v>684</v>
      </c>
      <c r="C4" s="90"/>
    </row>
    <row r="5" spans="1:3" x14ac:dyDescent="0.2">
      <c r="A5" s="7"/>
      <c r="B5" s="253" t="s">
        <v>685</v>
      </c>
      <c r="C5" s="90"/>
    </row>
    <row r="6" spans="1:3" x14ac:dyDescent="0.2">
      <c r="A6" s="7"/>
      <c r="B6" s="253" t="s">
        <v>145</v>
      </c>
      <c r="C6" s="90"/>
    </row>
    <row r="7" spans="1:3" x14ac:dyDescent="0.2">
      <c r="A7" s="7"/>
      <c r="B7" s="253" t="s">
        <v>501</v>
      </c>
      <c r="C7" s="90"/>
    </row>
    <row r="8" spans="1:3" x14ac:dyDescent="0.2">
      <c r="A8" s="7"/>
      <c r="B8" s="253"/>
      <c r="C8" s="90"/>
    </row>
    <row r="9" spans="1:3" x14ac:dyDescent="0.2">
      <c r="A9" s="7"/>
      <c r="B9" s="253" t="s">
        <v>139</v>
      </c>
      <c r="C9" s="90"/>
    </row>
    <row r="10" spans="1:3" x14ac:dyDescent="0.2">
      <c r="A10" s="7"/>
      <c r="B10" s="253" t="s">
        <v>390</v>
      </c>
      <c r="C10" s="90"/>
    </row>
    <row r="11" spans="1:3" x14ac:dyDescent="0.2">
      <c r="A11" s="7"/>
      <c r="B11" s="253" t="s">
        <v>686</v>
      </c>
      <c r="C11" s="90"/>
    </row>
    <row r="12" spans="1:3" x14ac:dyDescent="0.2">
      <c r="A12" s="7"/>
      <c r="B12" s="253" t="s">
        <v>145</v>
      </c>
      <c r="C12" s="90"/>
    </row>
    <row r="13" spans="1:3" x14ac:dyDescent="0.2">
      <c r="A13" s="7"/>
      <c r="B13" s="253" t="s">
        <v>501</v>
      </c>
      <c r="C13" s="90"/>
    </row>
    <row r="14" spans="1:3" x14ac:dyDescent="0.2">
      <c r="A14" s="7"/>
      <c r="B14" s="253"/>
      <c r="C14" s="90"/>
    </row>
    <row r="15" spans="1:3" x14ac:dyDescent="0.2">
      <c r="A15" s="7"/>
      <c r="B15" s="253"/>
      <c r="C15" s="90"/>
    </row>
    <row r="16" spans="1:3" x14ac:dyDescent="0.2">
      <c r="A16" s="7"/>
      <c r="B16" s="253"/>
      <c r="C16" s="90"/>
    </row>
    <row r="17" spans="1:7" ht="28.5" customHeight="1" x14ac:dyDescent="0.2">
      <c r="A17" s="257" t="s">
        <v>502</v>
      </c>
      <c r="B17" s="258"/>
      <c r="C17" s="258"/>
      <c r="D17" s="259"/>
      <c r="E17" s="259"/>
      <c r="F17" s="259"/>
      <c r="G17" s="259"/>
    </row>
    <row r="19" spans="1:7" x14ac:dyDescent="0.2">
      <c r="C19" s="134"/>
    </row>
    <row r="20" spans="1:7" ht="12.75" customHeight="1" x14ac:dyDescent="0.2">
      <c r="A20" s="260" t="s">
        <v>330</v>
      </c>
      <c r="B20" s="263" t="s">
        <v>92</v>
      </c>
      <c r="C20" s="266" t="s">
        <v>29</v>
      </c>
      <c r="D20" s="267"/>
      <c r="E20" s="267"/>
      <c r="F20" s="267"/>
      <c r="G20" s="268"/>
    </row>
    <row r="21" spans="1:7" ht="12.75" customHeight="1" x14ac:dyDescent="0.2">
      <c r="A21" s="261"/>
      <c r="B21" s="264"/>
      <c r="C21" s="269" t="s">
        <v>372</v>
      </c>
      <c r="D21" s="256" t="s">
        <v>142</v>
      </c>
      <c r="E21" s="256"/>
      <c r="F21" s="256" t="s">
        <v>142</v>
      </c>
      <c r="G21" s="256"/>
    </row>
    <row r="22" spans="1:7" x14ac:dyDescent="0.2">
      <c r="A22" s="262"/>
      <c r="B22" s="265"/>
      <c r="C22" s="269"/>
      <c r="D22" s="148" t="s">
        <v>143</v>
      </c>
      <c r="E22" s="148" t="s">
        <v>144</v>
      </c>
      <c r="F22" s="148" t="s">
        <v>392</v>
      </c>
      <c r="G22" s="148" t="s">
        <v>499</v>
      </c>
    </row>
    <row r="23" spans="1:7" s="136" customFormat="1" ht="34.15" customHeight="1" x14ac:dyDescent="0.2">
      <c r="A23" s="201" t="s">
        <v>764</v>
      </c>
      <c r="B23" s="202" t="s">
        <v>868</v>
      </c>
      <c r="C23" s="139">
        <f>C24+C26</f>
        <v>24975</v>
      </c>
      <c r="D23" s="139">
        <f>D24+D26</f>
        <v>-47400</v>
      </c>
      <c r="E23" s="139">
        <f>E24+E26</f>
        <v>-47400</v>
      </c>
      <c r="F23" s="139">
        <f>F24+F26</f>
        <v>0</v>
      </c>
      <c r="G23" s="139">
        <f>G24+G26</f>
        <v>-24975</v>
      </c>
    </row>
    <row r="24" spans="1:7" s="136" customFormat="1" ht="48" x14ac:dyDescent="0.2">
      <c r="A24" s="203" t="s">
        <v>869</v>
      </c>
      <c r="B24" s="137" t="s">
        <v>870</v>
      </c>
      <c r="C24" s="135">
        <v>24975</v>
      </c>
      <c r="D24" s="135"/>
      <c r="E24" s="135"/>
      <c r="F24" s="135"/>
      <c r="G24" s="135"/>
    </row>
    <row r="25" spans="1:7" s="136" customFormat="1" ht="45.6" customHeight="1" x14ac:dyDescent="0.2">
      <c r="A25" s="204" t="s">
        <v>871</v>
      </c>
      <c r="B25" s="138" t="s">
        <v>872</v>
      </c>
      <c r="C25" s="135">
        <v>24975</v>
      </c>
      <c r="D25" s="135"/>
      <c r="E25" s="135"/>
      <c r="F25" s="135"/>
      <c r="G25" s="135"/>
    </row>
    <row r="26" spans="1:7" s="136" customFormat="1" ht="60" x14ac:dyDescent="0.2">
      <c r="A26" s="203" t="s">
        <v>873</v>
      </c>
      <c r="B26" s="137" t="s">
        <v>874</v>
      </c>
      <c r="C26" s="135">
        <f>C27</f>
        <v>0</v>
      </c>
      <c r="D26" s="135">
        <f t="shared" ref="D26:G26" si="0">D27</f>
        <v>-47400</v>
      </c>
      <c r="E26" s="135">
        <f t="shared" si="0"/>
        <v>-47400</v>
      </c>
      <c r="F26" s="135">
        <f t="shared" si="0"/>
        <v>0</v>
      </c>
      <c r="G26" s="135">
        <f t="shared" si="0"/>
        <v>-24975</v>
      </c>
    </row>
    <row r="27" spans="1:7" s="136" customFormat="1" ht="51.6" customHeight="1" x14ac:dyDescent="0.2">
      <c r="A27" s="204" t="s">
        <v>875</v>
      </c>
      <c r="B27" s="138" t="s">
        <v>876</v>
      </c>
      <c r="C27" s="135">
        <v>0</v>
      </c>
      <c r="D27" s="135">
        <v>-47400</v>
      </c>
      <c r="E27" s="135">
        <v>-47400</v>
      </c>
      <c r="F27" s="135">
        <v>0</v>
      </c>
      <c r="G27" s="135">
        <v>-24975</v>
      </c>
    </row>
    <row r="28" spans="1:7" s="136" customFormat="1" ht="25.5" customHeight="1" x14ac:dyDescent="0.2">
      <c r="A28" s="94" t="s">
        <v>331</v>
      </c>
      <c r="B28" s="140" t="s">
        <v>332</v>
      </c>
      <c r="C28" s="139">
        <f t="shared" ref="C28:G28" si="1">C29+C31</f>
        <v>40823.899999999907</v>
      </c>
      <c r="D28" s="139">
        <f t="shared" si="1"/>
        <v>0</v>
      </c>
      <c r="E28" s="139">
        <f t="shared" si="1"/>
        <v>0</v>
      </c>
      <c r="F28" s="139">
        <f t="shared" si="1"/>
        <v>1726.1999999999534</v>
      </c>
      <c r="G28" s="139">
        <f t="shared" si="1"/>
        <v>0</v>
      </c>
    </row>
    <row r="29" spans="1:7" s="19" customFormat="1" ht="24" x14ac:dyDescent="0.2">
      <c r="A29" s="24" t="s">
        <v>333</v>
      </c>
      <c r="B29" s="137" t="s">
        <v>334</v>
      </c>
      <c r="C29" s="141">
        <f>C30</f>
        <v>-1221326.1000000001</v>
      </c>
      <c r="D29" s="141">
        <f t="shared" ref="D29:G29" si="2">D30</f>
        <v>0</v>
      </c>
      <c r="E29" s="141">
        <f t="shared" si="2"/>
        <v>0</v>
      </c>
      <c r="F29" s="141">
        <f t="shared" si="2"/>
        <v>-935486.8</v>
      </c>
      <c r="G29" s="141">
        <f t="shared" si="2"/>
        <v>-930190</v>
      </c>
    </row>
    <row r="30" spans="1:7" ht="24" x14ac:dyDescent="0.2">
      <c r="A30" s="25" t="s">
        <v>765</v>
      </c>
      <c r="B30" s="138" t="s">
        <v>335</v>
      </c>
      <c r="C30" s="135">
        <v>-1221326.1000000001</v>
      </c>
      <c r="D30" s="135"/>
      <c r="E30" s="135"/>
      <c r="F30" s="135">
        <v>-935486.8</v>
      </c>
      <c r="G30" s="135">
        <v>-930190</v>
      </c>
    </row>
    <row r="31" spans="1:7" ht="24" x14ac:dyDescent="0.2">
      <c r="A31" s="24" t="s">
        <v>336</v>
      </c>
      <c r="B31" s="137" t="s">
        <v>337</v>
      </c>
      <c r="C31" s="141">
        <f>C32</f>
        <v>1262150</v>
      </c>
      <c r="D31" s="141">
        <f t="shared" ref="D31:G31" si="3">D32</f>
        <v>0</v>
      </c>
      <c r="E31" s="141">
        <f t="shared" si="3"/>
        <v>0</v>
      </c>
      <c r="F31" s="141">
        <f t="shared" si="3"/>
        <v>937213</v>
      </c>
      <c r="G31" s="141">
        <f t="shared" si="3"/>
        <v>930190</v>
      </c>
    </row>
    <row r="32" spans="1:7" ht="27.75" customHeight="1" x14ac:dyDescent="0.2">
      <c r="A32" s="142" t="s">
        <v>766</v>
      </c>
      <c r="B32" s="143" t="s">
        <v>338</v>
      </c>
      <c r="C32" s="135">
        <v>1262150</v>
      </c>
      <c r="D32" s="135"/>
      <c r="E32" s="135"/>
      <c r="F32" s="135">
        <v>937213</v>
      </c>
      <c r="G32" s="135">
        <v>930190</v>
      </c>
    </row>
    <row r="33" spans="1:7" ht="24" x14ac:dyDescent="0.2">
      <c r="A33" s="205" t="s">
        <v>767</v>
      </c>
      <c r="B33" s="206" t="s">
        <v>768</v>
      </c>
      <c r="C33" s="139">
        <f>C34</f>
        <v>0</v>
      </c>
      <c r="D33" s="139"/>
      <c r="E33" s="139"/>
      <c r="F33" s="139">
        <f t="shared" ref="F33:G35" si="4">F34</f>
        <v>0</v>
      </c>
      <c r="G33" s="139">
        <f t="shared" si="4"/>
        <v>0</v>
      </c>
    </row>
    <row r="34" spans="1:7" ht="35.450000000000003" customHeight="1" x14ac:dyDescent="0.2">
      <c r="A34" s="70" t="s">
        <v>769</v>
      </c>
      <c r="B34" s="207" t="s">
        <v>770</v>
      </c>
      <c r="C34" s="135">
        <f>C35</f>
        <v>0</v>
      </c>
      <c r="D34" s="135"/>
      <c r="E34" s="135"/>
      <c r="F34" s="141">
        <f t="shared" si="4"/>
        <v>0</v>
      </c>
      <c r="G34" s="141">
        <f t="shared" si="4"/>
        <v>0</v>
      </c>
    </row>
    <row r="35" spans="1:7" ht="48" x14ac:dyDescent="0.2">
      <c r="A35" s="208" t="s">
        <v>771</v>
      </c>
      <c r="B35" s="143" t="s">
        <v>772</v>
      </c>
      <c r="C35" s="135">
        <f>C36</f>
        <v>0</v>
      </c>
      <c r="D35" s="135"/>
      <c r="E35" s="135"/>
      <c r="F35" s="135">
        <f t="shared" si="4"/>
        <v>0</v>
      </c>
      <c r="G35" s="135">
        <f t="shared" si="4"/>
        <v>0</v>
      </c>
    </row>
    <row r="36" spans="1:7" ht="36" x14ac:dyDescent="0.2">
      <c r="A36" s="208"/>
      <c r="B36" s="143" t="s">
        <v>773</v>
      </c>
      <c r="C36" s="135"/>
      <c r="D36" s="135"/>
      <c r="E36" s="135"/>
      <c r="F36" s="135">
        <v>0</v>
      </c>
      <c r="G36" s="135"/>
    </row>
    <row r="37" spans="1:7" ht="12.75" customHeight="1" x14ac:dyDescent="0.2">
      <c r="A37" s="255" t="s">
        <v>339</v>
      </c>
      <c r="B37" s="256"/>
      <c r="C37" s="139">
        <f>C23+C29+C31+C33</f>
        <v>65798.899999999907</v>
      </c>
      <c r="D37" s="139">
        <f t="shared" ref="D37:G37" si="5">D23+D29+D31+D33</f>
        <v>-47400</v>
      </c>
      <c r="E37" s="139">
        <f t="shared" si="5"/>
        <v>-47400</v>
      </c>
      <c r="F37" s="139">
        <f t="shared" si="5"/>
        <v>1726.1999999999534</v>
      </c>
      <c r="G37" s="139">
        <f t="shared" si="5"/>
        <v>-24975</v>
      </c>
    </row>
  </sheetData>
  <mergeCells count="8">
    <mergeCell ref="A37:B37"/>
    <mergeCell ref="A17:G17"/>
    <mergeCell ref="A20:A22"/>
    <mergeCell ref="B20:B22"/>
    <mergeCell ref="C20:G20"/>
    <mergeCell ref="C21:C22"/>
    <mergeCell ref="D21:E21"/>
    <mergeCell ref="F21:G21"/>
  </mergeCells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G67"/>
  <sheetViews>
    <sheetView view="pageBreakPreview" zoomScale="60" zoomScaleNormal="100" workbookViewId="0">
      <selection activeCell="E5" sqref="E5"/>
    </sheetView>
  </sheetViews>
  <sheetFormatPr defaultColWidth="9.140625" defaultRowHeight="14.25" x14ac:dyDescent="0.2"/>
  <cols>
    <col min="1" max="1" width="3" style="19" customWidth="1"/>
    <col min="2" max="2" width="3.140625" style="93" customWidth="1"/>
    <col min="3" max="3" width="3.28515625" style="93" customWidth="1"/>
    <col min="4" max="4" width="43" style="93" customWidth="1"/>
    <col min="5" max="5" width="12.42578125" style="93" customWidth="1"/>
    <col min="6" max="6" width="12" style="93" customWidth="1"/>
    <col min="7" max="7" width="11.42578125" style="93" customWidth="1"/>
    <col min="8" max="16384" width="9.140625" style="93"/>
  </cols>
  <sheetData>
    <row r="1" spans="1:7" x14ac:dyDescent="0.2">
      <c r="D1" s="89" t="s">
        <v>624</v>
      </c>
    </row>
    <row r="2" spans="1:7" x14ac:dyDescent="0.2">
      <c r="D2" s="89" t="s">
        <v>683</v>
      </c>
    </row>
    <row r="3" spans="1:7" x14ac:dyDescent="0.2">
      <c r="D3" s="89" t="s">
        <v>878</v>
      </c>
    </row>
    <row r="4" spans="1:7" x14ac:dyDescent="0.2">
      <c r="D4" s="89" t="s">
        <v>684</v>
      </c>
    </row>
    <row r="5" spans="1:7" x14ac:dyDescent="0.2">
      <c r="D5" s="89" t="s">
        <v>685</v>
      </c>
    </row>
    <row r="6" spans="1:7" x14ac:dyDescent="0.2">
      <c r="D6" s="89" t="s">
        <v>145</v>
      </c>
    </row>
    <row r="7" spans="1:7" x14ac:dyDescent="0.2">
      <c r="D7" s="89" t="s">
        <v>501</v>
      </c>
    </row>
    <row r="8" spans="1:7" x14ac:dyDescent="0.2">
      <c r="D8" s="89"/>
      <c r="E8" s="7"/>
    </row>
    <row r="9" spans="1:7" x14ac:dyDescent="0.2">
      <c r="D9" s="89" t="s">
        <v>624</v>
      </c>
      <c r="E9" s="7"/>
    </row>
    <row r="10" spans="1:7" x14ac:dyDescent="0.2">
      <c r="D10" s="89" t="s">
        <v>390</v>
      </c>
      <c r="E10" s="7"/>
    </row>
    <row r="11" spans="1:7" x14ac:dyDescent="0.2">
      <c r="D11" s="89" t="s">
        <v>686</v>
      </c>
      <c r="E11" s="7"/>
    </row>
    <row r="12" spans="1:7" x14ac:dyDescent="0.2">
      <c r="D12" s="89" t="s">
        <v>145</v>
      </c>
      <c r="E12" s="7"/>
    </row>
    <row r="13" spans="1:7" x14ac:dyDescent="0.2">
      <c r="D13" s="89" t="s">
        <v>501</v>
      </c>
      <c r="E13" s="7"/>
    </row>
    <row r="14" spans="1:7" x14ac:dyDescent="0.2">
      <c r="D14" s="89"/>
      <c r="E14" s="7"/>
    </row>
    <row r="15" spans="1:7" x14ac:dyDescent="0.2">
      <c r="E15" s="7"/>
    </row>
    <row r="16" spans="1:7" ht="47.25" customHeight="1" x14ac:dyDescent="0.2">
      <c r="A16" s="257" t="s">
        <v>500</v>
      </c>
      <c r="B16" s="257"/>
      <c r="C16" s="257"/>
      <c r="D16" s="257"/>
      <c r="E16" s="257"/>
      <c r="F16" s="259"/>
      <c r="G16" s="259"/>
    </row>
    <row r="18" spans="1:7" x14ac:dyDescent="0.2">
      <c r="E18" s="6"/>
    </row>
    <row r="19" spans="1:7" ht="12.75" x14ac:dyDescent="0.2">
      <c r="A19" s="270" t="s">
        <v>89</v>
      </c>
      <c r="B19" s="273" t="s">
        <v>22</v>
      </c>
      <c r="C19" s="273" t="s">
        <v>28</v>
      </c>
      <c r="D19" s="263" t="s">
        <v>92</v>
      </c>
      <c r="E19" s="269" t="s">
        <v>29</v>
      </c>
      <c r="F19" s="256"/>
      <c r="G19" s="256"/>
    </row>
    <row r="20" spans="1:7" ht="12.75" x14ac:dyDescent="0.2">
      <c r="A20" s="271"/>
      <c r="B20" s="274"/>
      <c r="C20" s="274"/>
      <c r="D20" s="264"/>
      <c r="E20" s="273" t="s">
        <v>372</v>
      </c>
      <c r="F20" s="256" t="s">
        <v>142</v>
      </c>
      <c r="G20" s="256"/>
    </row>
    <row r="21" spans="1:7" ht="12.75" x14ac:dyDescent="0.2">
      <c r="A21" s="272"/>
      <c r="B21" s="275"/>
      <c r="C21" s="275"/>
      <c r="D21" s="265"/>
      <c r="E21" s="275"/>
      <c r="F21" s="1" t="s">
        <v>392</v>
      </c>
      <c r="G21" s="1" t="s">
        <v>499</v>
      </c>
    </row>
    <row r="22" spans="1:7" ht="12.75" x14ac:dyDescent="0.2">
      <c r="A22" s="2">
        <v>1</v>
      </c>
      <c r="B22" s="2">
        <v>2</v>
      </c>
      <c r="C22" s="2">
        <v>3</v>
      </c>
      <c r="D22" s="2">
        <v>4</v>
      </c>
      <c r="E22" s="2">
        <v>5</v>
      </c>
      <c r="F22" s="2">
        <v>6</v>
      </c>
      <c r="G22" s="2">
        <v>7</v>
      </c>
    </row>
    <row r="23" spans="1:7" ht="18" x14ac:dyDescent="0.25">
      <c r="A23" s="67"/>
      <c r="B23" s="12"/>
      <c r="C23" s="12"/>
      <c r="D23" s="9" t="s">
        <v>94</v>
      </c>
      <c r="E23" s="98">
        <f>E24+E32+E36+E41+E46+E53+E56+E60+E62+E64</f>
        <v>1262150</v>
      </c>
      <c r="F23" s="98">
        <f t="shared" ref="F23:G23" si="0">F24+F32+F36+F41+F46+F53+F56+F60+F62+F64</f>
        <v>925010.2</v>
      </c>
      <c r="G23" s="98">
        <f t="shared" si="0"/>
        <v>882160.8</v>
      </c>
    </row>
    <row r="24" spans="1:7" ht="15.75" x14ac:dyDescent="0.25">
      <c r="A24" s="15">
        <v>1</v>
      </c>
      <c r="B24" s="4" t="s">
        <v>90</v>
      </c>
      <c r="C24" s="11"/>
      <c r="D24" s="3" t="s">
        <v>93</v>
      </c>
      <c r="E24" s="95">
        <f>SUM(E25:E31)</f>
        <v>133022</v>
      </c>
      <c r="F24" s="95">
        <f>SUM(F25:F31)</f>
        <v>102707.2</v>
      </c>
      <c r="G24" s="95">
        <f>SUM(G25:G31)</f>
        <v>102838.5</v>
      </c>
    </row>
    <row r="25" spans="1:7" ht="38.25" x14ac:dyDescent="0.2">
      <c r="A25" s="67"/>
      <c r="B25" s="5" t="s">
        <v>90</v>
      </c>
      <c r="C25" s="5" t="s">
        <v>91</v>
      </c>
      <c r="D25" s="22" t="s">
        <v>18</v>
      </c>
      <c r="E25" s="102">
        <v>1580</v>
      </c>
      <c r="F25" s="102">
        <v>1580</v>
      </c>
      <c r="G25" s="102">
        <v>1580</v>
      </c>
    </row>
    <row r="26" spans="1:7" ht="51" x14ac:dyDescent="0.2">
      <c r="A26" s="67"/>
      <c r="B26" s="5" t="s">
        <v>90</v>
      </c>
      <c r="C26" s="5" t="s">
        <v>95</v>
      </c>
      <c r="D26" s="22" t="s">
        <v>129</v>
      </c>
      <c r="E26" s="39">
        <v>3590.5</v>
      </c>
      <c r="F26" s="39">
        <v>3552.7</v>
      </c>
      <c r="G26" s="39">
        <v>3552.7</v>
      </c>
    </row>
    <row r="27" spans="1:7" ht="51" x14ac:dyDescent="0.2">
      <c r="A27" s="67"/>
      <c r="B27" s="5" t="s">
        <v>90</v>
      </c>
      <c r="C27" s="5" t="s">
        <v>96</v>
      </c>
      <c r="D27" s="22" t="s">
        <v>122</v>
      </c>
      <c r="E27" s="39">
        <v>46735.7</v>
      </c>
      <c r="F27" s="39">
        <v>45241</v>
      </c>
      <c r="G27" s="39">
        <v>45245</v>
      </c>
    </row>
    <row r="28" spans="1:7" x14ac:dyDescent="0.2">
      <c r="A28" s="67"/>
      <c r="B28" s="5" t="s">
        <v>90</v>
      </c>
      <c r="C28" s="5" t="s">
        <v>97</v>
      </c>
      <c r="D28" s="22" t="s">
        <v>295</v>
      </c>
      <c r="E28" s="116">
        <v>96.3</v>
      </c>
      <c r="F28" s="116">
        <v>6.6</v>
      </c>
      <c r="G28" s="116">
        <v>5.9</v>
      </c>
    </row>
    <row r="29" spans="1:7" ht="38.25" x14ac:dyDescent="0.2">
      <c r="A29" s="67"/>
      <c r="B29" s="5" t="s">
        <v>90</v>
      </c>
      <c r="C29" s="5" t="s">
        <v>98</v>
      </c>
      <c r="D29" s="129" t="s">
        <v>10</v>
      </c>
      <c r="E29" s="39">
        <v>11130.5</v>
      </c>
      <c r="F29" s="39">
        <v>10805.6</v>
      </c>
      <c r="G29" s="39">
        <v>10805.6</v>
      </c>
    </row>
    <row r="30" spans="1:7" x14ac:dyDescent="0.2">
      <c r="A30" s="67"/>
      <c r="B30" s="5" t="s">
        <v>90</v>
      </c>
      <c r="C30" s="5" t="s">
        <v>104</v>
      </c>
      <c r="D30" s="129" t="s">
        <v>5</v>
      </c>
      <c r="E30" s="39">
        <v>50</v>
      </c>
      <c r="F30" s="39">
        <v>500</v>
      </c>
      <c r="G30" s="39">
        <v>500</v>
      </c>
    </row>
    <row r="31" spans="1:7" x14ac:dyDescent="0.2">
      <c r="A31" s="67"/>
      <c r="B31" s="5" t="s">
        <v>90</v>
      </c>
      <c r="C31" s="5" t="s">
        <v>9</v>
      </c>
      <c r="D31" s="1" t="s">
        <v>99</v>
      </c>
      <c r="E31" s="39">
        <v>69839</v>
      </c>
      <c r="F31" s="39">
        <v>41021.300000000003</v>
      </c>
      <c r="G31" s="39">
        <v>41149.300000000003</v>
      </c>
    </row>
    <row r="32" spans="1:7" ht="33.75" customHeight="1" x14ac:dyDescent="0.25">
      <c r="A32" s="15">
        <v>2</v>
      </c>
      <c r="B32" s="4" t="s">
        <v>95</v>
      </c>
      <c r="C32" s="3"/>
      <c r="D32" s="10" t="s">
        <v>100</v>
      </c>
      <c r="E32" s="95">
        <f>SUM(E33:E35)</f>
        <v>9009.3000000000011</v>
      </c>
      <c r="F32" s="95">
        <f t="shared" ref="F32:G32" si="1">SUM(F33:F35)</f>
        <v>7862.6999999999989</v>
      </c>
      <c r="G32" s="95">
        <f t="shared" si="1"/>
        <v>7833.2999999999993</v>
      </c>
    </row>
    <row r="33" spans="1:7" ht="15" x14ac:dyDescent="0.25">
      <c r="A33" s="15"/>
      <c r="B33" s="5" t="s">
        <v>95</v>
      </c>
      <c r="C33" s="5" t="s">
        <v>96</v>
      </c>
      <c r="D33" s="129" t="s">
        <v>19</v>
      </c>
      <c r="E33" s="39">
        <v>1196.7</v>
      </c>
      <c r="F33" s="39">
        <v>1128.5999999999999</v>
      </c>
      <c r="G33" s="39">
        <v>1128.5999999999999</v>
      </c>
    </row>
    <row r="34" spans="1:7" ht="51" x14ac:dyDescent="0.2">
      <c r="A34" s="67"/>
      <c r="B34" s="5" t="s">
        <v>95</v>
      </c>
      <c r="C34" s="5" t="s">
        <v>112</v>
      </c>
      <c r="D34" s="129" t="s">
        <v>393</v>
      </c>
      <c r="E34" s="39">
        <v>7796.5</v>
      </c>
      <c r="F34" s="39">
        <v>6670.7</v>
      </c>
      <c r="G34" s="39">
        <v>6670.7</v>
      </c>
    </row>
    <row r="35" spans="1:7" ht="38.25" x14ac:dyDescent="0.2">
      <c r="A35" s="67"/>
      <c r="B35" s="5" t="s">
        <v>95</v>
      </c>
      <c r="C35" s="5" t="s">
        <v>123</v>
      </c>
      <c r="D35" s="100" t="s">
        <v>23</v>
      </c>
      <c r="E35" s="39">
        <v>16.100000000000001</v>
      </c>
      <c r="F35" s="39">
        <v>63.4</v>
      </c>
      <c r="G35" s="39">
        <v>34</v>
      </c>
    </row>
    <row r="36" spans="1:7" ht="15.75" x14ac:dyDescent="0.25">
      <c r="A36" s="15">
        <v>3</v>
      </c>
      <c r="B36" s="4" t="s">
        <v>96</v>
      </c>
      <c r="C36" s="3"/>
      <c r="D36" s="10" t="s">
        <v>102</v>
      </c>
      <c r="E36" s="95">
        <f>SUM(E37:E40)</f>
        <v>185734.69999999998</v>
      </c>
      <c r="F36" s="95">
        <f>SUM(F37:F40)</f>
        <v>116116.2</v>
      </c>
      <c r="G36" s="95">
        <f>SUM(G37:G40)</f>
        <v>95392.200000000012</v>
      </c>
    </row>
    <row r="37" spans="1:7" x14ac:dyDescent="0.2">
      <c r="A37" s="67"/>
      <c r="B37" s="5" t="s">
        <v>96</v>
      </c>
      <c r="C37" s="5" t="s">
        <v>97</v>
      </c>
      <c r="D37" s="1" t="s">
        <v>105</v>
      </c>
      <c r="E37" s="39">
        <f>600-176.5</f>
        <v>423.5</v>
      </c>
      <c r="F37" s="39">
        <v>63</v>
      </c>
      <c r="G37" s="39">
        <v>63</v>
      </c>
    </row>
    <row r="38" spans="1:7" x14ac:dyDescent="0.2">
      <c r="A38" s="67"/>
      <c r="B38" s="5" t="s">
        <v>96</v>
      </c>
      <c r="C38" s="5" t="s">
        <v>103</v>
      </c>
      <c r="D38" s="1" t="s">
        <v>1</v>
      </c>
      <c r="E38" s="39">
        <v>26608.9</v>
      </c>
      <c r="F38" s="39">
        <v>25253</v>
      </c>
      <c r="G38" s="39">
        <v>25274.1</v>
      </c>
    </row>
    <row r="39" spans="1:7" x14ac:dyDescent="0.2">
      <c r="A39" s="67"/>
      <c r="B39" s="5" t="s">
        <v>96</v>
      </c>
      <c r="C39" s="5" t="s">
        <v>101</v>
      </c>
      <c r="D39" s="1" t="s">
        <v>201</v>
      </c>
      <c r="E39" s="39">
        <v>154573.29999999999</v>
      </c>
      <c r="F39" s="39">
        <v>87808.8</v>
      </c>
      <c r="G39" s="1">
        <v>68085.100000000006</v>
      </c>
    </row>
    <row r="40" spans="1:7" ht="25.5" x14ac:dyDescent="0.2">
      <c r="A40" s="67"/>
      <c r="B40" s="5" t="s">
        <v>96</v>
      </c>
      <c r="C40" s="5" t="s">
        <v>124</v>
      </c>
      <c r="D40" s="129" t="s">
        <v>4</v>
      </c>
      <c r="E40" s="39">
        <v>4129</v>
      </c>
      <c r="F40" s="39">
        <v>2991.4</v>
      </c>
      <c r="G40" s="39">
        <v>1970</v>
      </c>
    </row>
    <row r="41" spans="1:7" ht="15.75" x14ac:dyDescent="0.25">
      <c r="A41" s="15">
        <v>4</v>
      </c>
      <c r="B41" s="4" t="s">
        <v>97</v>
      </c>
      <c r="C41" s="5"/>
      <c r="D41" s="49" t="s">
        <v>49</v>
      </c>
      <c r="E41" s="95">
        <f>SUM(E42:E45)</f>
        <v>128427</v>
      </c>
      <c r="F41" s="95">
        <f t="shared" ref="F41:G41" si="2">SUM(F42:F45)</f>
        <v>57137.599999999999</v>
      </c>
      <c r="G41" s="95">
        <f t="shared" si="2"/>
        <v>31793.7</v>
      </c>
    </row>
    <row r="42" spans="1:7" ht="15" x14ac:dyDescent="0.25">
      <c r="A42" s="15"/>
      <c r="B42" s="16" t="s">
        <v>97</v>
      </c>
      <c r="C42" s="16" t="s">
        <v>90</v>
      </c>
      <c r="D42" s="51" t="s">
        <v>44</v>
      </c>
      <c r="E42" s="41">
        <f>9594.5-53.4</f>
        <v>9541.1</v>
      </c>
      <c r="F42" s="39">
        <v>7017.8</v>
      </c>
      <c r="G42" s="39">
        <v>6087.8</v>
      </c>
    </row>
    <row r="43" spans="1:7" ht="15" x14ac:dyDescent="0.25">
      <c r="A43" s="15"/>
      <c r="B43" s="16" t="s">
        <v>97</v>
      </c>
      <c r="C43" s="16" t="s">
        <v>91</v>
      </c>
      <c r="D43" s="51" t="s">
        <v>43</v>
      </c>
      <c r="E43" s="41">
        <v>30000.3</v>
      </c>
      <c r="F43" s="39">
        <f>20504.1-43.1</f>
        <v>20461</v>
      </c>
      <c r="G43" s="39">
        <f>4465+1250</f>
        <v>5715</v>
      </c>
    </row>
    <row r="44" spans="1:7" x14ac:dyDescent="0.2">
      <c r="A44" s="67"/>
      <c r="B44" s="16" t="s">
        <v>97</v>
      </c>
      <c r="C44" s="16" t="s">
        <v>95</v>
      </c>
      <c r="D44" s="51" t="s">
        <v>50</v>
      </c>
      <c r="E44" s="41">
        <v>87476.5</v>
      </c>
      <c r="F44" s="1">
        <v>28477.9</v>
      </c>
      <c r="G44" s="1">
        <v>18810</v>
      </c>
    </row>
    <row r="45" spans="1:7" ht="27" customHeight="1" x14ac:dyDescent="0.2">
      <c r="A45" s="67"/>
      <c r="B45" s="16" t="s">
        <v>97</v>
      </c>
      <c r="C45" s="84" t="s">
        <v>97</v>
      </c>
      <c r="D45" s="100" t="s">
        <v>518</v>
      </c>
      <c r="E45" s="41">
        <v>1409.1</v>
      </c>
      <c r="F45" s="41">
        <v>1180.9000000000001</v>
      </c>
      <c r="G45" s="41">
        <v>1180.9000000000001</v>
      </c>
    </row>
    <row r="46" spans="1:7" ht="15.75" x14ac:dyDescent="0.25">
      <c r="A46" s="15">
        <v>5</v>
      </c>
      <c r="B46" s="4" t="s">
        <v>106</v>
      </c>
      <c r="C46" s="3"/>
      <c r="D46" s="10" t="s">
        <v>107</v>
      </c>
      <c r="E46" s="95">
        <f>SUM(E47:E52)</f>
        <v>586547.80000000005</v>
      </c>
      <c r="F46" s="95">
        <f t="shared" ref="F46:G46" si="3">SUM(F47:F52)</f>
        <v>557289.1</v>
      </c>
      <c r="G46" s="95">
        <f t="shared" si="3"/>
        <v>557020.19999999995</v>
      </c>
    </row>
    <row r="47" spans="1:7" x14ac:dyDescent="0.2">
      <c r="A47" s="67"/>
      <c r="B47" s="5" t="s">
        <v>106</v>
      </c>
      <c r="C47" s="5" t="s">
        <v>90</v>
      </c>
      <c r="D47" s="1" t="s">
        <v>109</v>
      </c>
      <c r="E47" s="39">
        <v>150863.9</v>
      </c>
      <c r="F47" s="1">
        <v>142850.6</v>
      </c>
      <c r="G47" s="39">
        <v>142612.6</v>
      </c>
    </row>
    <row r="48" spans="1:7" x14ac:dyDescent="0.2">
      <c r="A48" s="67"/>
      <c r="B48" s="5" t="s">
        <v>106</v>
      </c>
      <c r="C48" s="5" t="s">
        <v>91</v>
      </c>
      <c r="D48" s="1" t="s">
        <v>110</v>
      </c>
      <c r="E48" s="39">
        <f>354667.5-131.5</f>
        <v>354536</v>
      </c>
      <c r="F48" s="39">
        <v>339187.3</v>
      </c>
      <c r="G48" s="39">
        <v>339456.5</v>
      </c>
    </row>
    <row r="49" spans="1:7" x14ac:dyDescent="0.2">
      <c r="A49" s="67"/>
      <c r="B49" s="5" t="s">
        <v>106</v>
      </c>
      <c r="C49" s="5" t="s">
        <v>95</v>
      </c>
      <c r="D49" s="1" t="s">
        <v>158</v>
      </c>
      <c r="E49" s="39">
        <v>59658.8</v>
      </c>
      <c r="F49" s="1">
        <v>54681.2</v>
      </c>
      <c r="G49" s="148">
        <v>54381.2</v>
      </c>
    </row>
    <row r="50" spans="1:7" ht="25.5" x14ac:dyDescent="0.2">
      <c r="A50" s="67"/>
      <c r="B50" s="5" t="s">
        <v>106</v>
      </c>
      <c r="C50" s="5" t="s">
        <v>97</v>
      </c>
      <c r="D50" s="129" t="s">
        <v>2</v>
      </c>
      <c r="E50" s="39">
        <v>152.4</v>
      </c>
      <c r="F50" s="39">
        <v>250</v>
      </c>
      <c r="G50" s="39">
        <v>250</v>
      </c>
    </row>
    <row r="51" spans="1:7" x14ac:dyDescent="0.2">
      <c r="A51" s="67"/>
      <c r="B51" s="5" t="s">
        <v>106</v>
      </c>
      <c r="C51" s="5" t="s">
        <v>106</v>
      </c>
      <c r="D51" s="1" t="s">
        <v>157</v>
      </c>
      <c r="E51" s="39">
        <v>12391.1</v>
      </c>
      <c r="F51" s="1">
        <v>11697.1</v>
      </c>
      <c r="G51" s="148">
        <v>11697.1</v>
      </c>
    </row>
    <row r="52" spans="1:7" x14ac:dyDescent="0.2">
      <c r="A52" s="67"/>
      <c r="B52" s="5" t="s">
        <v>106</v>
      </c>
      <c r="C52" s="5" t="s">
        <v>101</v>
      </c>
      <c r="D52" s="1" t="s">
        <v>111</v>
      </c>
      <c r="E52" s="39">
        <v>8945.6</v>
      </c>
      <c r="F52" s="39">
        <v>8622.9</v>
      </c>
      <c r="G52" s="39">
        <v>8622.7999999999993</v>
      </c>
    </row>
    <row r="53" spans="1:7" ht="15.75" x14ac:dyDescent="0.25">
      <c r="A53" s="15">
        <v>6</v>
      </c>
      <c r="B53" s="4" t="s">
        <v>103</v>
      </c>
      <c r="C53" s="3"/>
      <c r="D53" s="10" t="s">
        <v>21</v>
      </c>
      <c r="E53" s="95">
        <f>SUM(E54:E55)</f>
        <v>157995</v>
      </c>
      <c r="F53" s="95">
        <f t="shared" ref="F53:G53" si="4">SUM(F54:F55)</f>
        <v>57455.200000000004</v>
      </c>
      <c r="G53" s="95">
        <f t="shared" si="4"/>
        <v>58382.8</v>
      </c>
    </row>
    <row r="54" spans="1:7" x14ac:dyDescent="0.2">
      <c r="A54" s="67"/>
      <c r="B54" s="5" t="s">
        <v>103</v>
      </c>
      <c r="C54" s="5" t="s">
        <v>90</v>
      </c>
      <c r="D54" s="1" t="s">
        <v>108</v>
      </c>
      <c r="E54" s="39">
        <v>154644.4</v>
      </c>
      <c r="F54" s="1">
        <v>54304.800000000003</v>
      </c>
      <c r="G54" s="148">
        <v>55232.4</v>
      </c>
    </row>
    <row r="55" spans="1:7" ht="25.5" x14ac:dyDescent="0.2">
      <c r="A55" s="67"/>
      <c r="B55" s="5" t="s">
        <v>103</v>
      </c>
      <c r="C55" s="5" t="s">
        <v>96</v>
      </c>
      <c r="D55" s="129" t="s">
        <v>7</v>
      </c>
      <c r="E55" s="39">
        <v>3350.6</v>
      </c>
      <c r="F55" s="39">
        <v>3150.4</v>
      </c>
      <c r="G55" s="39">
        <v>3150.4</v>
      </c>
    </row>
    <row r="56" spans="1:7" ht="15.75" x14ac:dyDescent="0.25">
      <c r="A56" s="15">
        <v>7</v>
      </c>
      <c r="B56" s="4" t="s">
        <v>112</v>
      </c>
      <c r="C56" s="3"/>
      <c r="D56" s="10" t="s">
        <v>113</v>
      </c>
      <c r="E56" s="95">
        <f>SUM(E57:E59)</f>
        <v>41806.400000000001</v>
      </c>
      <c r="F56" s="95">
        <f t="shared" ref="F56:G56" si="5">SUM(F57:F59)</f>
        <v>22412.399999999998</v>
      </c>
      <c r="G56" s="95">
        <f t="shared" si="5"/>
        <v>24870.3</v>
      </c>
    </row>
    <row r="57" spans="1:7" x14ac:dyDescent="0.2">
      <c r="A57" s="67"/>
      <c r="B57" s="5" t="s">
        <v>112</v>
      </c>
      <c r="C57" s="5" t="s">
        <v>90</v>
      </c>
      <c r="D57" s="1" t="s">
        <v>114</v>
      </c>
      <c r="E57" s="39">
        <f>1909.4+53.4</f>
        <v>1962.8000000000002</v>
      </c>
      <c r="F57" s="39">
        <v>2310.8000000000002</v>
      </c>
      <c r="G57" s="39">
        <v>2499.8000000000002</v>
      </c>
    </row>
    <row r="58" spans="1:7" x14ac:dyDescent="0.2">
      <c r="A58" s="67"/>
      <c r="B58" s="5" t="s">
        <v>112</v>
      </c>
      <c r="C58" s="5" t="s">
        <v>95</v>
      </c>
      <c r="D58" s="1" t="s">
        <v>118</v>
      </c>
      <c r="E58" s="39">
        <v>1764</v>
      </c>
      <c r="F58" s="39">
        <v>1664</v>
      </c>
      <c r="G58" s="39">
        <v>1664</v>
      </c>
    </row>
    <row r="59" spans="1:7" x14ac:dyDescent="0.2">
      <c r="A59" s="67"/>
      <c r="B59" s="5" t="s">
        <v>112</v>
      </c>
      <c r="C59" s="5" t="s">
        <v>96</v>
      </c>
      <c r="D59" s="1" t="s">
        <v>14</v>
      </c>
      <c r="E59" s="39">
        <v>38079.599999999999</v>
      </c>
      <c r="F59" s="39">
        <v>18437.599999999999</v>
      </c>
      <c r="G59" s="39">
        <v>20706.5</v>
      </c>
    </row>
    <row r="60" spans="1:7" ht="15.75" x14ac:dyDescent="0.25">
      <c r="A60" s="15">
        <v>8</v>
      </c>
      <c r="B60" s="4" t="s">
        <v>104</v>
      </c>
      <c r="C60" s="5"/>
      <c r="D60" s="10" t="s">
        <v>125</v>
      </c>
      <c r="E60" s="95">
        <f>SUM(E61:E61)</f>
        <v>15796.3</v>
      </c>
      <c r="F60" s="95">
        <f t="shared" ref="F60:G60" si="6">SUM(F61:F61)</f>
        <v>496.3</v>
      </c>
      <c r="G60" s="95">
        <f t="shared" si="6"/>
        <v>496.3</v>
      </c>
    </row>
    <row r="61" spans="1:7" x14ac:dyDescent="0.2">
      <c r="A61" s="67"/>
      <c r="B61" s="5" t="s">
        <v>104</v>
      </c>
      <c r="C61" s="5" t="s">
        <v>91</v>
      </c>
      <c r="D61" s="129" t="s">
        <v>6</v>
      </c>
      <c r="E61" s="39">
        <f>796.3+15000</f>
        <v>15796.3</v>
      </c>
      <c r="F61" s="39">
        <v>496.3</v>
      </c>
      <c r="G61" s="39">
        <v>496.3</v>
      </c>
    </row>
    <row r="62" spans="1:7" ht="15.75" x14ac:dyDescent="0.25">
      <c r="A62" s="15">
        <v>9</v>
      </c>
      <c r="B62" s="4" t="s">
        <v>124</v>
      </c>
      <c r="C62" s="5"/>
      <c r="D62" s="10" t="s">
        <v>8</v>
      </c>
      <c r="E62" s="95">
        <f>SUM(E63:E63)</f>
        <v>3808.5</v>
      </c>
      <c r="F62" s="95">
        <f t="shared" ref="F62:G64" si="7">SUM(F63:F63)</f>
        <v>3508.5</v>
      </c>
      <c r="G62" s="95">
        <f t="shared" si="7"/>
        <v>3508.5</v>
      </c>
    </row>
    <row r="63" spans="1:7" ht="25.5" x14ac:dyDescent="0.2">
      <c r="A63" s="67"/>
      <c r="B63" s="5" t="s">
        <v>124</v>
      </c>
      <c r="C63" s="5" t="s">
        <v>96</v>
      </c>
      <c r="D63" s="100" t="s">
        <v>15</v>
      </c>
      <c r="E63" s="39">
        <f>3508.5+300</f>
        <v>3808.5</v>
      </c>
      <c r="F63" s="39">
        <v>3508.5</v>
      </c>
      <c r="G63" s="39">
        <v>3508.5</v>
      </c>
    </row>
    <row r="64" spans="1:7" ht="30" customHeight="1" x14ac:dyDescent="0.25">
      <c r="A64" s="15">
        <v>10</v>
      </c>
      <c r="B64" s="4" t="s">
        <v>9</v>
      </c>
      <c r="C64" s="5"/>
      <c r="D64" s="10" t="s">
        <v>757</v>
      </c>
      <c r="E64" s="95">
        <f>SUM(E65:E65)</f>
        <v>3</v>
      </c>
      <c r="F64" s="95">
        <f t="shared" si="7"/>
        <v>25</v>
      </c>
      <c r="G64" s="95">
        <f t="shared" si="7"/>
        <v>25</v>
      </c>
    </row>
    <row r="65" spans="1:7" ht="25.5" x14ac:dyDescent="0.2">
      <c r="A65" s="67"/>
      <c r="B65" s="200">
        <v>13</v>
      </c>
      <c r="C65" s="5" t="s">
        <v>90</v>
      </c>
      <c r="D65" s="198" t="s">
        <v>758</v>
      </c>
      <c r="E65" s="39">
        <v>3</v>
      </c>
      <c r="F65" s="39">
        <v>25</v>
      </c>
      <c r="G65" s="39">
        <v>25</v>
      </c>
    </row>
    <row r="67" spans="1:7" s="19" customFormat="1" x14ac:dyDescent="0.2">
      <c r="B67" s="19" t="s">
        <v>81</v>
      </c>
    </row>
  </sheetData>
  <mergeCells count="8">
    <mergeCell ref="A16:G16"/>
    <mergeCell ref="A19:A21"/>
    <mergeCell ref="B19:B21"/>
    <mergeCell ref="C19:C21"/>
    <mergeCell ref="D19:D21"/>
    <mergeCell ref="E19:G19"/>
    <mergeCell ref="E20:E21"/>
    <mergeCell ref="F20:G20"/>
  </mergeCells>
  <phoneticPr fontId="2" type="noConversion"/>
  <pageMargins left="0.75" right="0.75" top="1" bottom="1" header="0.5" footer="0.5"/>
  <pageSetup paperSize="9" scale="99" fitToHeight="0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6"/>
  <sheetViews>
    <sheetView view="pageBreakPreview" topLeftCell="A142" zoomScale="200" zoomScaleNormal="100" zoomScaleSheetLayoutView="200" workbookViewId="0">
      <selection activeCell="F4" sqref="F4"/>
    </sheetView>
  </sheetViews>
  <sheetFormatPr defaultColWidth="9.140625" defaultRowHeight="12.75" x14ac:dyDescent="0.2"/>
  <cols>
    <col min="1" max="1" width="2.5703125" style="93" customWidth="1"/>
    <col min="2" max="2" width="2.42578125" style="93" customWidth="1"/>
    <col min="3" max="3" width="11.5703125" style="93" customWidth="1"/>
    <col min="4" max="4" width="3.28515625" style="93" customWidth="1"/>
    <col min="5" max="5" width="35.42578125" style="93" customWidth="1"/>
    <col min="6" max="6" width="12" style="93" customWidth="1"/>
    <col min="7" max="7" width="11" style="93" customWidth="1"/>
    <col min="8" max="8" width="10.5703125" style="93" customWidth="1"/>
    <col min="9" max="16384" width="9.140625" style="93"/>
  </cols>
  <sheetData>
    <row r="1" spans="1:8" x14ac:dyDescent="0.2">
      <c r="E1" s="87" t="s">
        <v>625</v>
      </c>
    </row>
    <row r="2" spans="1:8" x14ac:dyDescent="0.2">
      <c r="E2" s="87" t="s">
        <v>683</v>
      </c>
    </row>
    <row r="3" spans="1:8" x14ac:dyDescent="0.2">
      <c r="E3" s="87" t="s">
        <v>878</v>
      </c>
    </row>
    <row r="4" spans="1:8" x14ac:dyDescent="0.2">
      <c r="E4" s="87" t="s">
        <v>684</v>
      </c>
    </row>
    <row r="5" spans="1:8" x14ac:dyDescent="0.2">
      <c r="E5" s="87" t="s">
        <v>685</v>
      </c>
    </row>
    <row r="6" spans="1:8" x14ac:dyDescent="0.2">
      <c r="E6" s="87" t="s">
        <v>145</v>
      </c>
    </row>
    <row r="7" spans="1:8" x14ac:dyDescent="0.2">
      <c r="E7" s="87" t="s">
        <v>501</v>
      </c>
    </row>
    <row r="8" spans="1:8" x14ac:dyDescent="0.2">
      <c r="E8" s="87"/>
      <c r="F8" s="87"/>
      <c r="G8" s="88"/>
      <c r="H8" s="88"/>
    </row>
    <row r="9" spans="1:8" x14ac:dyDescent="0.2">
      <c r="E9" s="87" t="s">
        <v>625</v>
      </c>
      <c r="F9" s="87"/>
      <c r="G9" s="88"/>
      <c r="H9" s="88"/>
    </row>
    <row r="10" spans="1:8" x14ac:dyDescent="0.2">
      <c r="E10" s="87" t="s">
        <v>390</v>
      </c>
      <c r="F10" s="87"/>
      <c r="G10" s="88"/>
      <c r="H10" s="88"/>
    </row>
    <row r="11" spans="1:8" x14ac:dyDescent="0.2">
      <c r="E11" s="87" t="s">
        <v>686</v>
      </c>
      <c r="F11" s="87"/>
      <c r="G11" s="88"/>
      <c r="H11" s="88"/>
    </row>
    <row r="12" spans="1:8" x14ac:dyDescent="0.2">
      <c r="E12" s="87" t="s">
        <v>145</v>
      </c>
      <c r="F12" s="87"/>
      <c r="G12" s="88"/>
      <c r="H12" s="88"/>
    </row>
    <row r="13" spans="1:8" x14ac:dyDescent="0.2">
      <c r="E13" s="87" t="s">
        <v>501</v>
      </c>
      <c r="F13" s="87"/>
      <c r="G13" s="88"/>
      <c r="H13" s="88"/>
    </row>
    <row r="14" spans="1:8" x14ac:dyDescent="0.2">
      <c r="E14" s="87"/>
      <c r="F14" s="87"/>
      <c r="G14" s="88"/>
      <c r="H14" s="88"/>
    </row>
    <row r="15" spans="1:8" x14ac:dyDescent="0.2">
      <c r="E15" s="87"/>
      <c r="F15" s="87"/>
      <c r="G15" s="88"/>
      <c r="H15" s="88"/>
    </row>
    <row r="16" spans="1:8" ht="78" customHeight="1" x14ac:dyDescent="0.2">
      <c r="A16" s="257" t="s">
        <v>631</v>
      </c>
      <c r="B16" s="276"/>
      <c r="C16" s="276"/>
      <c r="D16" s="276"/>
      <c r="E16" s="276"/>
      <c r="F16" s="276"/>
      <c r="G16" s="277"/>
      <c r="H16" s="277"/>
    </row>
    <row r="18" spans="1:8" x14ac:dyDescent="0.2">
      <c r="F18" s="6"/>
    </row>
    <row r="19" spans="1:8" x14ac:dyDescent="0.2">
      <c r="A19" s="263" t="s">
        <v>119</v>
      </c>
      <c r="B19" s="263" t="s">
        <v>120</v>
      </c>
      <c r="C19" s="263" t="s">
        <v>121</v>
      </c>
      <c r="D19" s="263" t="s">
        <v>115</v>
      </c>
      <c r="E19" s="263" t="s">
        <v>92</v>
      </c>
      <c r="F19" s="269" t="s">
        <v>29</v>
      </c>
      <c r="G19" s="256"/>
      <c r="H19" s="256"/>
    </row>
    <row r="20" spans="1:8" x14ac:dyDescent="0.2">
      <c r="A20" s="264"/>
      <c r="B20" s="264"/>
      <c r="C20" s="264"/>
      <c r="D20" s="264"/>
      <c r="E20" s="264"/>
      <c r="F20" s="273" t="s">
        <v>372</v>
      </c>
      <c r="G20" s="256" t="s">
        <v>142</v>
      </c>
      <c r="H20" s="256"/>
    </row>
    <row r="21" spans="1:8" x14ac:dyDescent="0.2">
      <c r="A21" s="265"/>
      <c r="B21" s="265"/>
      <c r="C21" s="265"/>
      <c r="D21" s="265"/>
      <c r="E21" s="265"/>
      <c r="F21" s="275"/>
      <c r="G21" s="1" t="s">
        <v>392</v>
      </c>
      <c r="H21" s="1" t="s">
        <v>499</v>
      </c>
    </row>
    <row r="22" spans="1:8" x14ac:dyDescent="0.2">
      <c r="A22" s="2">
        <v>1</v>
      </c>
      <c r="B22" s="2">
        <v>2</v>
      </c>
      <c r="C22" s="2">
        <v>3</v>
      </c>
      <c r="D22" s="2">
        <v>4</v>
      </c>
      <c r="E22" s="2">
        <v>5</v>
      </c>
      <c r="F22" s="2">
        <v>6</v>
      </c>
      <c r="G22" s="2">
        <v>7</v>
      </c>
      <c r="H22" s="2">
        <v>8</v>
      </c>
    </row>
    <row r="23" spans="1:8" ht="18" x14ac:dyDescent="0.25">
      <c r="A23" s="12"/>
      <c r="B23" s="12"/>
      <c r="C23" s="12"/>
      <c r="D23" s="12"/>
      <c r="E23" s="9" t="s">
        <v>94</v>
      </c>
      <c r="F23" s="95">
        <f>F24+F103+F147+F248+F411+F580+F630+F667+F678+F692</f>
        <v>1262150</v>
      </c>
      <c r="G23" s="95">
        <f>G24+G103+G147+G248+G411+G580+G630+G667+G678+G692</f>
        <v>925010.2</v>
      </c>
      <c r="H23" s="95">
        <f>H24+H103+H147+H248+H411+H580+H630+H667+H678+H692</f>
        <v>882160.8</v>
      </c>
    </row>
    <row r="24" spans="1:8" ht="31.5" x14ac:dyDescent="0.25">
      <c r="A24" s="4" t="s">
        <v>90</v>
      </c>
      <c r="B24" s="11"/>
      <c r="C24" s="11"/>
      <c r="D24" s="11"/>
      <c r="E24" s="10" t="s">
        <v>93</v>
      </c>
      <c r="F24" s="95">
        <f>F25+F30+F37+F48+F53+F64+F69</f>
        <v>133022</v>
      </c>
      <c r="G24" s="95">
        <f>G25+G30+G37+G48+G53+G64+G69</f>
        <v>102707.19999999998</v>
      </c>
      <c r="H24" s="95">
        <f>H25+H30+H37+H48+H53+H64+H69</f>
        <v>102838.5</v>
      </c>
    </row>
    <row r="25" spans="1:8" ht="51" x14ac:dyDescent="0.2">
      <c r="A25" s="30" t="s">
        <v>90</v>
      </c>
      <c r="B25" s="30" t="s">
        <v>91</v>
      </c>
      <c r="C25" s="30"/>
      <c r="D25" s="30"/>
      <c r="E25" s="46" t="s">
        <v>18</v>
      </c>
      <c r="F25" s="40">
        <f t="shared" ref="F25:H28" si="0">F26</f>
        <v>1580</v>
      </c>
      <c r="G25" s="40">
        <f t="shared" si="0"/>
        <v>1580</v>
      </c>
      <c r="H25" s="40">
        <f t="shared" si="0"/>
        <v>1580</v>
      </c>
    </row>
    <row r="26" spans="1:8" ht="25.5" x14ac:dyDescent="0.2">
      <c r="A26" s="16" t="s">
        <v>90</v>
      </c>
      <c r="B26" s="16" t="s">
        <v>91</v>
      </c>
      <c r="C26" s="80">
        <v>9900000000</v>
      </c>
      <c r="D26" s="16"/>
      <c r="E26" s="55" t="s">
        <v>146</v>
      </c>
      <c r="F26" s="41">
        <f t="shared" si="0"/>
        <v>1580</v>
      </c>
      <c r="G26" s="41">
        <f t="shared" si="0"/>
        <v>1580</v>
      </c>
      <c r="H26" s="41">
        <f t="shared" si="0"/>
        <v>1580</v>
      </c>
    </row>
    <row r="27" spans="1:8" ht="38.25" x14ac:dyDescent="0.2">
      <c r="A27" s="16" t="s">
        <v>90</v>
      </c>
      <c r="B27" s="16" t="s">
        <v>91</v>
      </c>
      <c r="C27" s="80">
        <v>9980000000</v>
      </c>
      <c r="D27" s="16"/>
      <c r="E27" s="54" t="s">
        <v>31</v>
      </c>
      <c r="F27" s="41">
        <f t="shared" si="0"/>
        <v>1580</v>
      </c>
      <c r="G27" s="41">
        <f t="shared" si="0"/>
        <v>1580</v>
      </c>
      <c r="H27" s="41">
        <f t="shared" si="0"/>
        <v>1580</v>
      </c>
    </row>
    <row r="28" spans="1:8" x14ac:dyDescent="0.2">
      <c r="A28" s="16" t="s">
        <v>90</v>
      </c>
      <c r="B28" s="16" t="s">
        <v>91</v>
      </c>
      <c r="C28" s="80">
        <v>9980022100</v>
      </c>
      <c r="D28" s="16"/>
      <c r="E28" s="103" t="s">
        <v>116</v>
      </c>
      <c r="F28" s="39">
        <f t="shared" si="0"/>
        <v>1580</v>
      </c>
      <c r="G28" s="39">
        <f t="shared" si="0"/>
        <v>1580</v>
      </c>
      <c r="H28" s="39">
        <f t="shared" si="0"/>
        <v>1580</v>
      </c>
    </row>
    <row r="29" spans="1:8" ht="38.25" x14ac:dyDescent="0.2">
      <c r="A29" s="16" t="s">
        <v>90</v>
      </c>
      <c r="B29" s="16" t="s">
        <v>91</v>
      </c>
      <c r="C29" s="80">
        <v>9980022100</v>
      </c>
      <c r="D29" s="16" t="s">
        <v>64</v>
      </c>
      <c r="E29" s="129" t="s">
        <v>80</v>
      </c>
      <c r="F29" s="39">
        <v>1580</v>
      </c>
      <c r="G29" s="39">
        <v>1580</v>
      </c>
      <c r="H29" s="39">
        <v>1580</v>
      </c>
    </row>
    <row r="30" spans="1:8" ht="64.5" x14ac:dyDescent="0.25">
      <c r="A30" s="30" t="s">
        <v>90</v>
      </c>
      <c r="B30" s="30" t="s">
        <v>95</v>
      </c>
      <c r="C30" s="31"/>
      <c r="D30" s="31"/>
      <c r="E30" s="48" t="s">
        <v>129</v>
      </c>
      <c r="F30" s="43">
        <f>F31</f>
        <v>3590.5</v>
      </c>
      <c r="G30" s="43">
        <f>G31</f>
        <v>3552.7000000000003</v>
      </c>
      <c r="H30" s="43">
        <f>H31</f>
        <v>3552.7000000000003</v>
      </c>
    </row>
    <row r="31" spans="1:8" ht="38.25" x14ac:dyDescent="0.2">
      <c r="A31" s="16" t="s">
        <v>90</v>
      </c>
      <c r="B31" s="16" t="s">
        <v>95</v>
      </c>
      <c r="C31" s="80">
        <v>9990000000</v>
      </c>
      <c r="D31" s="16"/>
      <c r="E31" s="54" t="s">
        <v>30</v>
      </c>
      <c r="F31" s="41">
        <f>F32+F34</f>
        <v>3590.5</v>
      </c>
      <c r="G31" s="41">
        <f>G32+G34</f>
        <v>3552.7000000000003</v>
      </c>
      <c r="H31" s="41">
        <f>H32+H34</f>
        <v>3552.7000000000003</v>
      </c>
    </row>
    <row r="32" spans="1:8" x14ac:dyDescent="0.2">
      <c r="A32" s="16" t="s">
        <v>90</v>
      </c>
      <c r="B32" s="16" t="s">
        <v>95</v>
      </c>
      <c r="C32" s="80">
        <v>9990022400</v>
      </c>
      <c r="D32" s="16"/>
      <c r="E32" s="101" t="s">
        <v>141</v>
      </c>
      <c r="F32" s="41">
        <f t="shared" ref="F32:H32" si="1">F33</f>
        <v>1270.5</v>
      </c>
      <c r="G32" s="41">
        <f t="shared" si="1"/>
        <v>1270.5</v>
      </c>
      <c r="H32" s="41">
        <f t="shared" si="1"/>
        <v>1270.5</v>
      </c>
    </row>
    <row r="33" spans="1:8" ht="38.25" x14ac:dyDescent="0.2">
      <c r="A33" s="16" t="s">
        <v>90</v>
      </c>
      <c r="B33" s="16" t="s">
        <v>95</v>
      </c>
      <c r="C33" s="80">
        <v>9990022400</v>
      </c>
      <c r="D33" s="16" t="s">
        <v>64</v>
      </c>
      <c r="E33" s="55" t="s">
        <v>65</v>
      </c>
      <c r="F33" s="39">
        <v>1270.5</v>
      </c>
      <c r="G33" s="39">
        <v>1270.5</v>
      </c>
      <c r="H33" s="39">
        <v>1270.5</v>
      </c>
    </row>
    <row r="34" spans="1:8" ht="25.5" x14ac:dyDescent="0.2">
      <c r="A34" s="16" t="s">
        <v>90</v>
      </c>
      <c r="B34" s="16" t="s">
        <v>95</v>
      </c>
      <c r="C34" s="80">
        <v>9990022500</v>
      </c>
      <c r="D34" s="21"/>
      <c r="E34" s="103" t="s">
        <v>653</v>
      </c>
      <c r="F34" s="41">
        <f>SUM(F35:F36)</f>
        <v>2320</v>
      </c>
      <c r="G34" s="41">
        <f t="shared" ref="G34:H34" si="2">SUM(G35:G36)</f>
        <v>2282.2000000000003</v>
      </c>
      <c r="H34" s="41">
        <f t="shared" si="2"/>
        <v>2282.2000000000003</v>
      </c>
    </row>
    <row r="35" spans="1:8" ht="38.25" x14ac:dyDescent="0.2">
      <c r="A35" s="16" t="s">
        <v>90</v>
      </c>
      <c r="B35" s="16" t="s">
        <v>95</v>
      </c>
      <c r="C35" s="80">
        <v>9990022500</v>
      </c>
      <c r="D35" s="16" t="s">
        <v>64</v>
      </c>
      <c r="E35" s="55" t="s">
        <v>65</v>
      </c>
      <c r="F35" s="39">
        <f>2168.1-18.2+48.6</f>
        <v>2198.5</v>
      </c>
      <c r="G35" s="39">
        <v>2178.9</v>
      </c>
      <c r="H35" s="39">
        <v>2178.9</v>
      </c>
    </row>
    <row r="36" spans="1:8" ht="38.25" x14ac:dyDescent="0.2">
      <c r="A36" s="16" t="s">
        <v>90</v>
      </c>
      <c r="B36" s="16" t="s">
        <v>95</v>
      </c>
      <c r="C36" s="80">
        <v>9990022500</v>
      </c>
      <c r="D36" s="84" t="s">
        <v>214</v>
      </c>
      <c r="E36" s="101" t="s">
        <v>215</v>
      </c>
      <c r="F36" s="39">
        <f>103.3+18.2</f>
        <v>121.5</v>
      </c>
      <c r="G36" s="39">
        <v>103.3</v>
      </c>
      <c r="H36" s="39">
        <v>103.3</v>
      </c>
    </row>
    <row r="37" spans="1:8" s="32" customFormat="1" ht="76.5" x14ac:dyDescent="0.2">
      <c r="A37" s="30" t="s">
        <v>90</v>
      </c>
      <c r="B37" s="30" t="s">
        <v>96</v>
      </c>
      <c r="C37" s="30"/>
      <c r="D37" s="30"/>
      <c r="E37" s="46" t="s">
        <v>126</v>
      </c>
      <c r="F37" s="40">
        <f t="shared" ref="F37:H37" si="3">F38</f>
        <v>46735.7</v>
      </c>
      <c r="G37" s="40">
        <f t="shared" si="3"/>
        <v>45241</v>
      </c>
      <c r="H37" s="40">
        <f t="shared" si="3"/>
        <v>45245</v>
      </c>
    </row>
    <row r="38" spans="1:8" ht="25.5" x14ac:dyDescent="0.2">
      <c r="A38" s="16" t="s">
        <v>90</v>
      </c>
      <c r="B38" s="16" t="s">
        <v>96</v>
      </c>
      <c r="C38" s="80">
        <v>9900000000</v>
      </c>
      <c r="D38" s="16"/>
      <c r="E38" s="55" t="s">
        <v>146</v>
      </c>
      <c r="F38" s="39">
        <f>F39+F43</f>
        <v>46735.7</v>
      </c>
      <c r="G38" s="39">
        <f>G39+G43</f>
        <v>45241</v>
      </c>
      <c r="H38" s="39">
        <f>H39+H43</f>
        <v>45245</v>
      </c>
    </row>
    <row r="39" spans="1:8" ht="25.5" x14ac:dyDescent="0.2">
      <c r="A39" s="16" t="s">
        <v>90</v>
      </c>
      <c r="B39" s="16" t="s">
        <v>96</v>
      </c>
      <c r="C39" s="80">
        <v>9930000000</v>
      </c>
      <c r="D39" s="16"/>
      <c r="E39" s="22" t="s">
        <v>42</v>
      </c>
      <c r="F39" s="39">
        <f>F40</f>
        <v>398</v>
      </c>
      <c r="G39" s="39">
        <f>G40</f>
        <v>401</v>
      </c>
      <c r="H39" s="39">
        <f>H40</f>
        <v>405</v>
      </c>
    </row>
    <row r="40" spans="1:8" ht="64.5" customHeight="1" x14ac:dyDescent="0.2">
      <c r="A40" s="16" t="s">
        <v>90</v>
      </c>
      <c r="B40" s="16" t="s">
        <v>96</v>
      </c>
      <c r="C40" s="80">
        <v>9930010510</v>
      </c>
      <c r="D40" s="16"/>
      <c r="E40" s="22" t="s">
        <v>16</v>
      </c>
      <c r="F40" s="39">
        <f>F41+F42</f>
        <v>398</v>
      </c>
      <c r="G40" s="39">
        <f>G41+G42</f>
        <v>401</v>
      </c>
      <c r="H40" s="39">
        <f>H41+H42</f>
        <v>405</v>
      </c>
    </row>
    <row r="41" spans="1:8" ht="38.25" x14ac:dyDescent="0.2">
      <c r="A41" s="16" t="s">
        <v>90</v>
      </c>
      <c r="B41" s="16" t="s">
        <v>96</v>
      </c>
      <c r="C41" s="80">
        <v>9930010510</v>
      </c>
      <c r="D41" s="16" t="s">
        <v>64</v>
      </c>
      <c r="E41" s="106" t="s">
        <v>65</v>
      </c>
      <c r="F41" s="39">
        <v>357.6</v>
      </c>
      <c r="G41" s="39">
        <v>357.6</v>
      </c>
      <c r="H41" s="39">
        <v>357.6</v>
      </c>
    </row>
    <row r="42" spans="1:8" ht="38.25" x14ac:dyDescent="0.2">
      <c r="A42" s="16" t="s">
        <v>90</v>
      </c>
      <c r="B42" s="16" t="s">
        <v>96</v>
      </c>
      <c r="C42" s="80">
        <v>9930010510</v>
      </c>
      <c r="D42" s="84" t="s">
        <v>214</v>
      </c>
      <c r="E42" s="101" t="s">
        <v>215</v>
      </c>
      <c r="F42" s="39">
        <v>40.4</v>
      </c>
      <c r="G42" s="39">
        <v>43.4</v>
      </c>
      <c r="H42" s="39">
        <v>47.4</v>
      </c>
    </row>
    <row r="43" spans="1:8" ht="38.25" x14ac:dyDescent="0.2">
      <c r="A43" s="16" t="s">
        <v>90</v>
      </c>
      <c r="B43" s="16" t="s">
        <v>96</v>
      </c>
      <c r="C43" s="80">
        <v>9980000000</v>
      </c>
      <c r="D43" s="16"/>
      <c r="E43" s="54" t="s">
        <v>31</v>
      </c>
      <c r="F43" s="39">
        <f>F44</f>
        <v>46337.7</v>
      </c>
      <c r="G43" s="39">
        <f>G44</f>
        <v>44840</v>
      </c>
      <c r="H43" s="39">
        <f>H44</f>
        <v>44840</v>
      </c>
    </row>
    <row r="44" spans="1:8" x14ac:dyDescent="0.2">
      <c r="A44" s="16" t="s">
        <v>90</v>
      </c>
      <c r="B44" s="16" t="s">
        <v>96</v>
      </c>
      <c r="C44" s="172">
        <v>9980022200</v>
      </c>
      <c r="D44" s="21"/>
      <c r="E44" s="103" t="s">
        <v>117</v>
      </c>
      <c r="F44" s="39">
        <f>SUM(F45:F47)</f>
        <v>46337.7</v>
      </c>
      <c r="G44" s="39">
        <f>SUM(G45:G47)</f>
        <v>44840</v>
      </c>
      <c r="H44" s="39">
        <f>SUM(H45:H47)</f>
        <v>44840</v>
      </c>
    </row>
    <row r="45" spans="1:8" ht="38.25" x14ac:dyDescent="0.2">
      <c r="A45" s="16" t="s">
        <v>90</v>
      </c>
      <c r="B45" s="16" t="s">
        <v>96</v>
      </c>
      <c r="C45" s="172">
        <v>9980022200</v>
      </c>
      <c r="D45" s="16" t="s">
        <v>64</v>
      </c>
      <c r="E45" s="55" t="s">
        <v>65</v>
      </c>
      <c r="F45" s="39">
        <f>42052.6-96.1-206.9+1453.1+0.1</f>
        <v>43202.799999999996</v>
      </c>
      <c r="G45" s="39">
        <v>42052.6</v>
      </c>
      <c r="H45" s="39">
        <v>42052.6</v>
      </c>
    </row>
    <row r="46" spans="1:8" ht="38.25" x14ac:dyDescent="0.2">
      <c r="A46" s="16" t="s">
        <v>90</v>
      </c>
      <c r="B46" s="16" t="s">
        <v>96</v>
      </c>
      <c r="C46" s="172">
        <v>9980022200</v>
      </c>
      <c r="D46" s="84" t="s">
        <v>214</v>
      </c>
      <c r="E46" s="101" t="s">
        <v>215</v>
      </c>
      <c r="F46" s="39">
        <f>2743+44.5+96.1+211.7</f>
        <v>3095.2999999999997</v>
      </c>
      <c r="G46" s="39">
        <v>2743</v>
      </c>
      <c r="H46" s="39">
        <v>2743</v>
      </c>
    </row>
    <row r="47" spans="1:8" ht="25.5" x14ac:dyDescent="0.2">
      <c r="A47" s="16" t="s">
        <v>90</v>
      </c>
      <c r="B47" s="16" t="s">
        <v>96</v>
      </c>
      <c r="C47" s="172">
        <v>9980022200</v>
      </c>
      <c r="D47" s="84" t="s">
        <v>133</v>
      </c>
      <c r="E47" s="101" t="s">
        <v>134</v>
      </c>
      <c r="F47" s="41">
        <f>44.4-4.8</f>
        <v>39.6</v>
      </c>
      <c r="G47" s="41">
        <v>44.4</v>
      </c>
      <c r="H47" s="41">
        <v>44.4</v>
      </c>
    </row>
    <row r="48" spans="1:8" ht="14.25" x14ac:dyDescent="0.2">
      <c r="A48" s="35" t="s">
        <v>90</v>
      </c>
      <c r="B48" s="35" t="s">
        <v>97</v>
      </c>
      <c r="C48" s="35"/>
      <c r="D48" s="35"/>
      <c r="E48" s="46" t="s">
        <v>295</v>
      </c>
      <c r="F48" s="42">
        <f>SUM(F49)</f>
        <v>96.3</v>
      </c>
      <c r="G48" s="42">
        <f>SUM(G49)</f>
        <v>6.6</v>
      </c>
      <c r="H48" s="42">
        <f>SUM(H49)</f>
        <v>5.9</v>
      </c>
    </row>
    <row r="49" spans="1:8" ht="25.5" x14ac:dyDescent="0.2">
      <c r="A49" s="16" t="s">
        <v>90</v>
      </c>
      <c r="B49" s="84" t="s">
        <v>97</v>
      </c>
      <c r="C49" s="80">
        <v>9900000000</v>
      </c>
      <c r="D49" s="16"/>
      <c r="E49" s="55" t="s">
        <v>147</v>
      </c>
      <c r="F49" s="39">
        <f t="shared" ref="F49:H51" si="4">F50</f>
        <v>96.3</v>
      </c>
      <c r="G49" s="39">
        <f t="shared" si="4"/>
        <v>6.6</v>
      </c>
      <c r="H49" s="39">
        <f t="shared" si="4"/>
        <v>5.9</v>
      </c>
    </row>
    <row r="50" spans="1:8" ht="25.5" x14ac:dyDescent="0.2">
      <c r="A50" s="16" t="s">
        <v>90</v>
      </c>
      <c r="B50" s="84" t="s">
        <v>97</v>
      </c>
      <c r="C50" s="80">
        <v>9930000000</v>
      </c>
      <c r="D50" s="16"/>
      <c r="E50" s="22" t="s">
        <v>42</v>
      </c>
      <c r="F50" s="39">
        <f t="shared" si="4"/>
        <v>96.3</v>
      </c>
      <c r="G50" s="39">
        <f t="shared" si="4"/>
        <v>6.6</v>
      </c>
      <c r="H50" s="39">
        <f t="shared" si="4"/>
        <v>5.9</v>
      </c>
    </row>
    <row r="51" spans="1:8" ht="63.75" x14ac:dyDescent="0.2">
      <c r="A51" s="16" t="s">
        <v>90</v>
      </c>
      <c r="B51" s="84" t="s">
        <v>97</v>
      </c>
      <c r="C51" s="80">
        <v>9930051200</v>
      </c>
      <c r="D51" s="16"/>
      <c r="E51" s="54" t="s">
        <v>288</v>
      </c>
      <c r="F51" s="39">
        <f t="shared" si="4"/>
        <v>96.3</v>
      </c>
      <c r="G51" s="39">
        <f t="shared" si="4"/>
        <v>6.6</v>
      </c>
      <c r="H51" s="39">
        <f t="shared" si="4"/>
        <v>5.9</v>
      </c>
    </row>
    <row r="52" spans="1:8" ht="38.25" x14ac:dyDescent="0.2">
      <c r="A52" s="16" t="s">
        <v>90</v>
      </c>
      <c r="B52" s="84" t="s">
        <v>97</v>
      </c>
      <c r="C52" s="80">
        <v>9930051200</v>
      </c>
      <c r="D52" s="84" t="s">
        <v>214</v>
      </c>
      <c r="E52" s="101" t="s">
        <v>215</v>
      </c>
      <c r="F52" s="116">
        <v>96.3</v>
      </c>
      <c r="G52" s="116">
        <v>6.6</v>
      </c>
      <c r="H52" s="116">
        <v>5.9</v>
      </c>
    </row>
    <row r="53" spans="1:8" s="37" customFormat="1" ht="63.75" x14ac:dyDescent="0.2">
      <c r="A53" s="35" t="s">
        <v>90</v>
      </c>
      <c r="B53" s="35" t="s">
        <v>98</v>
      </c>
      <c r="C53" s="35"/>
      <c r="D53" s="35"/>
      <c r="E53" s="46" t="s">
        <v>127</v>
      </c>
      <c r="F53" s="42">
        <f>SUM(F54)</f>
        <v>11130.5</v>
      </c>
      <c r="G53" s="42">
        <f>SUM(G54)</f>
        <v>10805.6</v>
      </c>
      <c r="H53" s="42">
        <f>SUM(H54)</f>
        <v>10805.6</v>
      </c>
    </row>
    <row r="54" spans="1:8" ht="25.5" x14ac:dyDescent="0.2">
      <c r="A54" s="16" t="s">
        <v>90</v>
      </c>
      <c r="B54" s="16" t="s">
        <v>98</v>
      </c>
      <c r="C54" s="80">
        <v>9900000000</v>
      </c>
      <c r="D54" s="16"/>
      <c r="E54" s="55" t="s">
        <v>146</v>
      </c>
      <c r="F54" s="39">
        <f>F55+F60</f>
        <v>11130.5</v>
      </c>
      <c r="G54" s="39">
        <f>G55+G60</f>
        <v>10805.6</v>
      </c>
      <c r="H54" s="39">
        <f>H55+H60</f>
        <v>10805.6</v>
      </c>
    </row>
    <row r="55" spans="1:8" ht="38.25" x14ac:dyDescent="0.2">
      <c r="A55" s="16" t="s">
        <v>90</v>
      </c>
      <c r="B55" s="16" t="s">
        <v>98</v>
      </c>
      <c r="C55" s="80">
        <v>9980000000</v>
      </c>
      <c r="D55" s="16"/>
      <c r="E55" s="54" t="s">
        <v>31</v>
      </c>
      <c r="F55" s="39">
        <f>F56</f>
        <v>9556.1</v>
      </c>
      <c r="G55" s="39">
        <f>G56</f>
        <v>9248</v>
      </c>
      <c r="H55" s="39">
        <f>H56</f>
        <v>9248</v>
      </c>
    </row>
    <row r="56" spans="1:8" x14ac:dyDescent="0.2">
      <c r="A56" s="16" t="s">
        <v>90</v>
      </c>
      <c r="B56" s="16" t="s">
        <v>98</v>
      </c>
      <c r="C56" s="172">
        <v>9980022200</v>
      </c>
      <c r="D56" s="21"/>
      <c r="E56" s="103" t="s">
        <v>117</v>
      </c>
      <c r="F56" s="39">
        <f>SUM(F57:F59)</f>
        <v>9556.1</v>
      </c>
      <c r="G56" s="39">
        <f>SUM(G57:G58)</f>
        <v>9248</v>
      </c>
      <c r="H56" s="39">
        <f>SUM(H57:H58)</f>
        <v>9248</v>
      </c>
    </row>
    <row r="57" spans="1:8" ht="38.25" x14ac:dyDescent="0.2">
      <c r="A57" s="16" t="s">
        <v>90</v>
      </c>
      <c r="B57" s="16" t="s">
        <v>98</v>
      </c>
      <c r="C57" s="172">
        <v>9980022200</v>
      </c>
      <c r="D57" s="16" t="s">
        <v>64</v>
      </c>
      <c r="E57" s="106" t="s">
        <v>65</v>
      </c>
      <c r="F57" s="39">
        <f>8799.1-1.3+189+308.1+8</f>
        <v>9302.9000000000015</v>
      </c>
      <c r="G57" s="39">
        <v>8799.1</v>
      </c>
      <c r="H57" s="39">
        <v>8799.1</v>
      </c>
    </row>
    <row r="58" spans="1:8" ht="38.25" x14ac:dyDescent="0.2">
      <c r="A58" s="16" t="s">
        <v>90</v>
      </c>
      <c r="B58" s="16" t="s">
        <v>98</v>
      </c>
      <c r="C58" s="172">
        <v>9980022200</v>
      </c>
      <c r="D58" s="84" t="s">
        <v>214</v>
      </c>
      <c r="E58" s="101" t="s">
        <v>215</v>
      </c>
      <c r="F58" s="39">
        <f>448.9-189-8</f>
        <v>251.89999999999998</v>
      </c>
      <c r="G58" s="39">
        <v>448.9</v>
      </c>
      <c r="H58" s="39">
        <v>448.9</v>
      </c>
    </row>
    <row r="59" spans="1:8" ht="25.5" x14ac:dyDescent="0.2">
      <c r="A59" s="16" t="s">
        <v>90</v>
      </c>
      <c r="B59" s="16" t="s">
        <v>98</v>
      </c>
      <c r="C59" s="197">
        <v>9980022200</v>
      </c>
      <c r="D59" s="84" t="s">
        <v>133</v>
      </c>
      <c r="E59" s="101" t="s">
        <v>134</v>
      </c>
      <c r="F59" s="39">
        <v>1.3</v>
      </c>
      <c r="G59" s="39">
        <v>0</v>
      </c>
      <c r="H59" s="39">
        <v>0</v>
      </c>
    </row>
    <row r="60" spans="1:8" ht="38.25" x14ac:dyDescent="0.2">
      <c r="A60" s="16" t="s">
        <v>90</v>
      </c>
      <c r="B60" s="16" t="s">
        <v>98</v>
      </c>
      <c r="C60" s="80">
        <v>9990000000</v>
      </c>
      <c r="D60" s="16"/>
      <c r="E60" s="54" t="s">
        <v>30</v>
      </c>
      <c r="F60" s="39">
        <f>F61</f>
        <v>1574.3999999999999</v>
      </c>
      <c r="G60" s="39">
        <f>G61</f>
        <v>1557.6</v>
      </c>
      <c r="H60" s="39">
        <f>H61</f>
        <v>1557.6</v>
      </c>
    </row>
    <row r="61" spans="1:8" ht="25.5" x14ac:dyDescent="0.2">
      <c r="A61" s="16" t="s">
        <v>90</v>
      </c>
      <c r="B61" s="16" t="s">
        <v>98</v>
      </c>
      <c r="C61" s="80">
        <v>9990022300</v>
      </c>
      <c r="D61" s="21"/>
      <c r="E61" s="150" t="s">
        <v>203</v>
      </c>
      <c r="F61" s="41">
        <f>F62+F63</f>
        <v>1574.3999999999999</v>
      </c>
      <c r="G61" s="41">
        <f>G62+G63</f>
        <v>1557.6</v>
      </c>
      <c r="H61" s="41">
        <f>H62+H63</f>
        <v>1557.6</v>
      </c>
    </row>
    <row r="62" spans="1:8" ht="38.25" x14ac:dyDescent="0.2">
      <c r="A62" s="16" t="s">
        <v>90</v>
      </c>
      <c r="B62" s="16" t="s">
        <v>98</v>
      </c>
      <c r="C62" s="80">
        <v>9990022300</v>
      </c>
      <c r="D62" s="16" t="s">
        <v>64</v>
      </c>
      <c r="E62" s="150" t="s">
        <v>80</v>
      </c>
      <c r="F62" s="39">
        <f>1554.1-3.1-14.7+16.8</f>
        <v>1553.1</v>
      </c>
      <c r="G62" s="39">
        <v>1554.1</v>
      </c>
      <c r="H62" s="39">
        <v>1554.1</v>
      </c>
    </row>
    <row r="63" spans="1:8" ht="38.25" x14ac:dyDescent="0.2">
      <c r="A63" s="16" t="s">
        <v>90</v>
      </c>
      <c r="B63" s="16" t="s">
        <v>98</v>
      </c>
      <c r="C63" s="80">
        <v>9990022300</v>
      </c>
      <c r="D63" s="84" t="s">
        <v>214</v>
      </c>
      <c r="E63" s="101" t="s">
        <v>215</v>
      </c>
      <c r="F63" s="39">
        <f>3.5+3.1+14.7</f>
        <v>21.299999999999997</v>
      </c>
      <c r="G63" s="39">
        <v>3.5</v>
      </c>
      <c r="H63" s="39">
        <v>3.5</v>
      </c>
    </row>
    <row r="64" spans="1:8" ht="14.25" x14ac:dyDescent="0.2">
      <c r="A64" s="35" t="s">
        <v>90</v>
      </c>
      <c r="B64" s="35" t="s">
        <v>104</v>
      </c>
      <c r="C64" s="35"/>
      <c r="D64" s="35"/>
      <c r="E64" s="27" t="s">
        <v>5</v>
      </c>
      <c r="F64" s="42">
        <f>F65</f>
        <v>50</v>
      </c>
      <c r="G64" s="42">
        <f t="shared" ref="G64:H64" si="5">G65</f>
        <v>500</v>
      </c>
      <c r="H64" s="42">
        <f t="shared" si="5"/>
        <v>500</v>
      </c>
    </row>
    <row r="65" spans="1:8" ht="25.5" x14ac:dyDescent="0.2">
      <c r="A65" s="16" t="s">
        <v>90</v>
      </c>
      <c r="B65" s="16" t="s">
        <v>104</v>
      </c>
      <c r="C65" s="80">
        <v>9900000000</v>
      </c>
      <c r="D65" s="16"/>
      <c r="E65" s="55" t="s">
        <v>146</v>
      </c>
      <c r="F65" s="97">
        <f>F66</f>
        <v>50</v>
      </c>
      <c r="G65" s="97">
        <f t="shared" ref="G65:H65" si="6">G66</f>
        <v>500</v>
      </c>
      <c r="H65" s="97">
        <f t="shared" si="6"/>
        <v>500</v>
      </c>
    </row>
    <row r="66" spans="1:8" ht="14.25" x14ac:dyDescent="0.2">
      <c r="A66" s="16" t="s">
        <v>90</v>
      </c>
      <c r="B66" s="16" t="s">
        <v>104</v>
      </c>
      <c r="C66" s="80">
        <v>9920000000</v>
      </c>
      <c r="D66" s="35"/>
      <c r="E66" s="156" t="s">
        <v>5</v>
      </c>
      <c r="F66" s="97">
        <f t="shared" ref="F66:H67" si="7">F67</f>
        <v>50</v>
      </c>
      <c r="G66" s="97">
        <f t="shared" si="7"/>
        <v>500</v>
      </c>
      <c r="H66" s="97">
        <f t="shared" si="7"/>
        <v>500</v>
      </c>
    </row>
    <row r="67" spans="1:8" ht="25.5" x14ac:dyDescent="0.2">
      <c r="A67" s="16" t="s">
        <v>90</v>
      </c>
      <c r="B67" s="16" t="s">
        <v>104</v>
      </c>
      <c r="C67" s="80">
        <v>9920026100</v>
      </c>
      <c r="D67" s="21"/>
      <c r="E67" s="103" t="s">
        <v>11</v>
      </c>
      <c r="F67" s="39">
        <f t="shared" si="7"/>
        <v>50</v>
      </c>
      <c r="G67" s="39">
        <f t="shared" si="7"/>
        <v>500</v>
      </c>
      <c r="H67" s="39">
        <f t="shared" si="7"/>
        <v>500</v>
      </c>
    </row>
    <row r="68" spans="1:8" x14ac:dyDescent="0.2">
      <c r="A68" s="16" t="s">
        <v>90</v>
      </c>
      <c r="B68" s="16" t="s">
        <v>104</v>
      </c>
      <c r="C68" s="80">
        <v>9920026100</v>
      </c>
      <c r="D68" s="16" t="s">
        <v>86</v>
      </c>
      <c r="E68" s="101" t="s">
        <v>87</v>
      </c>
      <c r="F68" s="39">
        <f>500-50-400</f>
        <v>50</v>
      </c>
      <c r="G68" s="39">
        <v>500</v>
      </c>
      <c r="H68" s="39">
        <v>500</v>
      </c>
    </row>
    <row r="69" spans="1:8" s="32" customFormat="1" ht="14.25" x14ac:dyDescent="0.2">
      <c r="A69" s="30" t="s">
        <v>90</v>
      </c>
      <c r="B69" s="30" t="s">
        <v>9</v>
      </c>
      <c r="C69" s="33"/>
      <c r="D69" s="33"/>
      <c r="E69" s="45" t="s">
        <v>99</v>
      </c>
      <c r="F69" s="40">
        <f>F70+F84</f>
        <v>69839</v>
      </c>
      <c r="G69" s="40">
        <f t="shared" ref="G69:H69" si="8">G70+G84</f>
        <v>41021.299999999996</v>
      </c>
      <c r="H69" s="40">
        <f t="shared" si="8"/>
        <v>41149.299999999996</v>
      </c>
    </row>
    <row r="70" spans="1:8" s="32" customFormat="1" ht="89.25" x14ac:dyDescent="0.2">
      <c r="A70" s="16" t="s">
        <v>90</v>
      </c>
      <c r="B70" s="16" t="s">
        <v>9</v>
      </c>
      <c r="C70" s="73" t="s">
        <v>71</v>
      </c>
      <c r="D70" s="16"/>
      <c r="E70" s="186" t="s">
        <v>640</v>
      </c>
      <c r="F70" s="99">
        <f>F71</f>
        <v>32080.899999999998</v>
      </c>
      <c r="G70" s="99">
        <f>G71</f>
        <v>7814</v>
      </c>
      <c r="H70" s="99">
        <f>H71</f>
        <v>7940</v>
      </c>
    </row>
    <row r="71" spans="1:8" s="32" customFormat="1" ht="38.25" x14ac:dyDescent="0.2">
      <c r="A71" s="16" t="s">
        <v>90</v>
      </c>
      <c r="B71" s="16" t="s">
        <v>9</v>
      </c>
      <c r="C71" s="52" t="s">
        <v>72</v>
      </c>
      <c r="D71" s="16"/>
      <c r="E71" s="48" t="s">
        <v>159</v>
      </c>
      <c r="F71" s="96">
        <f>F72+F74+F76+F78+F82</f>
        <v>32080.899999999998</v>
      </c>
      <c r="G71" s="96">
        <f>G72+G74+G76+G78</f>
        <v>7814</v>
      </c>
      <c r="H71" s="96">
        <f>H72+H74+H76+H78</f>
        <v>7940</v>
      </c>
    </row>
    <row r="72" spans="1:8" s="32" customFormat="1" ht="38.25" x14ac:dyDescent="0.2">
      <c r="A72" s="16" t="s">
        <v>90</v>
      </c>
      <c r="B72" s="16" t="s">
        <v>9</v>
      </c>
      <c r="C72" s="84" t="s">
        <v>492</v>
      </c>
      <c r="D72" s="16"/>
      <c r="E72" s="100" t="s">
        <v>160</v>
      </c>
      <c r="F72" s="41">
        <f t="shared" ref="F72:H72" si="9">F73</f>
        <v>349</v>
      </c>
      <c r="G72" s="41">
        <f t="shared" si="9"/>
        <v>250</v>
      </c>
      <c r="H72" s="41">
        <f t="shared" si="9"/>
        <v>250</v>
      </c>
    </row>
    <row r="73" spans="1:8" s="32" customFormat="1" ht="38.25" x14ac:dyDescent="0.2">
      <c r="A73" s="16" t="s">
        <v>90</v>
      </c>
      <c r="B73" s="16" t="s">
        <v>9</v>
      </c>
      <c r="C73" s="84" t="s">
        <v>492</v>
      </c>
      <c r="D73" s="84" t="s">
        <v>214</v>
      </c>
      <c r="E73" s="101" t="s">
        <v>215</v>
      </c>
      <c r="F73" s="41">
        <f>250+100-1</f>
        <v>349</v>
      </c>
      <c r="G73" s="41">
        <v>250</v>
      </c>
      <c r="H73" s="41">
        <v>250</v>
      </c>
    </row>
    <row r="74" spans="1:8" s="32" customFormat="1" ht="51" x14ac:dyDescent="0.2">
      <c r="A74" s="16" t="s">
        <v>90</v>
      </c>
      <c r="B74" s="16" t="s">
        <v>9</v>
      </c>
      <c r="C74" s="167" t="s">
        <v>493</v>
      </c>
      <c r="D74" s="16"/>
      <c r="E74" s="100" t="s">
        <v>161</v>
      </c>
      <c r="F74" s="41">
        <f>F75</f>
        <v>237</v>
      </c>
      <c r="G74" s="41">
        <f>G75</f>
        <v>100</v>
      </c>
      <c r="H74" s="41">
        <f>H75</f>
        <v>100</v>
      </c>
    </row>
    <row r="75" spans="1:8" s="32" customFormat="1" ht="38.25" x14ac:dyDescent="0.2">
      <c r="A75" s="16" t="s">
        <v>90</v>
      </c>
      <c r="B75" s="16" t="s">
        <v>9</v>
      </c>
      <c r="C75" s="167" t="s">
        <v>493</v>
      </c>
      <c r="D75" s="84" t="s">
        <v>214</v>
      </c>
      <c r="E75" s="101" t="s">
        <v>215</v>
      </c>
      <c r="F75" s="41">
        <f>100+50+50+36+1</f>
        <v>237</v>
      </c>
      <c r="G75" s="41">
        <v>100</v>
      </c>
      <c r="H75" s="41">
        <v>100</v>
      </c>
    </row>
    <row r="76" spans="1:8" s="32" customFormat="1" ht="76.5" x14ac:dyDescent="0.2">
      <c r="A76" s="16" t="s">
        <v>90</v>
      </c>
      <c r="B76" s="16" t="s">
        <v>9</v>
      </c>
      <c r="C76" s="167" t="s">
        <v>494</v>
      </c>
      <c r="D76" s="16"/>
      <c r="E76" s="100" t="s">
        <v>162</v>
      </c>
      <c r="F76" s="41">
        <f>F77</f>
        <v>209</v>
      </c>
      <c r="G76" s="41">
        <f>G77</f>
        <v>100</v>
      </c>
      <c r="H76" s="41">
        <f>H77</f>
        <v>100</v>
      </c>
    </row>
    <row r="77" spans="1:8" s="32" customFormat="1" ht="38.25" x14ac:dyDescent="0.2">
      <c r="A77" s="16" t="s">
        <v>90</v>
      </c>
      <c r="B77" s="16" t="s">
        <v>9</v>
      </c>
      <c r="C77" s="167" t="s">
        <v>494</v>
      </c>
      <c r="D77" s="84" t="s">
        <v>214</v>
      </c>
      <c r="E77" s="101" t="s">
        <v>215</v>
      </c>
      <c r="F77" s="41">
        <f>110+99</f>
        <v>209</v>
      </c>
      <c r="G77" s="41">
        <v>100</v>
      </c>
      <c r="H77" s="41">
        <v>100</v>
      </c>
    </row>
    <row r="78" spans="1:8" s="32" customFormat="1" ht="38.25" x14ac:dyDescent="0.2">
      <c r="A78" s="16" t="s">
        <v>90</v>
      </c>
      <c r="B78" s="16" t="s">
        <v>9</v>
      </c>
      <c r="C78" s="167" t="s">
        <v>702</v>
      </c>
      <c r="D78" s="16"/>
      <c r="E78" s="100" t="s">
        <v>163</v>
      </c>
      <c r="F78" s="41">
        <f>SUM(F79:F81)</f>
        <v>29285.899999999998</v>
      </c>
      <c r="G78" s="41">
        <f t="shared" ref="G78:H78" si="10">SUM(G79:G81)</f>
        <v>7364</v>
      </c>
      <c r="H78" s="41">
        <f t="shared" si="10"/>
        <v>7490</v>
      </c>
    </row>
    <row r="79" spans="1:8" s="32" customFormat="1" ht="38.25" x14ac:dyDescent="0.2">
      <c r="A79" s="16" t="s">
        <v>90</v>
      </c>
      <c r="B79" s="16" t="s">
        <v>9</v>
      </c>
      <c r="C79" s="167" t="s">
        <v>702</v>
      </c>
      <c r="D79" s="84" t="s">
        <v>214</v>
      </c>
      <c r="E79" s="101" t="s">
        <v>215</v>
      </c>
      <c r="F79" s="110">
        <f>7420.6+1496+2743.1+363.3-50-100-692.1+200+1800-50-36+180+1497.8+15650+13.8-1497.8</f>
        <v>28938.699999999997</v>
      </c>
      <c r="G79" s="41">
        <f>7016.6+347.4</f>
        <v>7364</v>
      </c>
      <c r="H79" s="41">
        <f>7142.6+347.4</f>
        <v>7490</v>
      </c>
    </row>
    <row r="80" spans="1:8" s="32" customFormat="1" ht="14.25" x14ac:dyDescent="0.2">
      <c r="A80" s="16" t="s">
        <v>90</v>
      </c>
      <c r="B80" s="16" t="s">
        <v>9</v>
      </c>
      <c r="C80" s="167" t="s">
        <v>702</v>
      </c>
      <c r="D80" s="84" t="s">
        <v>693</v>
      </c>
      <c r="E80" s="54" t="s">
        <v>694</v>
      </c>
      <c r="F80" s="41">
        <f>0.2+286.2</f>
        <v>286.39999999999998</v>
      </c>
      <c r="G80" s="41">
        <v>0</v>
      </c>
      <c r="H80" s="41">
        <v>0</v>
      </c>
    </row>
    <row r="81" spans="1:8" s="32" customFormat="1" ht="25.5" x14ac:dyDescent="0.2">
      <c r="A81" s="16" t="s">
        <v>90</v>
      </c>
      <c r="B81" s="16" t="s">
        <v>9</v>
      </c>
      <c r="C81" s="167" t="s">
        <v>702</v>
      </c>
      <c r="D81" s="84" t="s">
        <v>133</v>
      </c>
      <c r="E81" s="101" t="s">
        <v>134</v>
      </c>
      <c r="F81" s="41">
        <v>60.8</v>
      </c>
      <c r="G81" s="41">
        <v>0</v>
      </c>
      <c r="H81" s="41">
        <v>0</v>
      </c>
    </row>
    <row r="82" spans="1:8" s="32" customFormat="1" ht="38.25" x14ac:dyDescent="0.2">
      <c r="A82" s="16" t="s">
        <v>90</v>
      </c>
      <c r="B82" s="16" t="s">
        <v>9</v>
      </c>
      <c r="C82" s="167" t="s">
        <v>738</v>
      </c>
      <c r="D82" s="84"/>
      <c r="E82" s="101" t="s">
        <v>739</v>
      </c>
      <c r="F82" s="41">
        <f>F83</f>
        <v>2000</v>
      </c>
      <c r="G82" s="41">
        <f t="shared" ref="G82:H82" si="11">G83</f>
        <v>0</v>
      </c>
      <c r="H82" s="41">
        <f t="shared" si="11"/>
        <v>0</v>
      </c>
    </row>
    <row r="83" spans="1:8" s="32" customFormat="1" ht="63.75" x14ac:dyDescent="0.2">
      <c r="A83" s="16" t="s">
        <v>90</v>
      </c>
      <c r="B83" s="16" t="s">
        <v>9</v>
      </c>
      <c r="C83" s="167" t="s">
        <v>738</v>
      </c>
      <c r="D83" s="83" t="s">
        <v>13</v>
      </c>
      <c r="E83" s="101" t="s">
        <v>381</v>
      </c>
      <c r="F83" s="41">
        <v>2000</v>
      </c>
      <c r="G83" s="41">
        <v>0</v>
      </c>
      <c r="H83" s="41">
        <v>0</v>
      </c>
    </row>
    <row r="84" spans="1:8" s="32" customFormat="1" ht="25.5" x14ac:dyDescent="0.2">
      <c r="A84" s="5" t="s">
        <v>90</v>
      </c>
      <c r="B84" s="5" t="s">
        <v>9</v>
      </c>
      <c r="C84" s="85">
        <v>9900000000</v>
      </c>
      <c r="D84" s="5"/>
      <c r="E84" s="86" t="s">
        <v>146</v>
      </c>
      <c r="F84" s="99">
        <f>F85+F94+F89</f>
        <v>37758.1</v>
      </c>
      <c r="G84" s="99">
        <f t="shared" ref="G84:H84" si="12">G85+G94+G89</f>
        <v>33207.299999999996</v>
      </c>
      <c r="H84" s="99">
        <f t="shared" si="12"/>
        <v>33209.299999999996</v>
      </c>
    </row>
    <row r="85" spans="1:8" s="32" customFormat="1" ht="25.5" x14ac:dyDescent="0.2">
      <c r="A85" s="16" t="s">
        <v>90</v>
      </c>
      <c r="B85" s="16" t="s">
        <v>9</v>
      </c>
      <c r="C85" s="80">
        <v>9930000000</v>
      </c>
      <c r="D85" s="16"/>
      <c r="E85" s="22" t="s">
        <v>42</v>
      </c>
      <c r="F85" s="39">
        <f>F86</f>
        <v>217</v>
      </c>
      <c r="G85" s="39">
        <f t="shared" ref="G85:H85" si="13">G86</f>
        <v>219</v>
      </c>
      <c r="H85" s="39">
        <f t="shared" si="13"/>
        <v>221</v>
      </c>
    </row>
    <row r="86" spans="1:8" s="32" customFormat="1" ht="36" customHeight="1" x14ac:dyDescent="0.2">
      <c r="A86" s="16" t="s">
        <v>90</v>
      </c>
      <c r="B86" s="16" t="s">
        <v>9</v>
      </c>
      <c r="C86" s="80">
        <v>9930010540</v>
      </c>
      <c r="D86" s="16"/>
      <c r="E86" s="22" t="s">
        <v>17</v>
      </c>
      <c r="F86" s="39">
        <f>F87+F88</f>
        <v>217</v>
      </c>
      <c r="G86" s="39">
        <f>G87+G88</f>
        <v>219</v>
      </c>
      <c r="H86" s="39">
        <f>H87+H88</f>
        <v>221</v>
      </c>
    </row>
    <row r="87" spans="1:8" s="32" customFormat="1" ht="38.25" x14ac:dyDescent="0.2">
      <c r="A87" s="16" t="s">
        <v>90</v>
      </c>
      <c r="B87" s="16" t="s">
        <v>9</v>
      </c>
      <c r="C87" s="80">
        <v>9930010540</v>
      </c>
      <c r="D87" s="16" t="s">
        <v>64</v>
      </c>
      <c r="E87" s="106" t="s">
        <v>65</v>
      </c>
      <c r="F87" s="39">
        <v>191.9</v>
      </c>
      <c r="G87" s="39">
        <v>191.9</v>
      </c>
      <c r="H87" s="39">
        <v>191.9</v>
      </c>
    </row>
    <row r="88" spans="1:8" s="32" customFormat="1" ht="38.25" x14ac:dyDescent="0.2">
      <c r="A88" s="16" t="s">
        <v>90</v>
      </c>
      <c r="B88" s="16" t="s">
        <v>9</v>
      </c>
      <c r="C88" s="80">
        <v>9930010540</v>
      </c>
      <c r="D88" s="84" t="s">
        <v>214</v>
      </c>
      <c r="E88" s="101" t="s">
        <v>215</v>
      </c>
      <c r="F88" s="39">
        <v>25.1</v>
      </c>
      <c r="G88" s="39">
        <v>27.1</v>
      </c>
      <c r="H88" s="39">
        <v>29.1</v>
      </c>
    </row>
    <row r="89" spans="1:8" s="32" customFormat="1" ht="38.25" x14ac:dyDescent="0.2">
      <c r="A89" s="16" t="s">
        <v>90</v>
      </c>
      <c r="B89" s="16" t="s">
        <v>9</v>
      </c>
      <c r="C89" s="16" t="s">
        <v>26</v>
      </c>
      <c r="D89" s="16"/>
      <c r="E89" s="103" t="s">
        <v>40</v>
      </c>
      <c r="F89" s="39">
        <f>F90</f>
        <v>5596.8</v>
      </c>
      <c r="G89" s="39">
        <f t="shared" ref="G89:H89" si="14">G90</f>
        <v>1270</v>
      </c>
      <c r="H89" s="39">
        <f t="shared" si="14"/>
        <v>1270</v>
      </c>
    </row>
    <row r="90" spans="1:8" s="32" customFormat="1" ht="25.5" x14ac:dyDescent="0.2">
      <c r="A90" s="16" t="s">
        <v>90</v>
      </c>
      <c r="B90" s="16" t="s">
        <v>9</v>
      </c>
      <c r="C90" s="83" t="s">
        <v>590</v>
      </c>
      <c r="D90" s="16"/>
      <c r="E90" s="103" t="s">
        <v>41</v>
      </c>
      <c r="F90" s="39">
        <f>SUM(F91:F93)</f>
        <v>5596.8</v>
      </c>
      <c r="G90" s="39">
        <f>SUM(G91:G93)</f>
        <v>1270</v>
      </c>
      <c r="H90" s="39">
        <f>SUM(H91:H93)</f>
        <v>1270</v>
      </c>
    </row>
    <row r="91" spans="1:8" s="32" customFormat="1" ht="38.25" x14ac:dyDescent="0.2">
      <c r="A91" s="16" t="s">
        <v>90</v>
      </c>
      <c r="B91" s="16" t="s">
        <v>9</v>
      </c>
      <c r="C91" s="83" t="s">
        <v>590</v>
      </c>
      <c r="D91" s="84" t="s">
        <v>214</v>
      </c>
      <c r="E91" s="101" t="s">
        <v>215</v>
      </c>
      <c r="F91" s="39">
        <f>242-7.7</f>
        <v>234.3</v>
      </c>
      <c r="G91" s="39">
        <v>242</v>
      </c>
      <c r="H91" s="39">
        <v>242</v>
      </c>
    </row>
    <row r="92" spans="1:8" s="32" customFormat="1" ht="14.25" x14ac:dyDescent="0.2">
      <c r="A92" s="16" t="s">
        <v>90</v>
      </c>
      <c r="B92" s="16" t="s">
        <v>9</v>
      </c>
      <c r="C92" s="83" t="s">
        <v>590</v>
      </c>
      <c r="D92" s="16" t="s">
        <v>83</v>
      </c>
      <c r="E92" s="101" t="s">
        <v>84</v>
      </c>
      <c r="F92" s="39">
        <f>426-196.1</f>
        <v>229.9</v>
      </c>
      <c r="G92" s="39">
        <v>426</v>
      </c>
      <c r="H92" s="39">
        <v>426</v>
      </c>
    </row>
    <row r="93" spans="1:8" s="32" customFormat="1" ht="25.5" x14ac:dyDescent="0.2">
      <c r="A93" s="16" t="s">
        <v>90</v>
      </c>
      <c r="B93" s="16" t="s">
        <v>9</v>
      </c>
      <c r="C93" s="83" t="s">
        <v>590</v>
      </c>
      <c r="D93" s="83" t="s">
        <v>133</v>
      </c>
      <c r="E93" s="101" t="s">
        <v>134</v>
      </c>
      <c r="F93" s="39">
        <f>602-1+1000+2886+441.8+203.8</f>
        <v>5132.6000000000004</v>
      </c>
      <c r="G93" s="39">
        <v>602</v>
      </c>
      <c r="H93" s="39">
        <v>602</v>
      </c>
    </row>
    <row r="94" spans="1:8" s="32" customFormat="1" ht="25.5" x14ac:dyDescent="0.2">
      <c r="A94" s="16" t="s">
        <v>90</v>
      </c>
      <c r="B94" s="16" t="s">
        <v>9</v>
      </c>
      <c r="C94" s="84" t="s">
        <v>197</v>
      </c>
      <c r="D94" s="16"/>
      <c r="E94" s="103" t="s">
        <v>198</v>
      </c>
      <c r="F94" s="39">
        <f>F95+F98</f>
        <v>31944.299999999996</v>
      </c>
      <c r="G94" s="39">
        <f>G95+G98</f>
        <v>31718.299999999996</v>
      </c>
      <c r="H94" s="39">
        <f>H95+H98</f>
        <v>31718.299999999996</v>
      </c>
    </row>
    <row r="95" spans="1:8" s="32" customFormat="1" ht="38.25" x14ac:dyDescent="0.2">
      <c r="A95" s="16" t="s">
        <v>90</v>
      </c>
      <c r="B95" s="16" t="s">
        <v>9</v>
      </c>
      <c r="C95" s="21" t="s">
        <v>592</v>
      </c>
      <c r="D95" s="47"/>
      <c r="E95" s="54" t="s">
        <v>291</v>
      </c>
      <c r="F95" s="41">
        <f>SUM(F96:F97)</f>
        <v>8859.7999999999993</v>
      </c>
      <c r="G95" s="41">
        <f>SUM(G96:G97)</f>
        <v>8889.5999999999985</v>
      </c>
      <c r="H95" s="41">
        <f>SUM(H96:H97)</f>
        <v>8889.5999999999985</v>
      </c>
    </row>
    <row r="96" spans="1:8" s="32" customFormat="1" ht="25.5" x14ac:dyDescent="0.2">
      <c r="A96" s="16" t="s">
        <v>90</v>
      </c>
      <c r="B96" s="16" t="s">
        <v>9</v>
      </c>
      <c r="C96" s="21" t="s">
        <v>592</v>
      </c>
      <c r="D96" s="16" t="s">
        <v>66</v>
      </c>
      <c r="E96" s="106" t="s">
        <v>132</v>
      </c>
      <c r="F96" s="41">
        <f>8093.2+15.4-175.2+145.4</f>
        <v>8078.7999999999993</v>
      </c>
      <c r="G96" s="41">
        <f>8093.2+15.4</f>
        <v>8108.5999999999995</v>
      </c>
      <c r="H96" s="41">
        <f>8093.2+15.4</f>
        <v>8108.5999999999995</v>
      </c>
    </row>
    <row r="97" spans="1:8" s="32" customFormat="1" ht="38.25" x14ac:dyDescent="0.2">
      <c r="A97" s="16" t="s">
        <v>90</v>
      </c>
      <c r="B97" s="16" t="s">
        <v>9</v>
      </c>
      <c r="C97" s="21" t="s">
        <v>592</v>
      </c>
      <c r="D97" s="84" t="s">
        <v>214</v>
      </c>
      <c r="E97" s="101" t="s">
        <v>215</v>
      </c>
      <c r="F97" s="41">
        <f>796.4-15.4</f>
        <v>781</v>
      </c>
      <c r="G97" s="41">
        <f>796.4-15.4</f>
        <v>781</v>
      </c>
      <c r="H97" s="41">
        <f>796.4-15.4</f>
        <v>781</v>
      </c>
    </row>
    <row r="98" spans="1:8" s="32" customFormat="1" ht="61.5" customHeight="1" x14ac:dyDescent="0.2">
      <c r="A98" s="16" t="s">
        <v>90</v>
      </c>
      <c r="B98" s="16" t="s">
        <v>9</v>
      </c>
      <c r="C98" s="21" t="s">
        <v>594</v>
      </c>
      <c r="D98" s="47"/>
      <c r="E98" s="54" t="s">
        <v>593</v>
      </c>
      <c r="F98" s="41">
        <f>SUM(F99:F102)</f>
        <v>23084.499999999996</v>
      </c>
      <c r="G98" s="41">
        <f>SUM(G99:G102)</f>
        <v>22828.699999999997</v>
      </c>
      <c r="H98" s="41">
        <f>SUM(H99:H102)</f>
        <v>22828.699999999997</v>
      </c>
    </row>
    <row r="99" spans="1:8" s="32" customFormat="1" ht="25.5" x14ac:dyDescent="0.2">
      <c r="A99" s="16" t="s">
        <v>90</v>
      </c>
      <c r="B99" s="16" t="s">
        <v>9</v>
      </c>
      <c r="C99" s="21" t="s">
        <v>594</v>
      </c>
      <c r="D99" s="16" t="s">
        <v>66</v>
      </c>
      <c r="E99" s="106" t="s">
        <v>132</v>
      </c>
      <c r="F99" s="41">
        <f>9083.3+429.9+366.5</f>
        <v>9879.6999999999989</v>
      </c>
      <c r="G99" s="41">
        <v>9083.2999999999993</v>
      </c>
      <c r="H99" s="41">
        <v>9083.2999999999993</v>
      </c>
    </row>
    <row r="100" spans="1:8" s="32" customFormat="1" ht="38.25" x14ac:dyDescent="0.2">
      <c r="A100" s="16" t="s">
        <v>90</v>
      </c>
      <c r="B100" s="16" t="s">
        <v>9</v>
      </c>
      <c r="C100" s="21" t="s">
        <v>594</v>
      </c>
      <c r="D100" s="84" t="s">
        <v>214</v>
      </c>
      <c r="E100" s="101" t="s">
        <v>215</v>
      </c>
      <c r="F100" s="41">
        <f>13621.8-110.7-429.9</f>
        <v>13081.199999999999</v>
      </c>
      <c r="G100" s="41">
        <v>13621.8</v>
      </c>
      <c r="H100" s="41">
        <v>13621.8</v>
      </c>
    </row>
    <row r="101" spans="1:8" s="32" customFormat="1" ht="14.25" x14ac:dyDescent="0.2">
      <c r="A101" s="16" t="s">
        <v>90</v>
      </c>
      <c r="B101" s="16" t="s">
        <v>9</v>
      </c>
      <c r="C101" s="21" t="s">
        <v>594</v>
      </c>
      <c r="D101" s="84" t="s">
        <v>693</v>
      </c>
      <c r="E101" s="101" t="s">
        <v>694</v>
      </c>
      <c r="F101" s="116">
        <v>0.1</v>
      </c>
      <c r="G101" s="116">
        <v>0</v>
      </c>
      <c r="H101" s="116">
        <v>0</v>
      </c>
    </row>
    <row r="102" spans="1:8" s="32" customFormat="1" ht="25.5" x14ac:dyDescent="0.2">
      <c r="A102" s="16" t="s">
        <v>90</v>
      </c>
      <c r="B102" s="16" t="s">
        <v>9</v>
      </c>
      <c r="C102" s="21" t="s">
        <v>594</v>
      </c>
      <c r="D102" s="84" t="s">
        <v>133</v>
      </c>
      <c r="E102" s="101" t="s">
        <v>134</v>
      </c>
      <c r="F102" s="116">
        <f>123.6-0.1</f>
        <v>123.5</v>
      </c>
      <c r="G102" s="116">
        <v>123.6</v>
      </c>
      <c r="H102" s="116">
        <v>123.6</v>
      </c>
    </row>
    <row r="103" spans="1:8" ht="45" x14ac:dyDescent="0.25">
      <c r="A103" s="4" t="s">
        <v>95</v>
      </c>
      <c r="B103" s="3"/>
      <c r="C103" s="3"/>
      <c r="D103" s="3"/>
      <c r="E103" s="49" t="s">
        <v>100</v>
      </c>
      <c r="F103" s="95">
        <f>F104+F110+F136</f>
        <v>9009.3000000000011</v>
      </c>
      <c r="G103" s="95">
        <f>G104+G110+G136</f>
        <v>7862.7000000000007</v>
      </c>
      <c r="H103" s="95">
        <f>H104+H110+H136</f>
        <v>7833.3000000000011</v>
      </c>
    </row>
    <row r="104" spans="1:8" ht="15" x14ac:dyDescent="0.25">
      <c r="A104" s="28" t="s">
        <v>95</v>
      </c>
      <c r="B104" s="28" t="s">
        <v>96</v>
      </c>
      <c r="C104" s="28"/>
      <c r="D104" s="34"/>
      <c r="E104" s="46" t="s">
        <v>19</v>
      </c>
      <c r="F104" s="40">
        <f>F107</f>
        <v>1196.7</v>
      </c>
      <c r="G104" s="40">
        <f>G107</f>
        <v>1128.6000000000001</v>
      </c>
      <c r="H104" s="40">
        <f>H107</f>
        <v>1128.6000000000001</v>
      </c>
    </row>
    <row r="105" spans="1:8" ht="25.5" x14ac:dyDescent="0.2">
      <c r="A105" s="16" t="s">
        <v>95</v>
      </c>
      <c r="B105" s="16" t="s">
        <v>96</v>
      </c>
      <c r="C105" s="80">
        <v>9900000000</v>
      </c>
      <c r="D105" s="34"/>
      <c r="E105" s="55" t="s">
        <v>146</v>
      </c>
      <c r="F105" s="41">
        <f t="shared" ref="F105:H106" si="15">F106</f>
        <v>1196.7</v>
      </c>
      <c r="G105" s="41">
        <f t="shared" si="15"/>
        <v>1128.6000000000001</v>
      </c>
      <c r="H105" s="41">
        <f t="shared" si="15"/>
        <v>1128.6000000000001</v>
      </c>
    </row>
    <row r="106" spans="1:8" ht="25.5" x14ac:dyDescent="0.2">
      <c r="A106" s="16" t="s">
        <v>95</v>
      </c>
      <c r="B106" s="16" t="s">
        <v>96</v>
      </c>
      <c r="C106" s="80">
        <v>9930000000</v>
      </c>
      <c r="D106" s="16"/>
      <c r="E106" s="22" t="s">
        <v>42</v>
      </c>
      <c r="F106" s="41">
        <f t="shared" si="15"/>
        <v>1196.7</v>
      </c>
      <c r="G106" s="41">
        <f t="shared" si="15"/>
        <v>1128.6000000000001</v>
      </c>
      <c r="H106" s="41">
        <f t="shared" si="15"/>
        <v>1128.6000000000001</v>
      </c>
    </row>
    <row r="107" spans="1:8" ht="51" x14ac:dyDescent="0.2">
      <c r="A107" s="16" t="s">
        <v>95</v>
      </c>
      <c r="B107" s="16" t="s">
        <v>96</v>
      </c>
      <c r="C107" s="80">
        <v>9930059302</v>
      </c>
      <c r="D107" s="16"/>
      <c r="E107" s="176" t="s">
        <v>380</v>
      </c>
      <c r="F107" s="39">
        <f t="shared" ref="F107:G107" si="16">SUM(F108:F109)</f>
        <v>1196.7</v>
      </c>
      <c r="G107" s="39">
        <f t="shared" si="16"/>
        <v>1128.6000000000001</v>
      </c>
      <c r="H107" s="39">
        <f t="shared" ref="H107" si="17">SUM(H108:H109)</f>
        <v>1128.6000000000001</v>
      </c>
    </row>
    <row r="108" spans="1:8" ht="38.25" x14ac:dyDescent="0.2">
      <c r="A108" s="16" t="s">
        <v>95</v>
      </c>
      <c r="B108" s="16" t="s">
        <v>96</v>
      </c>
      <c r="C108" s="80">
        <v>9930059302</v>
      </c>
      <c r="D108" s="16" t="s">
        <v>64</v>
      </c>
      <c r="E108" s="55" t="s">
        <v>65</v>
      </c>
      <c r="F108" s="39">
        <v>1057.4000000000001</v>
      </c>
      <c r="G108" s="39">
        <v>1057.4000000000001</v>
      </c>
      <c r="H108" s="39">
        <v>1057.4000000000001</v>
      </c>
    </row>
    <row r="109" spans="1:8" ht="38.25" x14ac:dyDescent="0.2">
      <c r="A109" s="16" t="s">
        <v>95</v>
      </c>
      <c r="B109" s="16" t="s">
        <v>96</v>
      </c>
      <c r="C109" s="80">
        <v>9930059302</v>
      </c>
      <c r="D109" s="84" t="s">
        <v>214</v>
      </c>
      <c r="E109" s="101" t="s">
        <v>215</v>
      </c>
      <c r="F109" s="39">
        <v>139.30000000000001</v>
      </c>
      <c r="G109" s="39">
        <v>71.2</v>
      </c>
      <c r="H109" s="39">
        <v>71.2</v>
      </c>
    </row>
    <row r="110" spans="1:8" s="32" customFormat="1" ht="51.75" x14ac:dyDescent="0.25">
      <c r="A110" s="28" t="s">
        <v>95</v>
      </c>
      <c r="B110" s="28" t="s">
        <v>112</v>
      </c>
      <c r="C110" s="28"/>
      <c r="D110" s="34"/>
      <c r="E110" s="48" t="s">
        <v>393</v>
      </c>
      <c r="F110" s="40">
        <f>F111+F131</f>
        <v>7796.5000000000009</v>
      </c>
      <c r="G110" s="40">
        <f>G111+G131</f>
        <v>6670.7000000000007</v>
      </c>
      <c r="H110" s="40">
        <f>H111+H131</f>
        <v>6670.7000000000007</v>
      </c>
    </row>
    <row r="111" spans="1:8" s="32" customFormat="1" ht="90" x14ac:dyDescent="0.25">
      <c r="A111" s="21" t="s">
        <v>95</v>
      </c>
      <c r="B111" s="21" t="s">
        <v>112</v>
      </c>
      <c r="C111" s="73" t="s">
        <v>52</v>
      </c>
      <c r="D111" s="16"/>
      <c r="E111" s="64" t="s">
        <v>647</v>
      </c>
      <c r="F111" s="59">
        <f>F112+F117+F121+F126</f>
        <v>2599.8000000000002</v>
      </c>
      <c r="G111" s="59">
        <f>G112+G117+G121+G126</f>
        <v>1500</v>
      </c>
      <c r="H111" s="59">
        <f>H112+H117+H121+H126</f>
        <v>1500</v>
      </c>
    </row>
    <row r="112" spans="1:8" s="32" customFormat="1" ht="51.75" customHeight="1" x14ac:dyDescent="0.2">
      <c r="A112" s="21" t="s">
        <v>95</v>
      </c>
      <c r="B112" s="21" t="s">
        <v>112</v>
      </c>
      <c r="C112" s="52" t="s">
        <v>53</v>
      </c>
      <c r="D112" s="16"/>
      <c r="E112" s="48" t="s">
        <v>206</v>
      </c>
      <c r="F112" s="96">
        <f>F113+F115</f>
        <v>85</v>
      </c>
      <c r="G112" s="96">
        <f>G113+G115</f>
        <v>80</v>
      </c>
      <c r="H112" s="96">
        <f>H113+H115</f>
        <v>80</v>
      </c>
    </row>
    <row r="113" spans="1:8" s="32" customFormat="1" ht="38.25" x14ac:dyDescent="0.2">
      <c r="A113" s="21" t="s">
        <v>95</v>
      </c>
      <c r="B113" s="21" t="s">
        <v>112</v>
      </c>
      <c r="C113" s="74">
        <v>1110123305</v>
      </c>
      <c r="D113" s="16"/>
      <c r="E113" s="103" t="s">
        <v>220</v>
      </c>
      <c r="F113" s="39">
        <f>F114</f>
        <v>60</v>
      </c>
      <c r="G113" s="39">
        <f>G114</f>
        <v>40</v>
      </c>
      <c r="H113" s="39">
        <f>H114</f>
        <v>40</v>
      </c>
    </row>
    <row r="114" spans="1:8" s="32" customFormat="1" ht="38.25" x14ac:dyDescent="0.2">
      <c r="A114" s="21" t="s">
        <v>95</v>
      </c>
      <c r="B114" s="21" t="s">
        <v>112</v>
      </c>
      <c r="C114" s="74">
        <v>1110123305</v>
      </c>
      <c r="D114" s="84" t="s">
        <v>214</v>
      </c>
      <c r="E114" s="101" t="s">
        <v>215</v>
      </c>
      <c r="F114" s="39">
        <v>60</v>
      </c>
      <c r="G114" s="39">
        <v>40</v>
      </c>
      <c r="H114" s="39">
        <v>40</v>
      </c>
    </row>
    <row r="115" spans="1:8" s="32" customFormat="1" ht="50.25" customHeight="1" x14ac:dyDescent="0.2">
      <c r="A115" s="21" t="s">
        <v>95</v>
      </c>
      <c r="B115" s="21" t="s">
        <v>112</v>
      </c>
      <c r="C115" s="74">
        <v>1110123310</v>
      </c>
      <c r="D115" s="16"/>
      <c r="E115" s="103" t="s">
        <v>208</v>
      </c>
      <c r="F115" s="41">
        <f>F116</f>
        <v>25</v>
      </c>
      <c r="G115" s="41">
        <f>G116</f>
        <v>40</v>
      </c>
      <c r="H115" s="41">
        <f>H116</f>
        <v>40</v>
      </c>
    </row>
    <row r="116" spans="1:8" s="32" customFormat="1" ht="38.25" x14ac:dyDescent="0.2">
      <c r="A116" s="21" t="s">
        <v>95</v>
      </c>
      <c r="B116" s="21" t="s">
        <v>112</v>
      </c>
      <c r="C116" s="74">
        <v>1110123310</v>
      </c>
      <c r="D116" s="84" t="s">
        <v>214</v>
      </c>
      <c r="E116" s="101" t="s">
        <v>215</v>
      </c>
      <c r="F116" s="41">
        <v>25</v>
      </c>
      <c r="G116" s="41">
        <v>40</v>
      </c>
      <c r="H116" s="41">
        <v>40</v>
      </c>
    </row>
    <row r="117" spans="1:8" s="32" customFormat="1" ht="38.25" x14ac:dyDescent="0.2">
      <c r="A117" s="21" t="s">
        <v>95</v>
      </c>
      <c r="B117" s="21" t="s">
        <v>112</v>
      </c>
      <c r="C117" s="52" t="s">
        <v>54</v>
      </c>
      <c r="D117" s="16"/>
      <c r="E117" s="48" t="s">
        <v>202</v>
      </c>
      <c r="F117" s="96">
        <f>F118</f>
        <v>2494.8000000000002</v>
      </c>
      <c r="G117" s="96">
        <f t="shared" ref="G117:H117" si="18">G118</f>
        <v>1400</v>
      </c>
      <c r="H117" s="96">
        <f t="shared" si="18"/>
        <v>1400</v>
      </c>
    </row>
    <row r="118" spans="1:8" s="32" customFormat="1" ht="38.25" x14ac:dyDescent="0.2">
      <c r="A118" s="21" t="s">
        <v>95</v>
      </c>
      <c r="B118" s="21" t="s">
        <v>112</v>
      </c>
      <c r="C118" s="74">
        <v>1120123315</v>
      </c>
      <c r="D118" s="16"/>
      <c r="E118" s="101" t="s">
        <v>558</v>
      </c>
      <c r="F118" s="41">
        <f>SUM(F119:F120)</f>
        <v>2494.8000000000002</v>
      </c>
      <c r="G118" s="41">
        <f>SUM(G119:G120)</f>
        <v>1400</v>
      </c>
      <c r="H118" s="41">
        <f>SUM(H119:H120)</f>
        <v>1400</v>
      </c>
    </row>
    <row r="119" spans="1:8" s="32" customFormat="1" ht="25.5" x14ac:dyDescent="0.2">
      <c r="A119" s="21" t="s">
        <v>95</v>
      </c>
      <c r="B119" s="21" t="s">
        <v>112</v>
      </c>
      <c r="C119" s="74">
        <v>1120123315</v>
      </c>
      <c r="D119" s="84" t="s">
        <v>66</v>
      </c>
      <c r="E119" s="55" t="s">
        <v>132</v>
      </c>
      <c r="F119" s="41">
        <f>51.2+12.8</f>
        <v>64</v>
      </c>
      <c r="G119" s="41">
        <v>51.2</v>
      </c>
      <c r="H119" s="41">
        <v>51.2</v>
      </c>
    </row>
    <row r="120" spans="1:8" s="32" customFormat="1" ht="38.25" x14ac:dyDescent="0.2">
      <c r="A120" s="21" t="s">
        <v>95</v>
      </c>
      <c r="B120" s="21" t="s">
        <v>112</v>
      </c>
      <c r="C120" s="74">
        <v>1120123315</v>
      </c>
      <c r="D120" s="84" t="s">
        <v>214</v>
      </c>
      <c r="E120" s="101" t="s">
        <v>215</v>
      </c>
      <c r="F120" s="41">
        <f>2408.3+46.3-11-12.8</f>
        <v>2430.8000000000002</v>
      </c>
      <c r="G120" s="41">
        <v>1348.8</v>
      </c>
      <c r="H120" s="41">
        <v>1348.8</v>
      </c>
    </row>
    <row r="121" spans="1:8" s="32" customFormat="1" ht="51" x14ac:dyDescent="0.2">
      <c r="A121" s="21" t="s">
        <v>95</v>
      </c>
      <c r="B121" s="21" t="s">
        <v>112</v>
      </c>
      <c r="C121" s="52" t="s">
        <v>55</v>
      </c>
      <c r="D121" s="16"/>
      <c r="E121" s="48" t="s">
        <v>255</v>
      </c>
      <c r="F121" s="96">
        <f>F122+F124</f>
        <v>5</v>
      </c>
      <c r="G121" s="96">
        <f>G122+G124</f>
        <v>5</v>
      </c>
      <c r="H121" s="96">
        <f>H122+H124</f>
        <v>5</v>
      </c>
    </row>
    <row r="122" spans="1:8" s="32" customFormat="1" ht="25.5" x14ac:dyDescent="0.2">
      <c r="A122" s="21" t="s">
        <v>95</v>
      </c>
      <c r="B122" s="21" t="s">
        <v>112</v>
      </c>
      <c r="C122" s="74">
        <v>1130123320</v>
      </c>
      <c r="D122" s="16"/>
      <c r="E122" s="101" t="s">
        <v>256</v>
      </c>
      <c r="F122" s="41">
        <f>F123</f>
        <v>4</v>
      </c>
      <c r="G122" s="41">
        <f>G123</f>
        <v>4</v>
      </c>
      <c r="H122" s="41">
        <f>H123</f>
        <v>4</v>
      </c>
    </row>
    <row r="123" spans="1:8" s="32" customFormat="1" ht="38.25" x14ac:dyDescent="0.2">
      <c r="A123" s="21" t="s">
        <v>95</v>
      </c>
      <c r="B123" s="21" t="s">
        <v>112</v>
      </c>
      <c r="C123" s="74">
        <v>1130123320</v>
      </c>
      <c r="D123" s="84" t="s">
        <v>214</v>
      </c>
      <c r="E123" s="101" t="s">
        <v>215</v>
      </c>
      <c r="F123" s="41">
        <v>4</v>
      </c>
      <c r="G123" s="41">
        <v>4</v>
      </c>
      <c r="H123" s="41">
        <v>4</v>
      </c>
    </row>
    <row r="124" spans="1:8" s="32" customFormat="1" ht="38.25" x14ac:dyDescent="0.2">
      <c r="A124" s="21" t="s">
        <v>95</v>
      </c>
      <c r="B124" s="21" t="s">
        <v>112</v>
      </c>
      <c r="C124" s="74">
        <v>1130123325</v>
      </c>
      <c r="D124" s="16"/>
      <c r="E124" s="101" t="s">
        <v>224</v>
      </c>
      <c r="F124" s="41">
        <f>F125</f>
        <v>1</v>
      </c>
      <c r="G124" s="41">
        <f>G125</f>
        <v>1</v>
      </c>
      <c r="H124" s="41">
        <f>H125</f>
        <v>1</v>
      </c>
    </row>
    <row r="125" spans="1:8" s="32" customFormat="1" ht="38.25" x14ac:dyDescent="0.2">
      <c r="A125" s="21" t="s">
        <v>95</v>
      </c>
      <c r="B125" s="21" t="s">
        <v>112</v>
      </c>
      <c r="C125" s="74">
        <v>1130123325</v>
      </c>
      <c r="D125" s="84" t="s">
        <v>214</v>
      </c>
      <c r="E125" s="101" t="s">
        <v>215</v>
      </c>
      <c r="F125" s="41">
        <v>1</v>
      </c>
      <c r="G125" s="41">
        <v>1</v>
      </c>
      <c r="H125" s="41">
        <v>1</v>
      </c>
    </row>
    <row r="126" spans="1:8" s="32" customFormat="1" ht="63.75" x14ac:dyDescent="0.2">
      <c r="A126" s="21" t="s">
        <v>95</v>
      </c>
      <c r="B126" s="21" t="s">
        <v>112</v>
      </c>
      <c r="C126" s="52" t="s">
        <v>56</v>
      </c>
      <c r="D126" s="16"/>
      <c r="E126" s="48" t="s">
        <v>207</v>
      </c>
      <c r="F126" s="96">
        <f>F127+F129</f>
        <v>15</v>
      </c>
      <c r="G126" s="96">
        <f t="shared" ref="G126:H126" si="19">G127+G129</f>
        <v>15</v>
      </c>
      <c r="H126" s="96">
        <f t="shared" si="19"/>
        <v>15</v>
      </c>
    </row>
    <row r="127" spans="1:8" s="32" customFormat="1" ht="25.5" x14ac:dyDescent="0.2">
      <c r="A127" s="21" t="s">
        <v>95</v>
      </c>
      <c r="B127" s="21" t="s">
        <v>112</v>
      </c>
      <c r="C127" s="74">
        <v>1140123330</v>
      </c>
      <c r="D127" s="16"/>
      <c r="E127" s="101" t="s">
        <v>196</v>
      </c>
      <c r="F127" s="41">
        <f>F128</f>
        <v>12</v>
      </c>
      <c r="G127" s="41">
        <f>G128</f>
        <v>12</v>
      </c>
      <c r="H127" s="41">
        <f>H128</f>
        <v>12</v>
      </c>
    </row>
    <row r="128" spans="1:8" s="32" customFormat="1" ht="38.25" x14ac:dyDescent="0.2">
      <c r="A128" s="21" t="s">
        <v>95</v>
      </c>
      <c r="B128" s="21" t="s">
        <v>112</v>
      </c>
      <c r="C128" s="74">
        <v>1140123330</v>
      </c>
      <c r="D128" s="84" t="s">
        <v>214</v>
      </c>
      <c r="E128" s="101" t="s">
        <v>215</v>
      </c>
      <c r="F128" s="41">
        <v>12</v>
      </c>
      <c r="G128" s="41">
        <v>12</v>
      </c>
      <c r="H128" s="41">
        <v>12</v>
      </c>
    </row>
    <row r="129" spans="1:8" s="32" customFormat="1" ht="38.25" x14ac:dyDescent="0.2">
      <c r="A129" s="21" t="s">
        <v>95</v>
      </c>
      <c r="B129" s="21" t="s">
        <v>112</v>
      </c>
      <c r="C129" s="74">
        <v>1140123335</v>
      </c>
      <c r="D129" s="16"/>
      <c r="E129" s="101" t="s">
        <v>226</v>
      </c>
      <c r="F129" s="41">
        <f>F130</f>
        <v>3</v>
      </c>
      <c r="G129" s="41">
        <f>G130</f>
        <v>3</v>
      </c>
      <c r="H129" s="41">
        <f>H130</f>
        <v>3</v>
      </c>
    </row>
    <row r="130" spans="1:8" s="32" customFormat="1" ht="38.25" x14ac:dyDescent="0.2">
      <c r="A130" s="21" t="s">
        <v>95</v>
      </c>
      <c r="B130" s="21" t="s">
        <v>112</v>
      </c>
      <c r="C130" s="74">
        <v>1140123335</v>
      </c>
      <c r="D130" s="84" t="s">
        <v>214</v>
      </c>
      <c r="E130" s="101" t="s">
        <v>215</v>
      </c>
      <c r="F130" s="41">
        <v>3</v>
      </c>
      <c r="G130" s="41">
        <v>3</v>
      </c>
      <c r="H130" s="41">
        <v>3</v>
      </c>
    </row>
    <row r="131" spans="1:8" s="32" customFormat="1" ht="25.5" x14ac:dyDescent="0.2">
      <c r="A131" s="82" t="s">
        <v>95</v>
      </c>
      <c r="B131" s="82" t="s">
        <v>112</v>
      </c>
      <c r="C131" s="73" t="s">
        <v>197</v>
      </c>
      <c r="D131" s="33"/>
      <c r="E131" s="86" t="s">
        <v>146</v>
      </c>
      <c r="F131" s="61">
        <f>F132</f>
        <v>5196.7000000000007</v>
      </c>
      <c r="G131" s="61">
        <f>G132</f>
        <v>5170.7000000000007</v>
      </c>
      <c r="H131" s="61">
        <f>H132</f>
        <v>5170.7000000000007</v>
      </c>
    </row>
    <row r="132" spans="1:8" s="32" customFormat="1" ht="63.75" x14ac:dyDescent="0.2">
      <c r="A132" s="21" t="s">
        <v>95</v>
      </c>
      <c r="B132" s="21" t="s">
        <v>112</v>
      </c>
      <c r="C132" s="21" t="s">
        <v>591</v>
      </c>
      <c r="D132" s="47"/>
      <c r="E132" s="54" t="s">
        <v>595</v>
      </c>
      <c r="F132" s="41">
        <f>SUM(F133:F135)</f>
        <v>5196.7000000000007</v>
      </c>
      <c r="G132" s="41">
        <f t="shared" ref="G132:H132" si="20">SUM(G133:G135)</f>
        <v>5170.7000000000007</v>
      </c>
      <c r="H132" s="41">
        <f t="shared" si="20"/>
        <v>5170.7000000000007</v>
      </c>
    </row>
    <row r="133" spans="1:8" s="32" customFormat="1" ht="25.5" x14ac:dyDescent="0.2">
      <c r="A133" s="21" t="s">
        <v>95</v>
      </c>
      <c r="B133" s="21" t="s">
        <v>112</v>
      </c>
      <c r="C133" s="21" t="s">
        <v>591</v>
      </c>
      <c r="D133" s="16" t="s">
        <v>66</v>
      </c>
      <c r="E133" s="106" t="s">
        <v>132</v>
      </c>
      <c r="F133" s="41">
        <f>4661.6-8</f>
        <v>4653.6000000000004</v>
      </c>
      <c r="G133" s="41">
        <v>4661.6000000000004</v>
      </c>
      <c r="H133" s="41">
        <v>4661.6000000000004</v>
      </c>
    </row>
    <row r="134" spans="1:8" s="32" customFormat="1" ht="38.25" x14ac:dyDescent="0.2">
      <c r="A134" s="21" t="s">
        <v>95</v>
      </c>
      <c r="B134" s="21" t="s">
        <v>112</v>
      </c>
      <c r="C134" s="21" t="s">
        <v>591</v>
      </c>
      <c r="D134" s="84" t="s">
        <v>214</v>
      </c>
      <c r="E134" s="101" t="s">
        <v>215</v>
      </c>
      <c r="F134" s="41">
        <f>504.1+15+8+11+1.9</f>
        <v>540</v>
      </c>
      <c r="G134" s="41">
        <v>504.1</v>
      </c>
      <c r="H134" s="41">
        <v>504.1</v>
      </c>
    </row>
    <row r="135" spans="1:8" s="32" customFormat="1" ht="25.5" x14ac:dyDescent="0.2">
      <c r="A135" s="21" t="s">
        <v>95</v>
      </c>
      <c r="B135" s="21" t="s">
        <v>112</v>
      </c>
      <c r="C135" s="21" t="s">
        <v>591</v>
      </c>
      <c r="D135" s="83" t="s">
        <v>133</v>
      </c>
      <c r="E135" s="101" t="s">
        <v>134</v>
      </c>
      <c r="F135" s="41">
        <f>5-1.9</f>
        <v>3.1</v>
      </c>
      <c r="G135" s="41">
        <v>5</v>
      </c>
      <c r="H135" s="41">
        <v>5</v>
      </c>
    </row>
    <row r="136" spans="1:8" s="32" customFormat="1" ht="39" x14ac:dyDescent="0.25">
      <c r="A136" s="28" t="s">
        <v>95</v>
      </c>
      <c r="B136" s="28" t="s">
        <v>123</v>
      </c>
      <c r="C136" s="28"/>
      <c r="D136" s="34"/>
      <c r="E136" s="46" t="s">
        <v>23</v>
      </c>
      <c r="F136" s="40">
        <f>F137+F141</f>
        <v>16.100000000000001</v>
      </c>
      <c r="G136" s="40">
        <f>G137+G141</f>
        <v>63.4</v>
      </c>
      <c r="H136" s="40">
        <f>H137+H141</f>
        <v>34</v>
      </c>
    </row>
    <row r="137" spans="1:8" s="32" customFormat="1" ht="89.25" x14ac:dyDescent="0.2">
      <c r="A137" s="73" t="s">
        <v>95</v>
      </c>
      <c r="B137" s="73" t="s">
        <v>123</v>
      </c>
      <c r="C137" s="73" t="s">
        <v>73</v>
      </c>
      <c r="D137" s="16"/>
      <c r="E137" s="53" t="s">
        <v>646</v>
      </c>
      <c r="F137" s="99">
        <f>F138</f>
        <v>16.100000000000001</v>
      </c>
      <c r="G137" s="99">
        <f>G138</f>
        <v>34</v>
      </c>
      <c r="H137" s="99">
        <f>H138</f>
        <v>34</v>
      </c>
    </row>
    <row r="138" spans="1:8" s="32" customFormat="1" ht="51" x14ac:dyDescent="0.2">
      <c r="A138" s="21" t="s">
        <v>95</v>
      </c>
      <c r="B138" s="21" t="s">
        <v>123</v>
      </c>
      <c r="C138" s="52" t="s">
        <v>74</v>
      </c>
      <c r="D138" s="16"/>
      <c r="E138" s="60" t="s">
        <v>190</v>
      </c>
      <c r="F138" s="58">
        <f>F139</f>
        <v>16.100000000000001</v>
      </c>
      <c r="G138" s="58">
        <f t="shared" ref="G138:H138" si="21">G139</f>
        <v>34</v>
      </c>
      <c r="H138" s="58">
        <f t="shared" si="21"/>
        <v>34</v>
      </c>
    </row>
    <row r="139" spans="1:8" s="32" customFormat="1" ht="63.75" x14ac:dyDescent="0.2">
      <c r="A139" s="21" t="s">
        <v>95</v>
      </c>
      <c r="B139" s="21" t="s">
        <v>123</v>
      </c>
      <c r="C139" s="21" t="s">
        <v>555</v>
      </c>
      <c r="D139" s="16"/>
      <c r="E139" s="101" t="s">
        <v>351</v>
      </c>
      <c r="F139" s="41">
        <f>F140</f>
        <v>16.100000000000001</v>
      </c>
      <c r="G139" s="41">
        <f>G140</f>
        <v>34</v>
      </c>
      <c r="H139" s="41">
        <f>H140</f>
        <v>34</v>
      </c>
    </row>
    <row r="140" spans="1:8" s="32" customFormat="1" ht="25.5" x14ac:dyDescent="0.2">
      <c r="A140" s="21" t="s">
        <v>95</v>
      </c>
      <c r="B140" s="21" t="s">
        <v>123</v>
      </c>
      <c r="C140" s="21" t="s">
        <v>555</v>
      </c>
      <c r="D140" s="84" t="s">
        <v>66</v>
      </c>
      <c r="E140" s="55" t="s">
        <v>132</v>
      </c>
      <c r="F140" s="41">
        <f>34-17.9</f>
        <v>16.100000000000001</v>
      </c>
      <c r="G140" s="41">
        <v>34</v>
      </c>
      <c r="H140" s="41">
        <v>34</v>
      </c>
    </row>
    <row r="141" spans="1:8" s="32" customFormat="1" ht="89.25" customHeight="1" x14ac:dyDescent="0.2">
      <c r="A141" s="73" t="s">
        <v>95</v>
      </c>
      <c r="B141" s="73" t="s">
        <v>123</v>
      </c>
      <c r="C141" s="73" t="s">
        <v>230</v>
      </c>
      <c r="D141" s="16"/>
      <c r="E141" s="64" t="s">
        <v>652</v>
      </c>
      <c r="F141" s="99">
        <f>F142+F145</f>
        <v>0</v>
      </c>
      <c r="G141" s="99">
        <f t="shared" ref="G141:H141" si="22">G142+G145</f>
        <v>29.4</v>
      </c>
      <c r="H141" s="99">
        <f t="shared" si="22"/>
        <v>0</v>
      </c>
    </row>
    <row r="142" spans="1:8" s="32" customFormat="1" ht="51" x14ac:dyDescent="0.2">
      <c r="A142" s="21" t="s">
        <v>95</v>
      </c>
      <c r="B142" s="21" t="s">
        <v>123</v>
      </c>
      <c r="C142" s="52" t="s">
        <v>231</v>
      </c>
      <c r="D142" s="16"/>
      <c r="E142" s="48" t="s">
        <v>232</v>
      </c>
      <c r="F142" s="58">
        <f>F143+F145</f>
        <v>0</v>
      </c>
      <c r="G142" s="58">
        <f t="shared" ref="G142:H142" si="23">G143</f>
        <v>23.4</v>
      </c>
      <c r="H142" s="58">
        <f t="shared" si="23"/>
        <v>0</v>
      </c>
    </row>
    <row r="143" spans="1:8" s="32" customFormat="1" ht="38.25" x14ac:dyDescent="0.2">
      <c r="A143" s="21" t="s">
        <v>95</v>
      </c>
      <c r="B143" s="21" t="s">
        <v>123</v>
      </c>
      <c r="C143" s="21" t="s">
        <v>588</v>
      </c>
      <c r="D143" s="16"/>
      <c r="E143" s="101" t="s">
        <v>373</v>
      </c>
      <c r="F143" s="97">
        <f t="shared" ref="F143:H145" si="24">F144</f>
        <v>0</v>
      </c>
      <c r="G143" s="97">
        <f t="shared" si="24"/>
        <v>23.4</v>
      </c>
      <c r="H143" s="97">
        <f t="shared" si="24"/>
        <v>0</v>
      </c>
    </row>
    <row r="144" spans="1:8" s="32" customFormat="1" ht="38.25" x14ac:dyDescent="0.2">
      <c r="A144" s="21" t="s">
        <v>95</v>
      </c>
      <c r="B144" s="21" t="s">
        <v>123</v>
      </c>
      <c r="C144" s="21" t="s">
        <v>588</v>
      </c>
      <c r="D144" s="84" t="s">
        <v>214</v>
      </c>
      <c r="E144" s="101" t="s">
        <v>215</v>
      </c>
      <c r="F144" s="41">
        <v>0</v>
      </c>
      <c r="G144" s="41">
        <v>23.4</v>
      </c>
      <c r="H144" s="41">
        <v>0</v>
      </c>
    </row>
    <row r="145" spans="1:8" s="32" customFormat="1" ht="25.5" x14ac:dyDescent="0.2">
      <c r="A145" s="21" t="s">
        <v>95</v>
      </c>
      <c r="B145" s="21" t="s">
        <v>123</v>
      </c>
      <c r="C145" s="21" t="s">
        <v>589</v>
      </c>
      <c r="D145" s="16"/>
      <c r="E145" s="101" t="s">
        <v>374</v>
      </c>
      <c r="F145" s="97">
        <f t="shared" si="24"/>
        <v>0</v>
      </c>
      <c r="G145" s="97">
        <f t="shared" si="24"/>
        <v>6</v>
      </c>
      <c r="H145" s="97">
        <f t="shared" si="24"/>
        <v>0</v>
      </c>
    </row>
    <row r="146" spans="1:8" s="32" customFormat="1" ht="38.25" x14ac:dyDescent="0.2">
      <c r="A146" s="21" t="s">
        <v>95</v>
      </c>
      <c r="B146" s="21" t="s">
        <v>123</v>
      </c>
      <c r="C146" s="21" t="s">
        <v>589</v>
      </c>
      <c r="D146" s="84" t="s">
        <v>214</v>
      </c>
      <c r="E146" s="101" t="s">
        <v>215</v>
      </c>
      <c r="F146" s="41">
        <v>0</v>
      </c>
      <c r="G146" s="41">
        <v>6</v>
      </c>
      <c r="H146" s="41">
        <v>0</v>
      </c>
    </row>
    <row r="147" spans="1:8" s="32" customFormat="1" ht="15.75" x14ac:dyDescent="0.25">
      <c r="A147" s="4" t="s">
        <v>96</v>
      </c>
      <c r="B147" s="3"/>
      <c r="C147" s="3"/>
      <c r="D147" s="3"/>
      <c r="E147" s="49" t="s">
        <v>102</v>
      </c>
      <c r="F147" s="95">
        <f>F148+F153+F164+F213</f>
        <v>185734.69999999998</v>
      </c>
      <c r="G147" s="95">
        <f>G148+G153+G164+G213</f>
        <v>116116.19999999998</v>
      </c>
      <c r="H147" s="95">
        <f>H148+H153+H164+H213</f>
        <v>95392.199999999983</v>
      </c>
    </row>
    <row r="148" spans="1:8" s="32" customFormat="1" ht="14.25" x14ac:dyDescent="0.2">
      <c r="A148" s="30" t="s">
        <v>96</v>
      </c>
      <c r="B148" s="30" t="s">
        <v>97</v>
      </c>
      <c r="C148" s="30"/>
      <c r="D148" s="30"/>
      <c r="E148" s="45" t="s">
        <v>105</v>
      </c>
      <c r="F148" s="40">
        <f>F149</f>
        <v>423.5</v>
      </c>
      <c r="G148" s="40">
        <f t="shared" ref="G148:H148" si="25">G149</f>
        <v>63</v>
      </c>
      <c r="H148" s="40">
        <f t="shared" si="25"/>
        <v>63</v>
      </c>
    </row>
    <row r="149" spans="1:8" s="32" customFormat="1" ht="89.25" x14ac:dyDescent="0.2">
      <c r="A149" s="5" t="s">
        <v>96</v>
      </c>
      <c r="B149" s="5" t="s">
        <v>97</v>
      </c>
      <c r="C149" s="76">
        <v>400000000</v>
      </c>
      <c r="D149" s="30"/>
      <c r="E149" s="185" t="s">
        <v>639</v>
      </c>
      <c r="F149" s="99">
        <f>F150</f>
        <v>423.5</v>
      </c>
      <c r="G149" s="99">
        <f>G150</f>
        <v>63</v>
      </c>
      <c r="H149" s="99">
        <f>H150</f>
        <v>63</v>
      </c>
    </row>
    <row r="150" spans="1:8" s="32" customFormat="1" ht="52.5" customHeight="1" x14ac:dyDescent="0.2">
      <c r="A150" s="47" t="s">
        <v>96</v>
      </c>
      <c r="B150" s="47" t="s">
        <v>97</v>
      </c>
      <c r="C150" s="75">
        <v>410000000</v>
      </c>
      <c r="D150" s="30"/>
      <c r="E150" s="46" t="s">
        <v>497</v>
      </c>
      <c r="F150" s="96">
        <f t="shared" ref="F150:H151" si="26">F151</f>
        <v>423.5</v>
      </c>
      <c r="G150" s="96">
        <f t="shared" si="26"/>
        <v>63</v>
      </c>
      <c r="H150" s="96">
        <f t="shared" si="26"/>
        <v>63</v>
      </c>
    </row>
    <row r="151" spans="1:8" s="32" customFormat="1" ht="51" x14ac:dyDescent="0.2">
      <c r="A151" s="84" t="s">
        <v>96</v>
      </c>
      <c r="B151" s="84" t="s">
        <v>97</v>
      </c>
      <c r="C151" s="74">
        <v>410100000</v>
      </c>
      <c r="D151" s="30"/>
      <c r="E151" s="100" t="s">
        <v>498</v>
      </c>
      <c r="F151" s="96">
        <f>F152</f>
        <v>423.5</v>
      </c>
      <c r="G151" s="96">
        <f t="shared" si="26"/>
        <v>63</v>
      </c>
      <c r="H151" s="96">
        <f t="shared" si="26"/>
        <v>63</v>
      </c>
    </row>
    <row r="152" spans="1:8" s="32" customFormat="1" ht="25.5" x14ac:dyDescent="0.2">
      <c r="A152" s="84" t="s">
        <v>96</v>
      </c>
      <c r="B152" s="84" t="s">
        <v>97</v>
      </c>
      <c r="C152" s="167" t="s">
        <v>503</v>
      </c>
      <c r="D152" s="16"/>
      <c r="E152" s="103" t="s">
        <v>171</v>
      </c>
      <c r="F152" s="39">
        <f>600-176.5</f>
        <v>423.5</v>
      </c>
      <c r="G152" s="39">
        <v>63</v>
      </c>
      <c r="H152" s="39">
        <v>63</v>
      </c>
    </row>
    <row r="153" spans="1:8" ht="14.25" x14ac:dyDescent="0.2">
      <c r="A153" s="30" t="s">
        <v>96</v>
      </c>
      <c r="B153" s="30" t="s">
        <v>103</v>
      </c>
      <c r="C153" s="30"/>
      <c r="D153" s="30"/>
      <c r="E153" s="27" t="s">
        <v>1</v>
      </c>
      <c r="F153" s="40">
        <f t="shared" ref="F153:H154" si="27">F154</f>
        <v>26608.9</v>
      </c>
      <c r="G153" s="40">
        <f t="shared" si="27"/>
        <v>25253</v>
      </c>
      <c r="H153" s="40">
        <f t="shared" si="27"/>
        <v>25274.1</v>
      </c>
    </row>
    <row r="154" spans="1:8" ht="102" x14ac:dyDescent="0.2">
      <c r="A154" s="5" t="s">
        <v>96</v>
      </c>
      <c r="B154" s="5" t="s">
        <v>103</v>
      </c>
      <c r="C154" s="73" t="s">
        <v>69</v>
      </c>
      <c r="D154" s="30"/>
      <c r="E154" s="185" t="s">
        <v>645</v>
      </c>
      <c r="F154" s="99">
        <f t="shared" si="27"/>
        <v>26608.9</v>
      </c>
      <c r="G154" s="99">
        <f t="shared" si="27"/>
        <v>25253</v>
      </c>
      <c r="H154" s="99">
        <f t="shared" si="27"/>
        <v>25274.1</v>
      </c>
    </row>
    <row r="155" spans="1:8" ht="63.75" x14ac:dyDescent="0.2">
      <c r="A155" s="16" t="s">
        <v>96</v>
      </c>
      <c r="B155" s="16" t="s">
        <v>103</v>
      </c>
      <c r="C155" s="52" t="s">
        <v>217</v>
      </c>
      <c r="D155" s="30"/>
      <c r="E155" s="46" t="s">
        <v>189</v>
      </c>
      <c r="F155" s="96">
        <f>F156+F158+F160+F162</f>
        <v>26608.9</v>
      </c>
      <c r="G155" s="96">
        <f t="shared" ref="G155:H155" si="28">G156+G158+G160+G162</f>
        <v>25253</v>
      </c>
      <c r="H155" s="96">
        <f t="shared" si="28"/>
        <v>25274.1</v>
      </c>
    </row>
    <row r="156" spans="1:8" ht="76.5" x14ac:dyDescent="0.2">
      <c r="A156" s="16" t="s">
        <v>96</v>
      </c>
      <c r="B156" s="16" t="s">
        <v>103</v>
      </c>
      <c r="C156" s="74" t="s">
        <v>313</v>
      </c>
      <c r="D156" s="30"/>
      <c r="E156" s="100" t="s">
        <v>218</v>
      </c>
      <c r="F156" s="39">
        <f>F157</f>
        <v>5024.3999999999996</v>
      </c>
      <c r="G156" s="39">
        <f>G157</f>
        <v>5039.6000000000004</v>
      </c>
      <c r="H156" s="39">
        <f>H157</f>
        <v>5054.8</v>
      </c>
    </row>
    <row r="157" spans="1:8" ht="38.25" x14ac:dyDescent="0.2">
      <c r="A157" s="16" t="s">
        <v>96</v>
      </c>
      <c r="B157" s="16" t="s">
        <v>103</v>
      </c>
      <c r="C157" s="74" t="s">
        <v>313</v>
      </c>
      <c r="D157" s="84" t="s">
        <v>214</v>
      </c>
      <c r="E157" s="101" t="s">
        <v>215</v>
      </c>
      <c r="F157" s="39">
        <v>5024.3999999999996</v>
      </c>
      <c r="G157" s="39">
        <v>5039.6000000000004</v>
      </c>
      <c r="H157" s="39">
        <v>5054.8</v>
      </c>
    </row>
    <row r="158" spans="1:8" ht="89.25" x14ac:dyDescent="0.2">
      <c r="A158" s="16" t="s">
        <v>96</v>
      </c>
      <c r="B158" s="16" t="s">
        <v>103</v>
      </c>
      <c r="C158" s="74">
        <v>920110300</v>
      </c>
      <c r="D158" s="16"/>
      <c r="E158" s="126" t="s">
        <v>666</v>
      </c>
      <c r="F158" s="39">
        <f>F159</f>
        <v>20097.5</v>
      </c>
      <c r="G158" s="39">
        <f>G159</f>
        <v>20158.400000000001</v>
      </c>
      <c r="H158" s="39">
        <f>H159</f>
        <v>20219.3</v>
      </c>
    </row>
    <row r="159" spans="1:8" ht="38.25" x14ac:dyDescent="0.2">
      <c r="A159" s="16" t="s">
        <v>96</v>
      </c>
      <c r="B159" s="16" t="s">
        <v>103</v>
      </c>
      <c r="C159" s="74">
        <v>920110300</v>
      </c>
      <c r="D159" s="84" t="s">
        <v>214</v>
      </c>
      <c r="E159" s="101" t="s">
        <v>215</v>
      </c>
      <c r="F159" s="163">
        <v>20097.5</v>
      </c>
      <c r="G159" s="162">
        <v>20158.400000000001</v>
      </c>
      <c r="H159" s="162">
        <v>20219.3</v>
      </c>
    </row>
    <row r="160" spans="1:8" ht="63.75" x14ac:dyDescent="0.2">
      <c r="A160" s="16" t="s">
        <v>96</v>
      </c>
      <c r="B160" s="16" t="s">
        <v>103</v>
      </c>
      <c r="C160" s="74">
        <v>920123490</v>
      </c>
      <c r="D160" s="84"/>
      <c r="E160" s="54" t="s">
        <v>554</v>
      </c>
      <c r="F160" s="39">
        <f>F161</f>
        <v>0</v>
      </c>
      <c r="G160" s="39">
        <f t="shared" ref="G160:H160" si="29">G161</f>
        <v>55</v>
      </c>
      <c r="H160" s="39">
        <f t="shared" si="29"/>
        <v>0</v>
      </c>
    </row>
    <row r="161" spans="1:8" ht="38.25" x14ac:dyDescent="0.2">
      <c r="A161" s="16" t="s">
        <v>96</v>
      </c>
      <c r="B161" s="16" t="s">
        <v>103</v>
      </c>
      <c r="C161" s="74">
        <v>920123490</v>
      </c>
      <c r="D161" s="84" t="s">
        <v>214</v>
      </c>
      <c r="E161" s="101" t="s">
        <v>215</v>
      </c>
      <c r="F161" s="39">
        <v>0</v>
      </c>
      <c r="G161" s="39">
        <v>55</v>
      </c>
      <c r="H161" s="39">
        <v>0</v>
      </c>
    </row>
    <row r="162" spans="1:8" ht="77.25" customHeight="1" x14ac:dyDescent="0.2">
      <c r="A162" s="16" t="s">
        <v>96</v>
      </c>
      <c r="B162" s="16" t="s">
        <v>103</v>
      </c>
      <c r="C162" s="74">
        <v>920123495</v>
      </c>
      <c r="D162" s="84"/>
      <c r="E162" s="54" t="s">
        <v>623</v>
      </c>
      <c r="F162" s="39">
        <f>F163</f>
        <v>1487</v>
      </c>
      <c r="G162" s="39">
        <f>G163</f>
        <v>0</v>
      </c>
      <c r="H162" s="39">
        <f>H163</f>
        <v>0</v>
      </c>
    </row>
    <row r="163" spans="1:8" ht="38.25" x14ac:dyDescent="0.2">
      <c r="A163" s="16" t="s">
        <v>96</v>
      </c>
      <c r="B163" s="16" t="s">
        <v>103</v>
      </c>
      <c r="C163" s="74">
        <v>920123495</v>
      </c>
      <c r="D163" s="84" t="s">
        <v>214</v>
      </c>
      <c r="E163" s="101" t="s">
        <v>215</v>
      </c>
      <c r="F163" s="39">
        <f>1212.9+274.1</f>
        <v>1487</v>
      </c>
      <c r="G163" s="39">
        <v>0</v>
      </c>
      <c r="H163" s="39">
        <v>0</v>
      </c>
    </row>
    <row r="164" spans="1:8" ht="28.5" x14ac:dyDescent="0.2">
      <c r="A164" s="30" t="s">
        <v>96</v>
      </c>
      <c r="B164" s="30" t="s">
        <v>101</v>
      </c>
      <c r="C164" s="30"/>
      <c r="D164" s="30"/>
      <c r="E164" s="50" t="s">
        <v>201</v>
      </c>
      <c r="F164" s="40">
        <f>F165+F187+F201</f>
        <v>154573.29999999999</v>
      </c>
      <c r="G164" s="40">
        <f>G165+G187+G201</f>
        <v>87808.799999999988</v>
      </c>
      <c r="H164" s="40">
        <f>H165+H187+H201</f>
        <v>68085.099999999991</v>
      </c>
    </row>
    <row r="165" spans="1:8" ht="102" x14ac:dyDescent="0.2">
      <c r="A165" s="5" t="s">
        <v>96</v>
      </c>
      <c r="B165" s="5" t="s">
        <v>101</v>
      </c>
      <c r="C165" s="73" t="s">
        <v>69</v>
      </c>
      <c r="D165" s="30"/>
      <c r="E165" s="185" t="s">
        <v>645</v>
      </c>
      <c r="F165" s="99">
        <f>F166</f>
        <v>144592</v>
      </c>
      <c r="G165" s="99">
        <f>G166</f>
        <v>82805.099999999991</v>
      </c>
      <c r="H165" s="99">
        <f>H166</f>
        <v>66483.7</v>
      </c>
    </row>
    <row r="166" spans="1:8" ht="63.75" x14ac:dyDescent="0.2">
      <c r="A166" s="16" t="s">
        <v>96</v>
      </c>
      <c r="B166" s="16" t="s">
        <v>101</v>
      </c>
      <c r="C166" s="52" t="s">
        <v>70</v>
      </c>
      <c r="D166" s="30"/>
      <c r="E166" s="46" t="s">
        <v>167</v>
      </c>
      <c r="F166" s="96">
        <f t="shared" ref="F166:H166" si="30">F167+F169+F171+F173+F175+F177+F179+F181+F183+F185</f>
        <v>144592</v>
      </c>
      <c r="G166" s="96">
        <f t="shared" si="30"/>
        <v>82805.099999999991</v>
      </c>
      <c r="H166" s="96">
        <f t="shared" si="30"/>
        <v>66483.7</v>
      </c>
    </row>
    <row r="167" spans="1:8" ht="89.25" x14ac:dyDescent="0.2">
      <c r="A167" s="16" t="s">
        <v>96</v>
      </c>
      <c r="B167" s="16" t="s">
        <v>101</v>
      </c>
      <c r="C167" s="79">
        <v>910123405</v>
      </c>
      <c r="D167" s="119"/>
      <c r="E167" s="117" t="s">
        <v>301</v>
      </c>
      <c r="F167" s="111">
        <f>F168</f>
        <v>15386.8</v>
      </c>
      <c r="G167" s="111">
        <f>G168</f>
        <v>15376.7</v>
      </c>
      <c r="H167" s="111">
        <f>H168</f>
        <v>8086.9</v>
      </c>
    </row>
    <row r="168" spans="1:8" ht="38.25" x14ac:dyDescent="0.2">
      <c r="A168" s="16" t="s">
        <v>96</v>
      </c>
      <c r="B168" s="16" t="s">
        <v>101</v>
      </c>
      <c r="C168" s="79">
        <v>910123405</v>
      </c>
      <c r="D168" s="84" t="s">
        <v>214</v>
      </c>
      <c r="E168" s="101" t="s">
        <v>215</v>
      </c>
      <c r="F168" s="111">
        <v>15386.8</v>
      </c>
      <c r="G168" s="111">
        <v>15376.7</v>
      </c>
      <c r="H168" s="111">
        <v>8086.9</v>
      </c>
    </row>
    <row r="169" spans="1:8" ht="64.5" customHeight="1" x14ac:dyDescent="0.2">
      <c r="A169" s="16" t="s">
        <v>96</v>
      </c>
      <c r="B169" s="16" t="s">
        <v>101</v>
      </c>
      <c r="C169" s="79">
        <v>910110520</v>
      </c>
      <c r="D169" s="119"/>
      <c r="E169" s="117" t="s">
        <v>187</v>
      </c>
      <c r="F169" s="111">
        <f>F170</f>
        <v>14385.6</v>
      </c>
      <c r="G169" s="111">
        <f>G170</f>
        <v>14961</v>
      </c>
      <c r="H169" s="111">
        <f>H170</f>
        <v>15559.4</v>
      </c>
    </row>
    <row r="170" spans="1:8" ht="38.25" x14ac:dyDescent="0.2">
      <c r="A170" s="16" t="s">
        <v>96</v>
      </c>
      <c r="B170" s="16" t="s">
        <v>101</v>
      </c>
      <c r="C170" s="79">
        <v>910110520</v>
      </c>
      <c r="D170" s="84" t="s">
        <v>214</v>
      </c>
      <c r="E170" s="101" t="s">
        <v>12</v>
      </c>
      <c r="F170" s="162">
        <v>14385.6</v>
      </c>
      <c r="G170" s="163">
        <v>14961</v>
      </c>
      <c r="H170" s="162">
        <v>15559.4</v>
      </c>
    </row>
    <row r="171" spans="1:8" ht="25.5" x14ac:dyDescent="0.2">
      <c r="A171" s="16" t="s">
        <v>96</v>
      </c>
      <c r="B171" s="16" t="s">
        <v>101</v>
      </c>
      <c r="C171" s="79">
        <v>910123410</v>
      </c>
      <c r="D171" s="124"/>
      <c r="E171" s="101" t="s">
        <v>188</v>
      </c>
      <c r="F171" s="111">
        <f>F172</f>
        <v>17208.600000000002</v>
      </c>
      <c r="G171" s="111">
        <f>G172</f>
        <v>16457</v>
      </c>
      <c r="H171" s="111">
        <f>H172</f>
        <v>8177.3</v>
      </c>
    </row>
    <row r="172" spans="1:8" ht="38.25" x14ac:dyDescent="0.2">
      <c r="A172" s="16" t="s">
        <v>96</v>
      </c>
      <c r="B172" s="16" t="s">
        <v>101</v>
      </c>
      <c r="C172" s="79">
        <v>910123410</v>
      </c>
      <c r="D172" s="84" t="s">
        <v>214</v>
      </c>
      <c r="E172" s="101" t="s">
        <v>215</v>
      </c>
      <c r="F172" s="111">
        <f>16457+600-46.8+198.4</f>
        <v>17208.600000000002</v>
      </c>
      <c r="G172" s="111">
        <v>16457</v>
      </c>
      <c r="H172" s="111">
        <v>8177.3</v>
      </c>
    </row>
    <row r="173" spans="1:8" ht="102" x14ac:dyDescent="0.2">
      <c r="A173" s="16" t="s">
        <v>96</v>
      </c>
      <c r="B173" s="16" t="s">
        <v>101</v>
      </c>
      <c r="C173" s="79">
        <v>910123415</v>
      </c>
      <c r="D173" s="84"/>
      <c r="E173" s="160" t="s">
        <v>703</v>
      </c>
      <c r="F173" s="111">
        <f>F174</f>
        <v>1156.8000000000002</v>
      </c>
      <c r="G173" s="111">
        <f t="shared" ref="G173:H173" si="31">G174</f>
        <v>0</v>
      </c>
      <c r="H173" s="111">
        <f t="shared" si="31"/>
        <v>0</v>
      </c>
    </row>
    <row r="174" spans="1:8" ht="38.25" x14ac:dyDescent="0.2">
      <c r="A174" s="16" t="s">
        <v>96</v>
      </c>
      <c r="B174" s="16" t="s">
        <v>101</v>
      </c>
      <c r="C174" s="79">
        <v>910123415</v>
      </c>
      <c r="D174" s="84" t="s">
        <v>214</v>
      </c>
      <c r="E174" s="101" t="s">
        <v>215</v>
      </c>
      <c r="F174" s="111">
        <f>100+46.8+613.9+396.1</f>
        <v>1156.8000000000002</v>
      </c>
      <c r="G174" s="111">
        <v>0</v>
      </c>
      <c r="H174" s="111">
        <v>0</v>
      </c>
    </row>
    <row r="175" spans="1:8" ht="25.5" x14ac:dyDescent="0.2">
      <c r="A175" s="16" t="s">
        <v>96</v>
      </c>
      <c r="B175" s="16" t="s">
        <v>101</v>
      </c>
      <c r="C175" s="79">
        <v>910123420</v>
      </c>
      <c r="D175" s="84"/>
      <c r="E175" s="155" t="s">
        <v>396</v>
      </c>
      <c r="F175" s="111">
        <f>F176</f>
        <v>1097.7000000000003</v>
      </c>
      <c r="G175" s="111">
        <f>G176</f>
        <v>0</v>
      </c>
      <c r="H175" s="111">
        <f>H176</f>
        <v>0</v>
      </c>
    </row>
    <row r="176" spans="1:8" ht="38.25" x14ac:dyDescent="0.2">
      <c r="A176" s="16" t="s">
        <v>96</v>
      </c>
      <c r="B176" s="16" t="s">
        <v>101</v>
      </c>
      <c r="C176" s="79">
        <v>910123420</v>
      </c>
      <c r="D176" s="84" t="s">
        <v>214</v>
      </c>
      <c r="E176" s="101" t="s">
        <v>215</v>
      </c>
      <c r="F176" s="111">
        <f>12651-12243.9+690.6</f>
        <v>1097.7000000000003</v>
      </c>
      <c r="G176" s="111">
        <v>0</v>
      </c>
      <c r="H176" s="111">
        <v>0</v>
      </c>
    </row>
    <row r="177" spans="1:8" ht="51" x14ac:dyDescent="0.2">
      <c r="A177" s="16" t="s">
        <v>96</v>
      </c>
      <c r="B177" s="16" t="s">
        <v>101</v>
      </c>
      <c r="C177" s="79" t="s">
        <v>359</v>
      </c>
      <c r="D177" s="84"/>
      <c r="E177" s="147" t="s">
        <v>358</v>
      </c>
      <c r="F177" s="111">
        <f>F178</f>
        <v>3252.6</v>
      </c>
      <c r="G177" s="111">
        <f>G178</f>
        <v>548.5</v>
      </c>
      <c r="H177" s="111">
        <f>H178</f>
        <v>564.9</v>
      </c>
    </row>
    <row r="178" spans="1:8" ht="38.25" x14ac:dyDescent="0.2">
      <c r="A178" s="16" t="s">
        <v>96</v>
      </c>
      <c r="B178" s="16" t="s">
        <v>101</v>
      </c>
      <c r="C178" s="79" t="s">
        <v>359</v>
      </c>
      <c r="D178" s="84" t="s">
        <v>214</v>
      </c>
      <c r="E178" s="101" t="s">
        <v>215</v>
      </c>
      <c r="F178" s="111">
        <f>2537.7+3348.8-2683.9+50</f>
        <v>3252.6</v>
      </c>
      <c r="G178" s="111">
        <v>548.5</v>
      </c>
      <c r="H178" s="111">
        <v>564.9</v>
      </c>
    </row>
    <row r="179" spans="1:8" ht="63.75" x14ac:dyDescent="0.2">
      <c r="A179" s="16" t="s">
        <v>96</v>
      </c>
      <c r="B179" s="16" t="s">
        <v>101</v>
      </c>
      <c r="C179" s="170" t="s">
        <v>552</v>
      </c>
      <c r="D179" s="84"/>
      <c r="E179" s="147" t="s">
        <v>360</v>
      </c>
      <c r="F179" s="111">
        <f>F180</f>
        <v>4823.8999999999996</v>
      </c>
      <c r="G179" s="111">
        <f>G180</f>
        <v>2194</v>
      </c>
      <c r="H179" s="111">
        <f>H180</f>
        <v>2259.5</v>
      </c>
    </row>
    <row r="180" spans="1:8" ht="38.25" x14ac:dyDescent="0.2">
      <c r="A180" s="16" t="s">
        <v>96</v>
      </c>
      <c r="B180" s="16" t="s">
        <v>101</v>
      </c>
      <c r="C180" s="170" t="s">
        <v>552</v>
      </c>
      <c r="D180" s="84" t="s">
        <v>214</v>
      </c>
      <c r="E180" s="101" t="s">
        <v>215</v>
      </c>
      <c r="F180" s="162">
        <f>2140.1+2683.8</f>
        <v>4823.8999999999996</v>
      </c>
      <c r="G180" s="163">
        <v>2194</v>
      </c>
      <c r="H180" s="162">
        <v>2259.5</v>
      </c>
    </row>
    <row r="181" spans="1:8" ht="25.5" x14ac:dyDescent="0.2">
      <c r="A181" s="16" t="s">
        <v>96</v>
      </c>
      <c r="B181" s="16" t="s">
        <v>101</v>
      </c>
      <c r="C181" s="79" t="s">
        <v>355</v>
      </c>
      <c r="D181" s="84"/>
      <c r="E181" s="101" t="s">
        <v>356</v>
      </c>
      <c r="F181" s="111">
        <f>F182</f>
        <v>23367.8</v>
      </c>
      <c r="G181" s="111">
        <f>G182</f>
        <v>8633.2000000000007</v>
      </c>
      <c r="H181" s="111">
        <f>H182</f>
        <v>6239.6</v>
      </c>
    </row>
    <row r="182" spans="1:8" ht="38.25" x14ac:dyDescent="0.2">
      <c r="A182" s="16" t="s">
        <v>96</v>
      </c>
      <c r="B182" s="16" t="s">
        <v>101</v>
      </c>
      <c r="C182" s="79" t="s">
        <v>355</v>
      </c>
      <c r="D182" s="84" t="s">
        <v>214</v>
      </c>
      <c r="E182" s="101" t="s">
        <v>215</v>
      </c>
      <c r="F182" s="111">
        <f>9764.5+183.4+5789.2-1209.5+9332-491.8</f>
        <v>23367.8</v>
      </c>
      <c r="G182" s="111">
        <f>6932+1701.2</f>
        <v>8633.2000000000007</v>
      </c>
      <c r="H182" s="111">
        <v>6239.6</v>
      </c>
    </row>
    <row r="183" spans="1:8" ht="25.5" x14ac:dyDescent="0.2">
      <c r="A183" s="16" t="s">
        <v>96</v>
      </c>
      <c r="B183" s="16" t="s">
        <v>101</v>
      </c>
      <c r="C183" s="173" t="s">
        <v>553</v>
      </c>
      <c r="D183" s="84"/>
      <c r="E183" s="101" t="s">
        <v>357</v>
      </c>
      <c r="F183" s="111">
        <f>F184</f>
        <v>53755</v>
      </c>
      <c r="G183" s="111">
        <f>G184</f>
        <v>24634.7</v>
      </c>
      <c r="H183" s="111">
        <f>H184</f>
        <v>25596.1</v>
      </c>
    </row>
    <row r="184" spans="1:8" ht="38.25" x14ac:dyDescent="0.2">
      <c r="A184" s="16" t="s">
        <v>96</v>
      </c>
      <c r="B184" s="16" t="s">
        <v>101</v>
      </c>
      <c r="C184" s="173" t="s">
        <v>553</v>
      </c>
      <c r="D184" s="84" t="s">
        <v>214</v>
      </c>
      <c r="E184" s="101" t="s">
        <v>215</v>
      </c>
      <c r="F184" s="163">
        <f>23622.2+30132.8</f>
        <v>53755</v>
      </c>
      <c r="G184" s="162">
        <v>24634.7</v>
      </c>
      <c r="H184" s="162">
        <v>25596.1</v>
      </c>
    </row>
    <row r="185" spans="1:8" ht="25.5" x14ac:dyDescent="0.2">
      <c r="A185" s="16" t="s">
        <v>96</v>
      </c>
      <c r="B185" s="16" t="s">
        <v>101</v>
      </c>
      <c r="C185" s="79">
        <v>910123425</v>
      </c>
      <c r="D185" s="84"/>
      <c r="E185" s="101" t="s">
        <v>394</v>
      </c>
      <c r="F185" s="111">
        <f>F186</f>
        <v>10157.200000000001</v>
      </c>
      <c r="G185" s="111">
        <f>G186</f>
        <v>0</v>
      </c>
      <c r="H185" s="111">
        <f>H186</f>
        <v>0</v>
      </c>
    </row>
    <row r="186" spans="1:8" ht="38.25" x14ac:dyDescent="0.2">
      <c r="A186" s="16" t="s">
        <v>96</v>
      </c>
      <c r="B186" s="16" t="s">
        <v>101</v>
      </c>
      <c r="C186" s="79">
        <v>910123425</v>
      </c>
      <c r="D186" s="84" t="s">
        <v>214</v>
      </c>
      <c r="E186" s="101" t="s">
        <v>215</v>
      </c>
      <c r="F186" s="111">
        <f>19547-17315.6+12.8+2269.3+6532.7-690.6-198.4</f>
        <v>10157.200000000001</v>
      </c>
      <c r="G186" s="111">
        <v>0</v>
      </c>
      <c r="H186" s="111">
        <v>0</v>
      </c>
    </row>
    <row r="187" spans="1:8" ht="127.5" x14ac:dyDescent="0.2">
      <c r="A187" s="5" t="s">
        <v>96</v>
      </c>
      <c r="B187" s="5" t="s">
        <v>101</v>
      </c>
      <c r="C187" s="73" t="s">
        <v>598</v>
      </c>
      <c r="D187" s="84"/>
      <c r="E187" s="187" t="s">
        <v>651</v>
      </c>
      <c r="F187" s="99">
        <f>F188</f>
        <v>5615.2999999999993</v>
      </c>
      <c r="G187" s="99">
        <f t="shared" ref="G187:H187" si="32">G188</f>
        <v>0</v>
      </c>
      <c r="H187" s="99">
        <f t="shared" si="32"/>
        <v>0</v>
      </c>
    </row>
    <row r="188" spans="1:8" ht="63.75" x14ac:dyDescent="0.2">
      <c r="A188" s="47" t="s">
        <v>96</v>
      </c>
      <c r="B188" s="47" t="s">
        <v>101</v>
      </c>
      <c r="C188" s="175">
        <v>1510000000</v>
      </c>
      <c r="D188" s="84"/>
      <c r="E188" s="48" t="s">
        <v>377</v>
      </c>
      <c r="F188" s="41">
        <f>F189+F191+F193+F195+F197+F199</f>
        <v>5615.2999999999993</v>
      </c>
      <c r="G188" s="41">
        <f t="shared" ref="G188:H188" si="33">G189+G191+G193+G195+G197+G199</f>
        <v>0</v>
      </c>
      <c r="H188" s="41">
        <f t="shared" si="33"/>
        <v>0</v>
      </c>
    </row>
    <row r="189" spans="1:8" ht="51" x14ac:dyDescent="0.2">
      <c r="A189" s="16" t="s">
        <v>96</v>
      </c>
      <c r="B189" s="16" t="s">
        <v>101</v>
      </c>
      <c r="C189" s="51" t="s">
        <v>671</v>
      </c>
      <c r="D189" s="84"/>
      <c r="E189" s="126" t="s">
        <v>669</v>
      </c>
      <c r="F189" s="41">
        <f>F190</f>
        <v>613.90000000000009</v>
      </c>
      <c r="G189" s="41">
        <f t="shared" ref="G189:H189" si="34">G190</f>
        <v>0</v>
      </c>
      <c r="H189" s="41">
        <f t="shared" si="34"/>
        <v>0</v>
      </c>
    </row>
    <row r="190" spans="1:8" ht="38.25" x14ac:dyDescent="0.2">
      <c r="A190" s="16" t="s">
        <v>96</v>
      </c>
      <c r="B190" s="16" t="s">
        <v>101</v>
      </c>
      <c r="C190" s="51" t="s">
        <v>671</v>
      </c>
      <c r="D190" s="84" t="s">
        <v>214</v>
      </c>
      <c r="E190" s="101" t="s">
        <v>215</v>
      </c>
      <c r="F190" s="41">
        <f>269.2+143.4+201.3</f>
        <v>613.90000000000009</v>
      </c>
      <c r="G190" s="41">
        <v>0</v>
      </c>
      <c r="H190" s="41">
        <v>0</v>
      </c>
    </row>
    <row r="191" spans="1:8" ht="49.5" customHeight="1" x14ac:dyDescent="0.2">
      <c r="A191" s="16" t="s">
        <v>96</v>
      </c>
      <c r="B191" s="16" t="s">
        <v>101</v>
      </c>
      <c r="C191" s="51" t="s">
        <v>672</v>
      </c>
      <c r="D191" s="84"/>
      <c r="E191" s="126" t="s">
        <v>670</v>
      </c>
      <c r="F191" s="41">
        <f>F192</f>
        <v>521.1</v>
      </c>
      <c r="G191" s="41">
        <f t="shared" ref="G191:H191" si="35">G192</f>
        <v>0</v>
      </c>
      <c r="H191" s="41">
        <f t="shared" si="35"/>
        <v>0</v>
      </c>
    </row>
    <row r="192" spans="1:8" ht="38.25" x14ac:dyDescent="0.2">
      <c r="A192" s="16" t="s">
        <v>96</v>
      </c>
      <c r="B192" s="16" t="s">
        <v>101</v>
      </c>
      <c r="C192" s="51" t="s">
        <v>672</v>
      </c>
      <c r="D192" s="84" t="s">
        <v>214</v>
      </c>
      <c r="E192" s="101" t="s">
        <v>215</v>
      </c>
      <c r="F192" s="41">
        <f>306.8+135.7+78.6</f>
        <v>521.1</v>
      </c>
      <c r="G192" s="41">
        <v>0</v>
      </c>
      <c r="H192" s="41">
        <v>0</v>
      </c>
    </row>
    <row r="193" spans="1:8" ht="63.75" x14ac:dyDescent="0.2">
      <c r="A193" s="16" t="s">
        <v>96</v>
      </c>
      <c r="B193" s="16" t="s">
        <v>101</v>
      </c>
      <c r="C193" s="51" t="s">
        <v>720</v>
      </c>
      <c r="D193" s="84"/>
      <c r="E193" s="101" t="s">
        <v>719</v>
      </c>
      <c r="F193" s="41">
        <f>F194</f>
        <v>2151.6999999999998</v>
      </c>
      <c r="G193" s="41">
        <f t="shared" ref="G193:H193" si="36">G194</f>
        <v>0</v>
      </c>
      <c r="H193" s="41">
        <f t="shared" si="36"/>
        <v>0</v>
      </c>
    </row>
    <row r="194" spans="1:8" ht="38.25" x14ac:dyDescent="0.2">
      <c r="A194" s="16" t="s">
        <v>96</v>
      </c>
      <c r="B194" s="16" t="s">
        <v>101</v>
      </c>
      <c r="C194" s="51" t="s">
        <v>720</v>
      </c>
      <c r="D194" s="84" t="s">
        <v>214</v>
      </c>
      <c r="E194" s="101" t="s">
        <v>215</v>
      </c>
      <c r="F194" s="41">
        <f>2179.5-27.8</f>
        <v>2151.6999999999998</v>
      </c>
      <c r="G194" s="41">
        <v>0</v>
      </c>
      <c r="H194" s="41">
        <v>0</v>
      </c>
    </row>
    <row r="195" spans="1:8" ht="51" x14ac:dyDescent="0.2">
      <c r="A195" s="16" t="s">
        <v>96</v>
      </c>
      <c r="B195" s="16" t="s">
        <v>101</v>
      </c>
      <c r="C195" s="188">
        <v>1510219017</v>
      </c>
      <c r="D195" s="84"/>
      <c r="E195" s="126" t="s">
        <v>669</v>
      </c>
      <c r="F195" s="41">
        <f>F196</f>
        <v>410</v>
      </c>
      <c r="G195" s="41">
        <f t="shared" ref="G195:H195" si="37">G196</f>
        <v>0</v>
      </c>
      <c r="H195" s="41">
        <f t="shared" si="37"/>
        <v>0</v>
      </c>
    </row>
    <row r="196" spans="1:8" ht="38.25" x14ac:dyDescent="0.2">
      <c r="A196" s="16" t="s">
        <v>96</v>
      </c>
      <c r="B196" s="16" t="s">
        <v>101</v>
      </c>
      <c r="C196" s="154">
        <v>1510219017</v>
      </c>
      <c r="D196" s="84" t="s">
        <v>214</v>
      </c>
      <c r="E196" s="101" t="s">
        <v>215</v>
      </c>
      <c r="F196" s="41">
        <v>410</v>
      </c>
      <c r="G196" s="41">
        <v>0</v>
      </c>
      <c r="H196" s="41">
        <v>0</v>
      </c>
    </row>
    <row r="197" spans="1:8" ht="61.5" customHeight="1" x14ac:dyDescent="0.2">
      <c r="A197" s="16" t="s">
        <v>96</v>
      </c>
      <c r="B197" s="16" t="s">
        <v>101</v>
      </c>
      <c r="C197" s="154">
        <v>1510219018</v>
      </c>
      <c r="D197" s="84"/>
      <c r="E197" s="126" t="s">
        <v>689</v>
      </c>
      <c r="F197" s="41">
        <f>F198</f>
        <v>442.5</v>
      </c>
      <c r="G197" s="41">
        <f t="shared" ref="G197:H197" si="38">G198</f>
        <v>0</v>
      </c>
      <c r="H197" s="41">
        <f t="shared" si="38"/>
        <v>0</v>
      </c>
    </row>
    <row r="198" spans="1:8" ht="38.25" x14ac:dyDescent="0.2">
      <c r="A198" s="16" t="s">
        <v>96</v>
      </c>
      <c r="B198" s="16" t="s">
        <v>101</v>
      </c>
      <c r="C198" s="154">
        <v>1510219018</v>
      </c>
      <c r="D198" s="84" t="s">
        <v>214</v>
      </c>
      <c r="E198" s="101" t="s">
        <v>215</v>
      </c>
      <c r="F198" s="41">
        <v>442.5</v>
      </c>
      <c r="G198" s="41">
        <v>0</v>
      </c>
      <c r="H198" s="41">
        <v>0</v>
      </c>
    </row>
    <row r="199" spans="1:8" ht="63.75" x14ac:dyDescent="0.2">
      <c r="A199" s="16" t="s">
        <v>96</v>
      </c>
      <c r="B199" s="16" t="s">
        <v>101</v>
      </c>
      <c r="C199" s="154">
        <v>1510219021</v>
      </c>
      <c r="D199" s="84"/>
      <c r="E199" s="101" t="s">
        <v>719</v>
      </c>
      <c r="F199" s="41">
        <f>F200</f>
        <v>1476.1</v>
      </c>
      <c r="G199" s="41">
        <f t="shared" ref="G199:H199" si="39">G200</f>
        <v>0</v>
      </c>
      <c r="H199" s="41">
        <f t="shared" si="39"/>
        <v>0</v>
      </c>
    </row>
    <row r="200" spans="1:8" ht="38.25" x14ac:dyDescent="0.2">
      <c r="A200" s="16" t="s">
        <v>96</v>
      </c>
      <c r="B200" s="16" t="s">
        <v>101</v>
      </c>
      <c r="C200" s="154">
        <v>1510219021</v>
      </c>
      <c r="D200" s="84" t="s">
        <v>214</v>
      </c>
      <c r="E200" s="101" t="s">
        <v>215</v>
      </c>
      <c r="F200" s="41">
        <v>1476.1</v>
      </c>
      <c r="G200" s="41">
        <v>0</v>
      </c>
      <c r="H200" s="41">
        <v>0</v>
      </c>
    </row>
    <row r="201" spans="1:8" ht="90.75" customHeight="1" x14ac:dyDescent="0.2">
      <c r="A201" s="73" t="s">
        <v>96</v>
      </c>
      <c r="B201" s="73" t="s">
        <v>101</v>
      </c>
      <c r="C201" s="73" t="s">
        <v>230</v>
      </c>
      <c r="D201" s="16"/>
      <c r="E201" s="64" t="s">
        <v>652</v>
      </c>
      <c r="F201" s="99">
        <f>F202</f>
        <v>4366</v>
      </c>
      <c r="G201" s="99">
        <f>G202</f>
        <v>5003.7</v>
      </c>
      <c r="H201" s="99">
        <f>H202</f>
        <v>1601.3999999999999</v>
      </c>
    </row>
    <row r="202" spans="1:8" ht="51" x14ac:dyDescent="0.2">
      <c r="A202" s="21" t="s">
        <v>96</v>
      </c>
      <c r="B202" s="21" t="s">
        <v>101</v>
      </c>
      <c r="C202" s="52" t="s">
        <v>231</v>
      </c>
      <c r="D202" s="16"/>
      <c r="E202" s="48" t="s">
        <v>232</v>
      </c>
      <c r="F202" s="58">
        <f>F203+F205+F207+F209+F211</f>
        <v>4366</v>
      </c>
      <c r="G202" s="58">
        <f t="shared" ref="G202:H202" si="40">G203+G205+G207+G209+G211</f>
        <v>5003.7</v>
      </c>
      <c r="H202" s="58">
        <f t="shared" si="40"/>
        <v>1601.3999999999999</v>
      </c>
    </row>
    <row r="203" spans="1:8" ht="38.25" x14ac:dyDescent="0.2">
      <c r="A203" s="21" t="s">
        <v>96</v>
      </c>
      <c r="B203" s="21" t="s">
        <v>101</v>
      </c>
      <c r="C203" s="21" t="s">
        <v>584</v>
      </c>
      <c r="D203" s="84"/>
      <c r="E203" s="101" t="s">
        <v>352</v>
      </c>
      <c r="F203" s="41">
        <f>F204</f>
        <v>0</v>
      </c>
      <c r="G203" s="41">
        <f>G204</f>
        <v>2381.1999999999998</v>
      </c>
      <c r="H203" s="41">
        <f>H204</f>
        <v>0</v>
      </c>
    </row>
    <row r="204" spans="1:8" ht="38.25" x14ac:dyDescent="0.2">
      <c r="A204" s="21" t="s">
        <v>96</v>
      </c>
      <c r="B204" s="21" t="s">
        <v>101</v>
      </c>
      <c r="C204" s="21" t="s">
        <v>584</v>
      </c>
      <c r="D204" s="84" t="s">
        <v>214</v>
      </c>
      <c r="E204" s="101" t="s">
        <v>215</v>
      </c>
      <c r="F204" s="41">
        <v>0</v>
      </c>
      <c r="G204" s="41">
        <v>2381.1999999999998</v>
      </c>
      <c r="H204" s="41">
        <v>0</v>
      </c>
    </row>
    <row r="205" spans="1:8" ht="25.5" x14ac:dyDescent="0.2">
      <c r="A205" s="21" t="s">
        <v>96</v>
      </c>
      <c r="B205" s="21" t="s">
        <v>101</v>
      </c>
      <c r="C205" s="21" t="s">
        <v>586</v>
      </c>
      <c r="D205" s="84"/>
      <c r="E205" s="101" t="s">
        <v>585</v>
      </c>
      <c r="F205" s="41">
        <f>F206</f>
        <v>0</v>
      </c>
      <c r="G205" s="41">
        <f>G206</f>
        <v>500</v>
      </c>
      <c r="H205" s="41">
        <f>H206</f>
        <v>0</v>
      </c>
    </row>
    <row r="206" spans="1:8" ht="38.25" x14ac:dyDescent="0.2">
      <c r="A206" s="21" t="s">
        <v>96</v>
      </c>
      <c r="B206" s="21" t="s">
        <v>101</v>
      </c>
      <c r="C206" s="21" t="s">
        <v>586</v>
      </c>
      <c r="D206" s="84" t="s">
        <v>214</v>
      </c>
      <c r="E206" s="101" t="s">
        <v>215</v>
      </c>
      <c r="F206" s="41">
        <v>0</v>
      </c>
      <c r="G206" s="41">
        <v>500</v>
      </c>
      <c r="H206" s="41">
        <v>0</v>
      </c>
    </row>
    <row r="207" spans="1:8" ht="25.5" x14ac:dyDescent="0.2">
      <c r="A207" s="21" t="s">
        <v>96</v>
      </c>
      <c r="B207" s="21" t="s">
        <v>101</v>
      </c>
      <c r="C207" s="21" t="s">
        <v>587</v>
      </c>
      <c r="D207" s="16"/>
      <c r="E207" s="101" t="s">
        <v>340</v>
      </c>
      <c r="F207" s="41">
        <f>F208</f>
        <v>400</v>
      </c>
      <c r="G207" s="41">
        <f>G208</f>
        <v>400</v>
      </c>
      <c r="H207" s="41">
        <f>H208</f>
        <v>0</v>
      </c>
    </row>
    <row r="208" spans="1:8" ht="38.25" x14ac:dyDescent="0.2">
      <c r="A208" s="21" t="s">
        <v>96</v>
      </c>
      <c r="B208" s="21" t="s">
        <v>101</v>
      </c>
      <c r="C208" s="21" t="s">
        <v>587</v>
      </c>
      <c r="D208" s="84" t="s">
        <v>214</v>
      </c>
      <c r="E208" s="101" t="s">
        <v>215</v>
      </c>
      <c r="F208" s="41">
        <v>400</v>
      </c>
      <c r="G208" s="41">
        <v>400</v>
      </c>
      <c r="H208" s="41">
        <v>0</v>
      </c>
    </row>
    <row r="209" spans="1:8" ht="41.25" customHeight="1" x14ac:dyDescent="0.2">
      <c r="A209" s="21" t="s">
        <v>96</v>
      </c>
      <c r="B209" s="21" t="s">
        <v>101</v>
      </c>
      <c r="C209" s="51" t="s">
        <v>368</v>
      </c>
      <c r="D209" s="84"/>
      <c r="E209" s="101" t="s">
        <v>363</v>
      </c>
      <c r="F209" s="41">
        <f>F210</f>
        <v>882.99999999999989</v>
      </c>
      <c r="G209" s="41">
        <f>G210</f>
        <v>443.5</v>
      </c>
      <c r="H209" s="41">
        <f>H210</f>
        <v>320.3</v>
      </c>
    </row>
    <row r="210" spans="1:8" ht="38.25" x14ac:dyDescent="0.2">
      <c r="A210" s="21" t="s">
        <v>96</v>
      </c>
      <c r="B210" s="21" t="s">
        <v>101</v>
      </c>
      <c r="C210" s="51" t="s">
        <v>368</v>
      </c>
      <c r="D210" s="84" t="s">
        <v>214</v>
      </c>
      <c r="E210" s="101" t="s">
        <v>215</v>
      </c>
      <c r="F210" s="41">
        <f>844.9+1003.2-965.1</f>
        <v>882.99999999999989</v>
      </c>
      <c r="G210" s="41">
        <v>443.5</v>
      </c>
      <c r="H210" s="41">
        <v>320.3</v>
      </c>
    </row>
    <row r="211" spans="1:8" ht="63.75" customHeight="1" x14ac:dyDescent="0.2">
      <c r="A211" s="21" t="s">
        <v>96</v>
      </c>
      <c r="B211" s="21" t="s">
        <v>101</v>
      </c>
      <c r="C211" s="51" t="s">
        <v>369</v>
      </c>
      <c r="D211" s="84"/>
      <c r="E211" s="101" t="s">
        <v>361</v>
      </c>
      <c r="F211" s="41">
        <f>F212</f>
        <v>3083</v>
      </c>
      <c r="G211" s="41">
        <f>G212</f>
        <v>1279</v>
      </c>
      <c r="H211" s="41">
        <f>H212</f>
        <v>1281.0999999999999</v>
      </c>
    </row>
    <row r="212" spans="1:8" ht="38.25" x14ac:dyDescent="0.2">
      <c r="A212" s="21" t="s">
        <v>96</v>
      </c>
      <c r="B212" s="21" t="s">
        <v>101</v>
      </c>
      <c r="C212" s="51" t="s">
        <v>369</v>
      </c>
      <c r="D212" s="84" t="s">
        <v>214</v>
      </c>
      <c r="E212" s="101" t="s">
        <v>215</v>
      </c>
      <c r="F212" s="163">
        <f>1279+2116-312</f>
        <v>3083</v>
      </c>
      <c r="G212" s="163">
        <v>1279</v>
      </c>
      <c r="H212" s="163">
        <v>1281.0999999999999</v>
      </c>
    </row>
    <row r="213" spans="1:8" ht="25.5" x14ac:dyDescent="0.2">
      <c r="A213" s="21" t="s">
        <v>96</v>
      </c>
      <c r="B213" s="21" t="s">
        <v>124</v>
      </c>
      <c r="C213" s="30"/>
      <c r="D213" s="30"/>
      <c r="E213" s="46" t="s">
        <v>4</v>
      </c>
      <c r="F213" s="40">
        <f>F214+F222+F238</f>
        <v>4129</v>
      </c>
      <c r="G213" s="40">
        <f>G214+G222+G238</f>
        <v>2991.4</v>
      </c>
      <c r="H213" s="40">
        <f>H214+H222+H238</f>
        <v>1970</v>
      </c>
    </row>
    <row r="214" spans="1:8" ht="89.25" x14ac:dyDescent="0.2">
      <c r="A214" s="5" t="s">
        <v>96</v>
      </c>
      <c r="B214" s="5" t="s">
        <v>124</v>
      </c>
      <c r="C214" s="73" t="s">
        <v>71</v>
      </c>
      <c r="D214" s="16"/>
      <c r="E214" s="186" t="s">
        <v>640</v>
      </c>
      <c r="F214" s="99">
        <f>F215</f>
        <v>2022.0000000000002</v>
      </c>
      <c r="G214" s="99">
        <f>G215</f>
        <v>200</v>
      </c>
      <c r="H214" s="99">
        <f>H215</f>
        <v>200</v>
      </c>
    </row>
    <row r="215" spans="1:8" ht="38.25" x14ac:dyDescent="0.2">
      <c r="A215" s="16" t="s">
        <v>96</v>
      </c>
      <c r="B215" s="16" t="s">
        <v>124</v>
      </c>
      <c r="C215" s="52" t="s">
        <v>165</v>
      </c>
      <c r="D215" s="16"/>
      <c r="E215" s="48" t="s">
        <v>164</v>
      </c>
      <c r="F215" s="41">
        <f>F216+F218+F220</f>
        <v>2022.0000000000002</v>
      </c>
      <c r="G215" s="41">
        <f t="shared" ref="G215:H215" si="41">G216+G218</f>
        <v>200</v>
      </c>
      <c r="H215" s="41">
        <f t="shared" si="41"/>
        <v>200</v>
      </c>
    </row>
    <row r="216" spans="1:8" ht="51" x14ac:dyDescent="0.2">
      <c r="A216" s="16" t="s">
        <v>96</v>
      </c>
      <c r="B216" s="16" t="s">
        <v>124</v>
      </c>
      <c r="C216" s="21" t="s">
        <v>495</v>
      </c>
      <c r="D216" s="30"/>
      <c r="E216" s="100" t="s">
        <v>166</v>
      </c>
      <c r="F216" s="41">
        <f t="shared" ref="F216:H216" si="42">F217</f>
        <v>200</v>
      </c>
      <c r="G216" s="41">
        <f t="shared" si="42"/>
        <v>164</v>
      </c>
      <c r="H216" s="41">
        <f t="shared" si="42"/>
        <v>164</v>
      </c>
    </row>
    <row r="217" spans="1:8" ht="38.25" x14ac:dyDescent="0.2">
      <c r="A217" s="16" t="s">
        <v>96</v>
      </c>
      <c r="B217" s="16" t="s">
        <v>124</v>
      </c>
      <c r="C217" s="21" t="s">
        <v>495</v>
      </c>
      <c r="D217" s="84" t="s">
        <v>214</v>
      </c>
      <c r="E217" s="101" t="s">
        <v>215</v>
      </c>
      <c r="F217" s="39">
        <v>200</v>
      </c>
      <c r="G217" s="39">
        <v>164</v>
      </c>
      <c r="H217" s="39">
        <v>164</v>
      </c>
    </row>
    <row r="218" spans="1:8" ht="38.25" x14ac:dyDescent="0.2">
      <c r="A218" s="16" t="s">
        <v>96</v>
      </c>
      <c r="B218" s="16" t="s">
        <v>124</v>
      </c>
      <c r="C218" s="84" t="s">
        <v>496</v>
      </c>
      <c r="D218" s="30"/>
      <c r="E218" s="100" t="s">
        <v>169</v>
      </c>
      <c r="F218" s="41">
        <f t="shared" ref="F218:H218" si="43">F219</f>
        <v>22.2</v>
      </c>
      <c r="G218" s="41">
        <f t="shared" si="43"/>
        <v>36</v>
      </c>
      <c r="H218" s="41">
        <f t="shared" si="43"/>
        <v>36</v>
      </c>
    </row>
    <row r="219" spans="1:8" ht="38.25" x14ac:dyDescent="0.2">
      <c r="A219" s="16" t="s">
        <v>96</v>
      </c>
      <c r="B219" s="16" t="s">
        <v>124</v>
      </c>
      <c r="C219" s="84" t="s">
        <v>496</v>
      </c>
      <c r="D219" s="84" t="s">
        <v>214</v>
      </c>
      <c r="E219" s="101" t="s">
        <v>215</v>
      </c>
      <c r="F219" s="41">
        <f>36-13.8</f>
        <v>22.2</v>
      </c>
      <c r="G219" s="41">
        <v>36</v>
      </c>
      <c r="H219" s="41">
        <v>36</v>
      </c>
    </row>
    <row r="220" spans="1:8" ht="38.25" x14ac:dyDescent="0.2">
      <c r="A220" s="16" t="s">
        <v>96</v>
      </c>
      <c r="B220" s="16" t="s">
        <v>124</v>
      </c>
      <c r="C220" s="84" t="s">
        <v>723</v>
      </c>
      <c r="D220" s="84"/>
      <c r="E220" s="101" t="s">
        <v>724</v>
      </c>
      <c r="F220" s="41">
        <f>F221</f>
        <v>1799.8000000000002</v>
      </c>
      <c r="G220" s="41">
        <f t="shared" ref="G220:H220" si="44">G221</f>
        <v>0</v>
      </c>
      <c r="H220" s="41">
        <f t="shared" si="44"/>
        <v>0</v>
      </c>
    </row>
    <row r="221" spans="1:8" ht="38.25" x14ac:dyDescent="0.2">
      <c r="A221" s="16" t="s">
        <v>96</v>
      </c>
      <c r="B221" s="16" t="s">
        <v>124</v>
      </c>
      <c r="C221" s="84" t="s">
        <v>723</v>
      </c>
      <c r="D221" s="84" t="s">
        <v>214</v>
      </c>
      <c r="E221" s="101" t="s">
        <v>215</v>
      </c>
      <c r="F221" s="41">
        <f>1698.4+101.4</f>
        <v>1799.8000000000002</v>
      </c>
      <c r="G221" s="41">
        <v>0</v>
      </c>
      <c r="H221" s="41">
        <v>0</v>
      </c>
    </row>
    <row r="222" spans="1:8" ht="89.25" x14ac:dyDescent="0.2">
      <c r="A222" s="5" t="s">
        <v>96</v>
      </c>
      <c r="B222" s="5" t="s">
        <v>124</v>
      </c>
      <c r="C222" s="76">
        <v>400000000</v>
      </c>
      <c r="D222" s="16"/>
      <c r="E222" s="185" t="s">
        <v>639</v>
      </c>
      <c r="F222" s="99">
        <f>F223</f>
        <v>1807</v>
      </c>
      <c r="G222" s="99">
        <f t="shared" ref="G222:H222" si="45">G223</f>
        <v>1470</v>
      </c>
      <c r="H222" s="99">
        <f t="shared" si="45"/>
        <v>1470</v>
      </c>
    </row>
    <row r="223" spans="1:8" ht="50.25" customHeight="1" x14ac:dyDescent="0.2">
      <c r="A223" s="47" t="s">
        <v>96</v>
      </c>
      <c r="B223" s="47" t="s">
        <v>124</v>
      </c>
      <c r="C223" s="75">
        <v>410000000</v>
      </c>
      <c r="D223" s="30"/>
      <c r="E223" s="46" t="s">
        <v>497</v>
      </c>
      <c r="F223" s="96">
        <f>F224+F226+F228+F230+F232+F234+F236</f>
        <v>1807</v>
      </c>
      <c r="G223" s="96">
        <f t="shared" ref="G223:H223" si="46">G224+G226+G228+G230+G232+G234</f>
        <v>1470</v>
      </c>
      <c r="H223" s="96">
        <f t="shared" si="46"/>
        <v>1470</v>
      </c>
    </row>
    <row r="224" spans="1:8" ht="76.5" x14ac:dyDescent="0.2">
      <c r="A224" s="16" t="s">
        <v>96</v>
      </c>
      <c r="B224" s="16" t="s">
        <v>124</v>
      </c>
      <c r="C224" s="167" t="s">
        <v>695</v>
      </c>
      <c r="D224" s="84"/>
      <c r="E224" s="101" t="s">
        <v>504</v>
      </c>
      <c r="F224" s="39">
        <f>F225</f>
        <v>100</v>
      </c>
      <c r="G224" s="39">
        <f>G225</f>
        <v>50</v>
      </c>
      <c r="H224" s="39">
        <f>H225</f>
        <v>50</v>
      </c>
    </row>
    <row r="225" spans="1:8" ht="38.25" x14ac:dyDescent="0.2">
      <c r="A225" s="16" t="s">
        <v>96</v>
      </c>
      <c r="B225" s="16" t="s">
        <v>124</v>
      </c>
      <c r="C225" s="167" t="s">
        <v>695</v>
      </c>
      <c r="D225" s="84" t="s">
        <v>214</v>
      </c>
      <c r="E225" s="101" t="s">
        <v>215</v>
      </c>
      <c r="F225" s="39">
        <f>50+50</f>
        <v>100</v>
      </c>
      <c r="G225" s="39">
        <v>50</v>
      </c>
      <c r="H225" s="39">
        <v>50</v>
      </c>
    </row>
    <row r="226" spans="1:8" ht="25.5" x14ac:dyDescent="0.2">
      <c r="A226" s="16" t="s">
        <v>96</v>
      </c>
      <c r="B226" s="16" t="s">
        <v>124</v>
      </c>
      <c r="C226" s="167" t="s">
        <v>696</v>
      </c>
      <c r="D226" s="84"/>
      <c r="E226" s="101" t="s">
        <v>505</v>
      </c>
      <c r="F226" s="39">
        <f>F227</f>
        <v>20</v>
      </c>
      <c r="G226" s="39">
        <f>G227</f>
        <v>20</v>
      </c>
      <c r="H226" s="39">
        <f>H227</f>
        <v>20</v>
      </c>
    </row>
    <row r="227" spans="1:8" ht="38.25" x14ac:dyDescent="0.2">
      <c r="A227" s="16" t="s">
        <v>96</v>
      </c>
      <c r="B227" s="16" t="s">
        <v>124</v>
      </c>
      <c r="C227" s="167" t="s">
        <v>696</v>
      </c>
      <c r="D227" s="84" t="s">
        <v>214</v>
      </c>
      <c r="E227" s="101" t="s">
        <v>215</v>
      </c>
      <c r="F227" s="39">
        <v>20</v>
      </c>
      <c r="G227" s="39">
        <v>20</v>
      </c>
      <c r="H227" s="39">
        <v>20</v>
      </c>
    </row>
    <row r="228" spans="1:8" ht="51" x14ac:dyDescent="0.2">
      <c r="A228" s="16" t="s">
        <v>96</v>
      </c>
      <c r="B228" s="16" t="s">
        <v>124</v>
      </c>
      <c r="C228" s="167" t="s">
        <v>697</v>
      </c>
      <c r="D228" s="84"/>
      <c r="E228" s="101" t="s">
        <v>509</v>
      </c>
      <c r="F228" s="39">
        <f>F229</f>
        <v>99.4</v>
      </c>
      <c r="G228" s="39">
        <f t="shared" ref="G228:H228" si="47">G229</f>
        <v>100</v>
      </c>
      <c r="H228" s="39">
        <f t="shared" si="47"/>
        <v>100</v>
      </c>
    </row>
    <row r="229" spans="1:8" ht="63.75" x14ac:dyDescent="0.2">
      <c r="A229" s="16" t="s">
        <v>96</v>
      </c>
      <c r="B229" s="16" t="s">
        <v>124</v>
      </c>
      <c r="C229" s="167" t="s">
        <v>697</v>
      </c>
      <c r="D229" s="16" t="s">
        <v>13</v>
      </c>
      <c r="E229" s="101" t="s">
        <v>381</v>
      </c>
      <c r="F229" s="39">
        <f>100-0.6</f>
        <v>99.4</v>
      </c>
      <c r="G229" s="39">
        <v>100</v>
      </c>
      <c r="H229" s="39">
        <v>100</v>
      </c>
    </row>
    <row r="230" spans="1:8" ht="63.75" x14ac:dyDescent="0.2">
      <c r="A230" s="16" t="s">
        <v>96</v>
      </c>
      <c r="B230" s="16" t="s">
        <v>124</v>
      </c>
      <c r="C230" s="167" t="s">
        <v>699</v>
      </c>
      <c r="D230" s="84"/>
      <c r="E230" s="101" t="s">
        <v>511</v>
      </c>
      <c r="F230" s="39">
        <f>F231</f>
        <v>499.5</v>
      </c>
      <c r="G230" s="39">
        <f t="shared" ref="G230:H230" si="48">G231</f>
        <v>500</v>
      </c>
      <c r="H230" s="39">
        <f t="shared" si="48"/>
        <v>500</v>
      </c>
    </row>
    <row r="231" spans="1:8" ht="63.75" x14ac:dyDescent="0.2">
      <c r="A231" s="16" t="s">
        <v>96</v>
      </c>
      <c r="B231" s="16" t="s">
        <v>124</v>
      </c>
      <c r="C231" s="167" t="s">
        <v>699</v>
      </c>
      <c r="D231" s="16" t="s">
        <v>13</v>
      </c>
      <c r="E231" s="101" t="s">
        <v>381</v>
      </c>
      <c r="F231" s="39">
        <f>500-0.5</f>
        <v>499.5</v>
      </c>
      <c r="G231" s="39">
        <v>500</v>
      </c>
      <c r="H231" s="39">
        <v>500</v>
      </c>
    </row>
    <row r="232" spans="1:8" ht="106.5" customHeight="1" x14ac:dyDescent="0.2">
      <c r="A232" s="16" t="s">
        <v>96</v>
      </c>
      <c r="B232" s="16" t="s">
        <v>124</v>
      </c>
      <c r="C232" s="167" t="s">
        <v>698</v>
      </c>
      <c r="D232" s="84"/>
      <c r="E232" s="101" t="s">
        <v>512</v>
      </c>
      <c r="F232" s="39">
        <f>F233</f>
        <v>100</v>
      </c>
      <c r="G232" s="39">
        <f t="shared" ref="G232:H232" si="49">G233</f>
        <v>100</v>
      </c>
      <c r="H232" s="39">
        <f t="shared" si="49"/>
        <v>100</v>
      </c>
    </row>
    <row r="233" spans="1:8" ht="63.75" x14ac:dyDescent="0.2">
      <c r="A233" s="16" t="s">
        <v>96</v>
      </c>
      <c r="B233" s="16" t="s">
        <v>124</v>
      </c>
      <c r="C233" s="167" t="s">
        <v>698</v>
      </c>
      <c r="D233" s="16" t="s">
        <v>13</v>
      </c>
      <c r="E233" s="101" t="s">
        <v>381</v>
      </c>
      <c r="F233" s="39">
        <v>100</v>
      </c>
      <c r="G233" s="39">
        <v>100</v>
      </c>
      <c r="H233" s="39">
        <v>100</v>
      </c>
    </row>
    <row r="234" spans="1:8" ht="102" x14ac:dyDescent="0.2">
      <c r="A234" s="16" t="s">
        <v>96</v>
      </c>
      <c r="B234" s="16" t="s">
        <v>124</v>
      </c>
      <c r="C234" s="167" t="s">
        <v>700</v>
      </c>
      <c r="D234" s="84"/>
      <c r="E234" s="101" t="s">
        <v>513</v>
      </c>
      <c r="F234" s="39">
        <f>F235</f>
        <v>700</v>
      </c>
      <c r="G234" s="39">
        <f t="shared" ref="G234:H234" si="50">G235</f>
        <v>700</v>
      </c>
      <c r="H234" s="39">
        <f t="shared" si="50"/>
        <v>700</v>
      </c>
    </row>
    <row r="235" spans="1:8" ht="63.75" x14ac:dyDescent="0.2">
      <c r="A235" s="16" t="s">
        <v>96</v>
      </c>
      <c r="B235" s="16" t="s">
        <v>124</v>
      </c>
      <c r="C235" s="167" t="s">
        <v>700</v>
      </c>
      <c r="D235" s="16" t="s">
        <v>13</v>
      </c>
      <c r="E235" s="101" t="s">
        <v>381</v>
      </c>
      <c r="F235" s="39">
        <v>700</v>
      </c>
      <c r="G235" s="39">
        <v>700</v>
      </c>
      <c r="H235" s="39">
        <v>700</v>
      </c>
    </row>
    <row r="236" spans="1:8" ht="101.25" customHeight="1" x14ac:dyDescent="0.2">
      <c r="A236" s="16" t="s">
        <v>96</v>
      </c>
      <c r="B236" s="16" t="s">
        <v>124</v>
      </c>
      <c r="C236" s="167" t="s">
        <v>741</v>
      </c>
      <c r="D236" s="16"/>
      <c r="E236" s="101" t="s">
        <v>742</v>
      </c>
      <c r="F236" s="39">
        <f>F237</f>
        <v>288.10000000000002</v>
      </c>
      <c r="G236" s="39">
        <f t="shared" ref="G236:H236" si="51">G237</f>
        <v>0</v>
      </c>
      <c r="H236" s="39">
        <f t="shared" si="51"/>
        <v>0</v>
      </c>
    </row>
    <row r="237" spans="1:8" ht="63.75" x14ac:dyDescent="0.2">
      <c r="A237" s="16" t="s">
        <v>96</v>
      </c>
      <c r="B237" s="16" t="s">
        <v>124</v>
      </c>
      <c r="C237" s="167" t="s">
        <v>741</v>
      </c>
      <c r="D237" s="16" t="s">
        <v>13</v>
      </c>
      <c r="E237" s="101" t="s">
        <v>381</v>
      </c>
      <c r="F237" s="39">
        <f>300-11.9</f>
        <v>288.10000000000002</v>
      </c>
      <c r="G237" s="39">
        <v>0</v>
      </c>
      <c r="H237" s="39">
        <v>0</v>
      </c>
    </row>
    <row r="238" spans="1:8" ht="76.5" x14ac:dyDescent="0.2">
      <c r="A238" s="5" t="s">
        <v>96</v>
      </c>
      <c r="B238" s="5" t="s">
        <v>124</v>
      </c>
      <c r="C238" s="73" t="s">
        <v>148</v>
      </c>
      <c r="D238" s="16"/>
      <c r="E238" s="63" t="s">
        <v>644</v>
      </c>
      <c r="F238" s="99">
        <f>F239</f>
        <v>300</v>
      </c>
      <c r="G238" s="99">
        <f>G239</f>
        <v>1321.4</v>
      </c>
      <c r="H238" s="99">
        <f>H239</f>
        <v>300</v>
      </c>
    </row>
    <row r="239" spans="1:8" ht="63.75" x14ac:dyDescent="0.2">
      <c r="A239" s="47" t="s">
        <v>96</v>
      </c>
      <c r="B239" s="47" t="s">
        <v>124</v>
      </c>
      <c r="C239" s="52" t="s">
        <v>149</v>
      </c>
      <c r="D239" s="16"/>
      <c r="E239" s="48" t="s">
        <v>605</v>
      </c>
      <c r="F239" s="96">
        <f>F240+F242+F244+F246</f>
        <v>300</v>
      </c>
      <c r="G239" s="96">
        <f t="shared" ref="G239:H239" si="52">G240+G242+G244+G246</f>
        <v>1321.4</v>
      </c>
      <c r="H239" s="96">
        <f t="shared" si="52"/>
        <v>300</v>
      </c>
    </row>
    <row r="240" spans="1:8" ht="51" x14ac:dyDescent="0.2">
      <c r="A240" s="16" t="s">
        <v>96</v>
      </c>
      <c r="B240" s="16" t="s">
        <v>124</v>
      </c>
      <c r="C240" s="170" t="s">
        <v>548</v>
      </c>
      <c r="D240" s="16"/>
      <c r="E240" s="103" t="s">
        <v>664</v>
      </c>
      <c r="F240" s="39">
        <f>F241</f>
        <v>300</v>
      </c>
      <c r="G240" s="39">
        <f>G241</f>
        <v>0</v>
      </c>
      <c r="H240" s="39">
        <f>H241</f>
        <v>0</v>
      </c>
    </row>
    <row r="241" spans="1:8" ht="38.25" x14ac:dyDescent="0.2">
      <c r="A241" s="16" t="s">
        <v>96</v>
      </c>
      <c r="B241" s="16" t="s">
        <v>124</v>
      </c>
      <c r="C241" s="170" t="s">
        <v>548</v>
      </c>
      <c r="D241" s="84" t="s">
        <v>214</v>
      </c>
      <c r="E241" s="101" t="s">
        <v>215</v>
      </c>
      <c r="F241" s="39">
        <v>300</v>
      </c>
      <c r="G241" s="39">
        <v>0</v>
      </c>
      <c r="H241" s="39">
        <v>0</v>
      </c>
    </row>
    <row r="242" spans="1:8" ht="89.25" x14ac:dyDescent="0.2">
      <c r="A242" s="16" t="s">
        <v>96</v>
      </c>
      <c r="B242" s="16" t="s">
        <v>124</v>
      </c>
      <c r="C242" s="74">
        <v>810123102</v>
      </c>
      <c r="D242" s="16"/>
      <c r="E242" s="103" t="s">
        <v>549</v>
      </c>
      <c r="F242" s="39">
        <f>F243</f>
        <v>0</v>
      </c>
      <c r="G242" s="39">
        <f>G243</f>
        <v>591</v>
      </c>
      <c r="H242" s="39">
        <f>H243</f>
        <v>0</v>
      </c>
    </row>
    <row r="243" spans="1:8" ht="38.25" x14ac:dyDescent="0.2">
      <c r="A243" s="16" t="s">
        <v>96</v>
      </c>
      <c r="B243" s="16" t="s">
        <v>124</v>
      </c>
      <c r="C243" s="74">
        <v>810123102</v>
      </c>
      <c r="D243" s="84" t="s">
        <v>214</v>
      </c>
      <c r="E243" s="101" t="s">
        <v>215</v>
      </c>
      <c r="F243" s="39">
        <v>0</v>
      </c>
      <c r="G243" s="39">
        <v>591</v>
      </c>
      <c r="H243" s="39">
        <v>0</v>
      </c>
    </row>
    <row r="244" spans="1:8" ht="76.5" x14ac:dyDescent="0.2">
      <c r="A244" s="16" t="s">
        <v>96</v>
      </c>
      <c r="B244" s="16" t="s">
        <v>124</v>
      </c>
      <c r="C244" s="74">
        <v>810123103</v>
      </c>
      <c r="D244" s="84"/>
      <c r="E244" s="101" t="s">
        <v>550</v>
      </c>
      <c r="F244" s="39">
        <f t="shared" ref="F244:H244" si="53">F245</f>
        <v>0</v>
      </c>
      <c r="G244" s="39">
        <f t="shared" si="53"/>
        <v>435</v>
      </c>
      <c r="H244" s="39">
        <f t="shared" si="53"/>
        <v>0</v>
      </c>
    </row>
    <row r="245" spans="1:8" ht="38.25" x14ac:dyDescent="0.2">
      <c r="A245" s="16" t="s">
        <v>96</v>
      </c>
      <c r="B245" s="16" t="s">
        <v>124</v>
      </c>
      <c r="C245" s="74">
        <v>810123103</v>
      </c>
      <c r="D245" s="84" t="s">
        <v>214</v>
      </c>
      <c r="E245" s="101" t="s">
        <v>215</v>
      </c>
      <c r="F245" s="39">
        <v>0</v>
      </c>
      <c r="G245" s="39">
        <v>435</v>
      </c>
      <c r="H245" s="39"/>
    </row>
    <row r="246" spans="1:8" ht="89.25" x14ac:dyDescent="0.2">
      <c r="A246" s="16" t="s">
        <v>96</v>
      </c>
      <c r="B246" s="16" t="s">
        <v>124</v>
      </c>
      <c r="C246" s="74">
        <v>810123104</v>
      </c>
      <c r="D246" s="84"/>
      <c r="E246" s="101" t="s">
        <v>551</v>
      </c>
      <c r="F246" s="39">
        <f>F247</f>
        <v>0</v>
      </c>
      <c r="G246" s="39">
        <f t="shared" ref="G246:H246" si="54">G247</f>
        <v>295.39999999999998</v>
      </c>
      <c r="H246" s="39">
        <f t="shared" si="54"/>
        <v>300</v>
      </c>
    </row>
    <row r="247" spans="1:8" ht="38.25" x14ac:dyDescent="0.2">
      <c r="A247" s="16" t="s">
        <v>96</v>
      </c>
      <c r="B247" s="16" t="s">
        <v>124</v>
      </c>
      <c r="C247" s="74">
        <v>810123104</v>
      </c>
      <c r="D247" s="84" t="s">
        <v>214</v>
      </c>
      <c r="E247" s="101" t="s">
        <v>215</v>
      </c>
      <c r="F247" s="39">
        <v>0</v>
      </c>
      <c r="G247" s="39">
        <v>295.39999999999998</v>
      </c>
      <c r="H247" s="39">
        <v>300</v>
      </c>
    </row>
    <row r="248" spans="1:8" ht="30" x14ac:dyDescent="0.25">
      <c r="A248" s="4" t="s">
        <v>97</v>
      </c>
      <c r="B248" s="3"/>
      <c r="C248" s="3"/>
      <c r="D248" s="3"/>
      <c r="E248" s="49" t="s">
        <v>49</v>
      </c>
      <c r="F248" s="95">
        <f>F249+F281+F309+F404</f>
        <v>128427</v>
      </c>
      <c r="G248" s="95">
        <f>G249+G281+G309+G404</f>
        <v>57137.599999999999</v>
      </c>
      <c r="H248" s="95">
        <f>H249+H281+H309+H404</f>
        <v>31793.7</v>
      </c>
    </row>
    <row r="249" spans="1:8" ht="14.25" x14ac:dyDescent="0.2">
      <c r="A249" s="30" t="s">
        <v>97</v>
      </c>
      <c r="B249" s="30" t="s">
        <v>90</v>
      </c>
      <c r="C249" s="30"/>
      <c r="D249" s="30"/>
      <c r="E249" s="27" t="s">
        <v>44</v>
      </c>
      <c r="F249" s="40">
        <f>F250+F275</f>
        <v>9541.1</v>
      </c>
      <c r="G249" s="40">
        <f t="shared" ref="G249:H249" si="55">G250+G275</f>
        <v>7017.8</v>
      </c>
      <c r="H249" s="40">
        <f t="shared" si="55"/>
        <v>6087.7999999999993</v>
      </c>
    </row>
    <row r="250" spans="1:8" ht="76.5" x14ac:dyDescent="0.2">
      <c r="A250" s="5" t="s">
        <v>97</v>
      </c>
      <c r="B250" s="5" t="s">
        <v>90</v>
      </c>
      <c r="C250" s="73" t="s">
        <v>156</v>
      </c>
      <c r="D250" s="16"/>
      <c r="E250" s="185" t="s">
        <v>638</v>
      </c>
      <c r="F250" s="99">
        <f>F251+F257+F270</f>
        <v>6584.4</v>
      </c>
      <c r="G250" s="99">
        <f>G251+G257+G270</f>
        <v>7017.8</v>
      </c>
      <c r="H250" s="99">
        <f>H251+H257+H270</f>
        <v>6087.7999999999993</v>
      </c>
    </row>
    <row r="251" spans="1:8" ht="37.5" customHeight="1" x14ac:dyDescent="0.2">
      <c r="A251" s="47" t="s">
        <v>97</v>
      </c>
      <c r="B251" s="47" t="s">
        <v>90</v>
      </c>
      <c r="C251" s="52" t="s">
        <v>152</v>
      </c>
      <c r="D251" s="16"/>
      <c r="E251" s="48" t="s">
        <v>304</v>
      </c>
      <c r="F251" s="96">
        <f>F252+F255</f>
        <v>1702.4999999999998</v>
      </c>
      <c r="G251" s="96">
        <f>G252+G255</f>
        <v>950</v>
      </c>
      <c r="H251" s="96">
        <f>H252+H255</f>
        <v>950</v>
      </c>
    </row>
    <row r="252" spans="1:8" ht="51" x14ac:dyDescent="0.25">
      <c r="A252" s="16" t="s">
        <v>97</v>
      </c>
      <c r="B252" s="16" t="s">
        <v>90</v>
      </c>
      <c r="C252" s="169" t="s">
        <v>520</v>
      </c>
      <c r="D252" s="3"/>
      <c r="E252" s="101" t="s">
        <v>269</v>
      </c>
      <c r="F252" s="41">
        <f>SUM(F253:F254)</f>
        <v>1151.6999999999998</v>
      </c>
      <c r="G252" s="41">
        <f>SUM(G253:G253)</f>
        <v>150</v>
      </c>
      <c r="H252" s="41">
        <f>SUM(H253:H253)</f>
        <v>150</v>
      </c>
    </row>
    <row r="253" spans="1:8" ht="38.25" x14ac:dyDescent="0.2">
      <c r="A253" s="16" t="s">
        <v>97</v>
      </c>
      <c r="B253" s="16" t="s">
        <v>90</v>
      </c>
      <c r="C253" s="169" t="s">
        <v>520</v>
      </c>
      <c r="D253" s="84" t="s">
        <v>214</v>
      </c>
      <c r="E253" s="101" t="s">
        <v>215</v>
      </c>
      <c r="F253" s="41">
        <f>150+892.1-4-2+11.6+155.2-4.8-53.4</f>
        <v>1144.6999999999998</v>
      </c>
      <c r="G253" s="41">
        <v>150</v>
      </c>
      <c r="H253" s="41">
        <v>150</v>
      </c>
    </row>
    <row r="254" spans="1:8" x14ac:dyDescent="0.2">
      <c r="A254" s="16" t="s">
        <v>97</v>
      </c>
      <c r="B254" s="16" t="s">
        <v>90</v>
      </c>
      <c r="C254" s="169" t="s">
        <v>520</v>
      </c>
      <c r="D254" s="84" t="s">
        <v>693</v>
      </c>
      <c r="E254" s="101" t="s">
        <v>694</v>
      </c>
      <c r="F254" s="41">
        <f>4+2+1</f>
        <v>7</v>
      </c>
      <c r="G254" s="41">
        <v>0</v>
      </c>
      <c r="H254" s="41">
        <v>0</v>
      </c>
    </row>
    <row r="255" spans="1:8" ht="25.5" x14ac:dyDescent="0.25">
      <c r="A255" s="16" t="s">
        <v>97</v>
      </c>
      <c r="B255" s="16" t="s">
        <v>90</v>
      </c>
      <c r="C255" s="21" t="s">
        <v>521</v>
      </c>
      <c r="D255" s="3"/>
      <c r="E255" s="101" t="s">
        <v>347</v>
      </c>
      <c r="F255" s="41">
        <f>F256</f>
        <v>550.79999999999995</v>
      </c>
      <c r="G255" s="41">
        <f>G256</f>
        <v>800</v>
      </c>
      <c r="H255" s="41">
        <f>H256</f>
        <v>800</v>
      </c>
    </row>
    <row r="256" spans="1:8" ht="38.25" x14ac:dyDescent="0.2">
      <c r="A256" s="16" t="s">
        <v>97</v>
      </c>
      <c r="B256" s="16" t="s">
        <v>90</v>
      </c>
      <c r="C256" s="21" t="s">
        <v>521</v>
      </c>
      <c r="D256" s="84" t="s">
        <v>214</v>
      </c>
      <c r="E256" s="101" t="s">
        <v>215</v>
      </c>
      <c r="F256" s="39">
        <f>697.9+8.1-155.2</f>
        <v>550.79999999999995</v>
      </c>
      <c r="G256" s="39">
        <v>800</v>
      </c>
      <c r="H256" s="39">
        <v>800</v>
      </c>
    </row>
    <row r="257" spans="1:8" ht="38.25" x14ac:dyDescent="0.2">
      <c r="A257" s="47" t="s">
        <v>97</v>
      </c>
      <c r="B257" s="47" t="s">
        <v>90</v>
      </c>
      <c r="C257" s="52" t="s">
        <v>153</v>
      </c>
      <c r="D257" s="16"/>
      <c r="E257" s="48" t="s">
        <v>150</v>
      </c>
      <c r="F257" s="96">
        <f>F258+F260+F262+F264+F266+F268</f>
        <v>1262.9000000000001</v>
      </c>
      <c r="G257" s="96">
        <f t="shared" ref="G257:H257" si="56">G258+G260+G262+G264+G266+G268</f>
        <v>2180</v>
      </c>
      <c r="H257" s="96">
        <f t="shared" si="56"/>
        <v>2223.6999999999998</v>
      </c>
    </row>
    <row r="258" spans="1:8" ht="133.5" customHeight="1" x14ac:dyDescent="0.25">
      <c r="A258" s="16" t="s">
        <v>97</v>
      </c>
      <c r="B258" s="16" t="s">
        <v>90</v>
      </c>
      <c r="C258" s="80">
        <v>520123261</v>
      </c>
      <c r="D258" s="3"/>
      <c r="E258" s="101" t="s">
        <v>274</v>
      </c>
      <c r="F258" s="41">
        <f>F259</f>
        <v>0</v>
      </c>
      <c r="G258" s="41">
        <f>G259</f>
        <v>100</v>
      </c>
      <c r="H258" s="41">
        <f>H259</f>
        <v>0</v>
      </c>
    </row>
    <row r="259" spans="1:8" ht="38.25" x14ac:dyDescent="0.2">
      <c r="A259" s="16" t="s">
        <v>97</v>
      </c>
      <c r="B259" s="16" t="s">
        <v>90</v>
      </c>
      <c r="C259" s="80">
        <v>520123261</v>
      </c>
      <c r="D259" s="84" t="s">
        <v>214</v>
      </c>
      <c r="E259" s="101" t="s">
        <v>215</v>
      </c>
      <c r="F259" s="41">
        <v>0</v>
      </c>
      <c r="G259" s="41">
        <v>100</v>
      </c>
      <c r="H259" s="41">
        <v>0</v>
      </c>
    </row>
    <row r="260" spans="1:8" ht="51" x14ac:dyDescent="0.2">
      <c r="A260" s="16" t="s">
        <v>97</v>
      </c>
      <c r="B260" s="16" t="s">
        <v>90</v>
      </c>
      <c r="C260" s="80">
        <v>520123262</v>
      </c>
      <c r="D260" s="16"/>
      <c r="E260" s="101" t="s">
        <v>306</v>
      </c>
      <c r="F260" s="41">
        <f>F261</f>
        <v>0</v>
      </c>
      <c r="G260" s="41">
        <f>G261</f>
        <v>20</v>
      </c>
      <c r="H260" s="41">
        <f>H261</f>
        <v>0</v>
      </c>
    </row>
    <row r="261" spans="1:8" ht="38.25" x14ac:dyDescent="0.2">
      <c r="A261" s="16" t="s">
        <v>97</v>
      </c>
      <c r="B261" s="16" t="s">
        <v>90</v>
      </c>
      <c r="C261" s="80">
        <v>520123262</v>
      </c>
      <c r="D261" s="84" t="s">
        <v>214</v>
      </c>
      <c r="E261" s="101" t="s">
        <v>215</v>
      </c>
      <c r="F261" s="41">
        <v>0</v>
      </c>
      <c r="G261" s="41">
        <v>20</v>
      </c>
      <c r="H261" s="41">
        <v>0</v>
      </c>
    </row>
    <row r="262" spans="1:8" ht="25.5" x14ac:dyDescent="0.2">
      <c r="A262" s="16" t="s">
        <v>97</v>
      </c>
      <c r="B262" s="16" t="s">
        <v>90</v>
      </c>
      <c r="C262" s="169" t="s">
        <v>522</v>
      </c>
      <c r="D262" s="84"/>
      <c r="E262" s="101" t="s">
        <v>523</v>
      </c>
      <c r="F262" s="41">
        <f>F263</f>
        <v>200</v>
      </c>
      <c r="G262" s="41">
        <f t="shared" ref="G262:H262" si="57">G263</f>
        <v>150</v>
      </c>
      <c r="H262" s="41">
        <f t="shared" si="57"/>
        <v>160</v>
      </c>
    </row>
    <row r="263" spans="1:8" ht="38.25" x14ac:dyDescent="0.2">
      <c r="A263" s="16" t="s">
        <v>97</v>
      </c>
      <c r="B263" s="16" t="s">
        <v>90</v>
      </c>
      <c r="C263" s="169" t="s">
        <v>522</v>
      </c>
      <c r="D263" s="84" t="s">
        <v>214</v>
      </c>
      <c r="E263" s="101" t="s">
        <v>215</v>
      </c>
      <c r="F263" s="41">
        <f>400-200</f>
        <v>200</v>
      </c>
      <c r="G263" s="41">
        <v>150</v>
      </c>
      <c r="H263" s="41">
        <v>160</v>
      </c>
    </row>
    <row r="264" spans="1:8" ht="51" x14ac:dyDescent="0.2">
      <c r="A264" s="16" t="s">
        <v>97</v>
      </c>
      <c r="B264" s="16" t="s">
        <v>90</v>
      </c>
      <c r="C264" s="80">
        <v>520223264</v>
      </c>
      <c r="D264" s="84"/>
      <c r="E264" s="101" t="s">
        <v>525</v>
      </c>
      <c r="F264" s="41">
        <f>F265</f>
        <v>0</v>
      </c>
      <c r="G264" s="41">
        <f t="shared" ref="G264:H264" si="58">G265</f>
        <v>490</v>
      </c>
      <c r="H264" s="41">
        <f t="shared" si="58"/>
        <v>600</v>
      </c>
    </row>
    <row r="265" spans="1:8" ht="25.5" x14ac:dyDescent="0.2">
      <c r="A265" s="16" t="s">
        <v>97</v>
      </c>
      <c r="B265" s="16" t="s">
        <v>90</v>
      </c>
      <c r="C265" s="80">
        <v>520223264</v>
      </c>
      <c r="D265" s="84" t="s">
        <v>133</v>
      </c>
      <c r="E265" s="101" t="s">
        <v>134</v>
      </c>
      <c r="F265" s="41">
        <v>0</v>
      </c>
      <c r="G265" s="41">
        <v>490</v>
      </c>
      <c r="H265" s="41">
        <v>600</v>
      </c>
    </row>
    <row r="266" spans="1:8" ht="63.75" x14ac:dyDescent="0.2">
      <c r="A266" s="16" t="s">
        <v>97</v>
      </c>
      <c r="B266" s="16" t="s">
        <v>90</v>
      </c>
      <c r="C266" s="80">
        <v>520223265</v>
      </c>
      <c r="D266" s="84"/>
      <c r="E266" s="101" t="s">
        <v>526</v>
      </c>
      <c r="F266" s="41">
        <f>F267</f>
        <v>1062.9000000000001</v>
      </c>
      <c r="G266" s="41">
        <f t="shared" ref="G266:H266" si="59">G267</f>
        <v>1220</v>
      </c>
      <c r="H266" s="41">
        <f t="shared" si="59"/>
        <v>1463.7</v>
      </c>
    </row>
    <row r="267" spans="1:8" x14ac:dyDescent="0.2">
      <c r="A267" s="16" t="s">
        <v>97</v>
      </c>
      <c r="B267" s="16" t="s">
        <v>90</v>
      </c>
      <c r="C267" s="80">
        <v>520223265</v>
      </c>
      <c r="D267" s="112" t="s">
        <v>253</v>
      </c>
      <c r="E267" s="109" t="s">
        <v>277</v>
      </c>
      <c r="F267" s="41">
        <v>1062.9000000000001</v>
      </c>
      <c r="G267" s="41">
        <v>1220</v>
      </c>
      <c r="H267" s="41">
        <v>1463.7</v>
      </c>
    </row>
    <row r="268" spans="1:8" ht="38.25" x14ac:dyDescent="0.2">
      <c r="A268" s="16" t="s">
        <v>97</v>
      </c>
      <c r="B268" s="16" t="s">
        <v>90</v>
      </c>
      <c r="C268" s="21" t="s">
        <v>527</v>
      </c>
      <c r="D268" s="84"/>
      <c r="E268" s="103" t="s">
        <v>278</v>
      </c>
      <c r="F268" s="41">
        <f>F269</f>
        <v>0</v>
      </c>
      <c r="G268" s="41">
        <f>G269</f>
        <v>200</v>
      </c>
      <c r="H268" s="41">
        <f>H269</f>
        <v>0</v>
      </c>
    </row>
    <row r="269" spans="1:8" ht="38.25" x14ac:dyDescent="0.2">
      <c r="A269" s="16" t="s">
        <v>97</v>
      </c>
      <c r="B269" s="16" t="s">
        <v>90</v>
      </c>
      <c r="C269" s="21" t="s">
        <v>527</v>
      </c>
      <c r="D269" s="84" t="s">
        <v>214</v>
      </c>
      <c r="E269" s="101" t="s">
        <v>215</v>
      </c>
      <c r="F269" s="110">
        <v>0</v>
      </c>
      <c r="G269" s="111">
        <v>200</v>
      </c>
      <c r="H269" s="111">
        <v>0</v>
      </c>
    </row>
    <row r="270" spans="1:8" ht="63.75" x14ac:dyDescent="0.2">
      <c r="A270" s="47" t="s">
        <v>97</v>
      </c>
      <c r="B270" s="47" t="s">
        <v>90</v>
      </c>
      <c r="C270" s="52" t="s">
        <v>154</v>
      </c>
      <c r="D270" s="16"/>
      <c r="E270" s="48" t="s">
        <v>151</v>
      </c>
      <c r="F270" s="96">
        <f>F271+F273</f>
        <v>3619</v>
      </c>
      <c r="G270" s="96">
        <f t="shared" ref="G270:H270" si="60">G271+G273</f>
        <v>3887.8</v>
      </c>
      <c r="H270" s="96">
        <f t="shared" si="60"/>
        <v>2914.1</v>
      </c>
    </row>
    <row r="271" spans="1:8" ht="66" customHeight="1" x14ac:dyDescent="0.2">
      <c r="A271" s="84" t="s">
        <v>97</v>
      </c>
      <c r="B271" s="84" t="s">
        <v>90</v>
      </c>
      <c r="C271" s="80">
        <v>530123271</v>
      </c>
      <c r="D271" s="16"/>
      <c r="E271" s="101" t="s">
        <v>155</v>
      </c>
      <c r="F271" s="41">
        <f t="shared" ref="F271:H271" si="61">F272</f>
        <v>1635.7</v>
      </c>
      <c r="G271" s="41">
        <f t="shared" si="61"/>
        <v>1487.8</v>
      </c>
      <c r="H271" s="41">
        <f t="shared" si="61"/>
        <v>1487.8</v>
      </c>
    </row>
    <row r="272" spans="1:8" ht="38.25" x14ac:dyDescent="0.2">
      <c r="A272" s="16" t="s">
        <v>97</v>
      </c>
      <c r="B272" s="16" t="s">
        <v>90</v>
      </c>
      <c r="C272" s="80">
        <v>530123271</v>
      </c>
      <c r="D272" s="84" t="s">
        <v>214</v>
      </c>
      <c r="E272" s="101" t="s">
        <v>215</v>
      </c>
      <c r="F272" s="148">
        <v>1635.7</v>
      </c>
      <c r="G272" s="148">
        <v>1487.8</v>
      </c>
      <c r="H272" s="148">
        <v>1487.8</v>
      </c>
    </row>
    <row r="273" spans="1:8" ht="51" x14ac:dyDescent="0.2">
      <c r="A273" s="16" t="s">
        <v>97</v>
      </c>
      <c r="B273" s="16" t="s">
        <v>90</v>
      </c>
      <c r="C273" s="80">
        <v>530223272</v>
      </c>
      <c r="D273" s="16"/>
      <c r="E273" s="101" t="s">
        <v>529</v>
      </c>
      <c r="F273" s="41">
        <f t="shared" ref="F273:H273" si="62">F274</f>
        <v>1983.3</v>
      </c>
      <c r="G273" s="41">
        <f t="shared" si="62"/>
        <v>2400</v>
      </c>
      <c r="H273" s="41">
        <f t="shared" si="62"/>
        <v>1426.3</v>
      </c>
    </row>
    <row r="274" spans="1:8" ht="38.25" x14ac:dyDescent="0.2">
      <c r="A274" s="16" t="s">
        <v>97</v>
      </c>
      <c r="B274" s="16" t="s">
        <v>90</v>
      </c>
      <c r="C274" s="80">
        <v>530223272</v>
      </c>
      <c r="D274" s="84" t="s">
        <v>214</v>
      </c>
      <c r="E274" s="101" t="s">
        <v>215</v>
      </c>
      <c r="F274" s="41">
        <f>2400-416.7</f>
        <v>1983.3</v>
      </c>
      <c r="G274" s="41">
        <v>2400</v>
      </c>
      <c r="H274" s="41">
        <v>1426.3</v>
      </c>
    </row>
    <row r="275" spans="1:8" ht="127.5" x14ac:dyDescent="0.2">
      <c r="A275" s="5" t="s">
        <v>97</v>
      </c>
      <c r="B275" s="5" t="s">
        <v>90</v>
      </c>
      <c r="C275" s="73" t="s">
        <v>598</v>
      </c>
      <c r="D275" s="84"/>
      <c r="E275" s="187" t="s">
        <v>651</v>
      </c>
      <c r="F275" s="99">
        <f>F276</f>
        <v>2956.7000000000003</v>
      </c>
      <c r="G275" s="99">
        <f t="shared" ref="G275:H276" si="63">G276</f>
        <v>0</v>
      </c>
      <c r="H275" s="99">
        <f t="shared" si="63"/>
        <v>0</v>
      </c>
    </row>
    <row r="276" spans="1:8" ht="63.75" x14ac:dyDescent="0.2">
      <c r="A276" s="47" t="s">
        <v>97</v>
      </c>
      <c r="B276" s="47" t="s">
        <v>90</v>
      </c>
      <c r="C276" s="175">
        <v>1520000000</v>
      </c>
      <c r="D276" s="47"/>
      <c r="E276" s="191" t="s">
        <v>707</v>
      </c>
      <c r="F276" s="96">
        <f>F277</f>
        <v>2956.7000000000003</v>
      </c>
      <c r="G276" s="96">
        <f t="shared" si="63"/>
        <v>0</v>
      </c>
      <c r="H276" s="96">
        <f t="shared" si="63"/>
        <v>0</v>
      </c>
    </row>
    <row r="277" spans="1:8" ht="25.5" x14ac:dyDescent="0.2">
      <c r="A277" s="16" t="s">
        <v>97</v>
      </c>
      <c r="B277" s="16" t="s">
        <v>90</v>
      </c>
      <c r="C277" s="154">
        <v>1520300000</v>
      </c>
      <c r="D277" s="92"/>
      <c r="E277" s="100" t="s">
        <v>705</v>
      </c>
      <c r="F277" s="41">
        <f>F278</f>
        <v>2956.7000000000003</v>
      </c>
      <c r="G277" s="41">
        <f>G278</f>
        <v>0</v>
      </c>
      <c r="H277" s="41">
        <f>H278</f>
        <v>0</v>
      </c>
    </row>
    <row r="278" spans="1:8" ht="49.5" customHeight="1" x14ac:dyDescent="0.2">
      <c r="A278" s="16" t="s">
        <v>97</v>
      </c>
      <c r="B278" s="16" t="s">
        <v>90</v>
      </c>
      <c r="C278" s="154">
        <v>1520324012</v>
      </c>
      <c r="D278" s="84"/>
      <c r="E278" s="100" t="s">
        <v>706</v>
      </c>
      <c r="F278" s="41">
        <f>SUM(F279:F280)</f>
        <v>2956.7000000000003</v>
      </c>
      <c r="G278" s="41">
        <f>G279</f>
        <v>0</v>
      </c>
      <c r="H278" s="41">
        <f>H279</f>
        <v>0</v>
      </c>
    </row>
    <row r="279" spans="1:8" ht="38.25" x14ac:dyDescent="0.2">
      <c r="A279" s="16" t="s">
        <v>97</v>
      </c>
      <c r="B279" s="16" t="s">
        <v>90</v>
      </c>
      <c r="C279" s="154">
        <v>1520324012</v>
      </c>
      <c r="D279" s="84" t="s">
        <v>214</v>
      </c>
      <c r="E279" s="101" t="s">
        <v>215</v>
      </c>
      <c r="F279" s="41">
        <f>2993-41.1</f>
        <v>2951.9</v>
      </c>
      <c r="G279" s="41">
        <v>0</v>
      </c>
      <c r="H279" s="41">
        <v>0</v>
      </c>
    </row>
    <row r="280" spans="1:8" x14ac:dyDescent="0.2">
      <c r="A280" s="16" t="s">
        <v>97</v>
      </c>
      <c r="B280" s="16" t="s">
        <v>90</v>
      </c>
      <c r="C280" s="188">
        <v>1520324012</v>
      </c>
      <c r="D280" s="84" t="s">
        <v>693</v>
      </c>
      <c r="E280" s="101" t="s">
        <v>694</v>
      </c>
      <c r="F280" s="41">
        <v>4.8</v>
      </c>
      <c r="G280" s="41">
        <v>0</v>
      </c>
      <c r="H280" s="41">
        <v>0</v>
      </c>
    </row>
    <row r="281" spans="1:8" ht="14.25" x14ac:dyDescent="0.2">
      <c r="A281" s="30" t="s">
        <v>97</v>
      </c>
      <c r="B281" s="30" t="s">
        <v>91</v>
      </c>
      <c r="C281" s="30"/>
      <c r="D281" s="30"/>
      <c r="E281" s="27" t="s">
        <v>43</v>
      </c>
      <c r="F281" s="40">
        <f>F282+F286+F306</f>
        <v>30000.3</v>
      </c>
      <c r="G281" s="40">
        <f t="shared" ref="G281:H281" si="64">G282+G286+G306</f>
        <v>20461</v>
      </c>
      <c r="H281" s="40">
        <f t="shared" si="64"/>
        <v>5715</v>
      </c>
    </row>
    <row r="282" spans="1:8" ht="63.75" x14ac:dyDescent="0.2">
      <c r="A282" s="5" t="s">
        <v>97</v>
      </c>
      <c r="B282" s="5" t="s">
        <v>91</v>
      </c>
      <c r="C282" s="76">
        <v>400000000</v>
      </c>
      <c r="D282" s="5"/>
      <c r="E282" s="64" t="s">
        <v>397</v>
      </c>
      <c r="F282" s="99">
        <f t="shared" ref="F282:H283" si="65">F283</f>
        <v>24955.200000000001</v>
      </c>
      <c r="G282" s="99">
        <f t="shared" si="65"/>
        <v>11576</v>
      </c>
      <c r="H282" s="99">
        <f t="shared" si="65"/>
        <v>1250</v>
      </c>
    </row>
    <row r="283" spans="1:8" ht="127.5" x14ac:dyDescent="0.2">
      <c r="A283" s="16" t="s">
        <v>97</v>
      </c>
      <c r="B283" s="16" t="s">
        <v>91</v>
      </c>
      <c r="C283" s="75">
        <v>430000000</v>
      </c>
      <c r="D283" s="16"/>
      <c r="E283" s="46" t="s">
        <v>307</v>
      </c>
      <c r="F283" s="96">
        <f t="shared" si="65"/>
        <v>24955.200000000001</v>
      </c>
      <c r="G283" s="96">
        <f t="shared" si="65"/>
        <v>11576</v>
      </c>
      <c r="H283" s="96">
        <f t="shared" si="65"/>
        <v>1250</v>
      </c>
    </row>
    <row r="284" spans="1:8" ht="76.5" x14ac:dyDescent="0.2">
      <c r="A284" s="16" t="s">
        <v>97</v>
      </c>
      <c r="B284" s="16" t="s">
        <v>91</v>
      </c>
      <c r="C284" s="74">
        <v>430227330</v>
      </c>
      <c r="D284" s="16"/>
      <c r="E284" s="101" t="s">
        <v>172</v>
      </c>
      <c r="F284" s="41">
        <f>F285</f>
        <v>24955.200000000001</v>
      </c>
      <c r="G284" s="41">
        <f>G285</f>
        <v>11576</v>
      </c>
      <c r="H284" s="41">
        <f>H285</f>
        <v>1250</v>
      </c>
    </row>
    <row r="285" spans="1:8" ht="63.75" x14ac:dyDescent="0.2">
      <c r="A285" s="16" t="s">
        <v>97</v>
      </c>
      <c r="B285" s="16" t="s">
        <v>91</v>
      </c>
      <c r="C285" s="74">
        <v>430227330</v>
      </c>
      <c r="D285" s="16" t="s">
        <v>13</v>
      </c>
      <c r="E285" s="101" t="s">
        <v>329</v>
      </c>
      <c r="F285" s="39">
        <f>12819.1-2000+14136.1</f>
        <v>24955.200000000001</v>
      </c>
      <c r="G285" s="39">
        <f>11619.1-43.1</f>
        <v>11576</v>
      </c>
      <c r="H285" s="39">
        <v>1250</v>
      </c>
    </row>
    <row r="286" spans="1:8" ht="102" x14ac:dyDescent="0.2">
      <c r="A286" s="5" t="s">
        <v>97</v>
      </c>
      <c r="B286" s="5" t="s">
        <v>91</v>
      </c>
      <c r="C286" s="82" t="s">
        <v>34</v>
      </c>
      <c r="D286" s="16"/>
      <c r="E286" s="53" t="s">
        <v>641</v>
      </c>
      <c r="F286" s="99">
        <f>F287+F294+F301</f>
        <v>4945.0999999999995</v>
      </c>
      <c r="G286" s="99">
        <f>G287+G294+G301</f>
        <v>8885</v>
      </c>
      <c r="H286" s="99">
        <f>H287+H294+H301</f>
        <v>4465</v>
      </c>
    </row>
    <row r="287" spans="1:8" ht="38.25" x14ac:dyDescent="0.2">
      <c r="A287" s="16" t="s">
        <v>97</v>
      </c>
      <c r="B287" s="16" t="s">
        <v>91</v>
      </c>
      <c r="C287" s="52" t="s">
        <v>35</v>
      </c>
      <c r="D287" s="16"/>
      <c r="E287" s="48" t="s">
        <v>609</v>
      </c>
      <c r="F287" s="96">
        <f>F288+F290+F292</f>
        <v>452.9</v>
      </c>
      <c r="G287" s="96">
        <f t="shared" ref="G287:H287" si="66">G288+G290+G292</f>
        <v>485</v>
      </c>
      <c r="H287" s="96">
        <f t="shared" si="66"/>
        <v>565</v>
      </c>
    </row>
    <row r="288" spans="1:8" ht="25.5" x14ac:dyDescent="0.25">
      <c r="A288" s="16" t="s">
        <v>97</v>
      </c>
      <c r="B288" s="16" t="s">
        <v>91</v>
      </c>
      <c r="C288" s="21" t="s">
        <v>533</v>
      </c>
      <c r="D288" s="3"/>
      <c r="E288" s="101" t="s">
        <v>191</v>
      </c>
      <c r="F288" s="41">
        <f t="shared" ref="F288:H288" si="67">F289</f>
        <v>442.9</v>
      </c>
      <c r="G288" s="41">
        <f t="shared" si="67"/>
        <v>445</v>
      </c>
      <c r="H288" s="41">
        <f t="shared" si="67"/>
        <v>445</v>
      </c>
    </row>
    <row r="289" spans="1:8" ht="38.25" x14ac:dyDescent="0.2">
      <c r="A289" s="16" t="s">
        <v>97</v>
      </c>
      <c r="B289" s="16" t="s">
        <v>91</v>
      </c>
      <c r="C289" s="21" t="s">
        <v>533</v>
      </c>
      <c r="D289" s="84" t="s">
        <v>214</v>
      </c>
      <c r="E289" s="101" t="s">
        <v>215</v>
      </c>
      <c r="F289" s="41">
        <f>443-0.1</f>
        <v>442.9</v>
      </c>
      <c r="G289" s="39">
        <v>445</v>
      </c>
      <c r="H289" s="39">
        <v>445</v>
      </c>
    </row>
    <row r="290" spans="1:8" ht="25.5" x14ac:dyDescent="0.2">
      <c r="A290" s="16" t="s">
        <v>97</v>
      </c>
      <c r="B290" s="16" t="s">
        <v>91</v>
      </c>
      <c r="C290" s="21" t="s">
        <v>534</v>
      </c>
      <c r="D290" s="16"/>
      <c r="E290" s="101" t="s">
        <v>345</v>
      </c>
      <c r="F290" s="41">
        <f t="shared" ref="F290:H290" si="68">F291</f>
        <v>10</v>
      </c>
      <c r="G290" s="41">
        <f t="shared" si="68"/>
        <v>40</v>
      </c>
      <c r="H290" s="41">
        <f t="shared" si="68"/>
        <v>40</v>
      </c>
    </row>
    <row r="291" spans="1:8" ht="38.25" x14ac:dyDescent="0.2">
      <c r="A291" s="16" t="s">
        <v>97</v>
      </c>
      <c r="B291" s="16" t="s">
        <v>91</v>
      </c>
      <c r="C291" s="21" t="s">
        <v>534</v>
      </c>
      <c r="D291" s="84" t="s">
        <v>214</v>
      </c>
      <c r="E291" s="101" t="s">
        <v>215</v>
      </c>
      <c r="F291" s="41">
        <f>40-30</f>
        <v>10</v>
      </c>
      <c r="G291" s="41">
        <v>40</v>
      </c>
      <c r="H291" s="41">
        <v>40</v>
      </c>
    </row>
    <row r="292" spans="1:8" ht="38.25" x14ac:dyDescent="0.2">
      <c r="A292" s="16" t="s">
        <v>97</v>
      </c>
      <c r="B292" s="16" t="s">
        <v>91</v>
      </c>
      <c r="C292" s="21" t="s">
        <v>607</v>
      </c>
      <c r="D292" s="84"/>
      <c r="E292" s="101" t="s">
        <v>608</v>
      </c>
      <c r="F292" s="41">
        <f>F293</f>
        <v>0</v>
      </c>
      <c r="G292" s="41">
        <f t="shared" ref="G292:H292" si="69">G293</f>
        <v>0</v>
      </c>
      <c r="H292" s="41">
        <f t="shared" si="69"/>
        <v>80</v>
      </c>
    </row>
    <row r="293" spans="1:8" ht="38.25" x14ac:dyDescent="0.2">
      <c r="A293" s="16" t="s">
        <v>97</v>
      </c>
      <c r="B293" s="16" t="s">
        <v>91</v>
      </c>
      <c r="C293" s="21" t="s">
        <v>607</v>
      </c>
      <c r="D293" s="84" t="s">
        <v>214</v>
      </c>
      <c r="E293" s="101" t="s">
        <v>215</v>
      </c>
      <c r="F293" s="41">
        <v>0</v>
      </c>
      <c r="G293" s="41">
        <v>0</v>
      </c>
      <c r="H293" s="41">
        <v>80</v>
      </c>
    </row>
    <row r="294" spans="1:8" ht="25.5" x14ac:dyDescent="0.2">
      <c r="A294" s="47" t="s">
        <v>97</v>
      </c>
      <c r="B294" s="47" t="s">
        <v>91</v>
      </c>
      <c r="C294" s="52" t="s">
        <v>386</v>
      </c>
      <c r="D294" s="16"/>
      <c r="E294" s="46" t="s">
        <v>354</v>
      </c>
      <c r="F294" s="96">
        <f>F295+F297+F299</f>
        <v>1094.9000000000001</v>
      </c>
      <c r="G294" s="96">
        <f t="shared" ref="G294:H294" si="70">G295+G297+G299</f>
        <v>2800</v>
      </c>
      <c r="H294" s="96">
        <f t="shared" si="70"/>
        <v>2900</v>
      </c>
    </row>
    <row r="295" spans="1:8" ht="38.25" x14ac:dyDescent="0.2">
      <c r="A295" s="16" t="s">
        <v>97</v>
      </c>
      <c r="B295" s="16" t="s">
        <v>91</v>
      </c>
      <c r="C295" s="21" t="s">
        <v>537</v>
      </c>
      <c r="D295" s="16"/>
      <c r="E295" s="100" t="s">
        <v>192</v>
      </c>
      <c r="F295" s="41">
        <f>F296</f>
        <v>178</v>
      </c>
      <c r="G295" s="41">
        <f>G296</f>
        <v>250</v>
      </c>
      <c r="H295" s="41">
        <f>H296</f>
        <v>250</v>
      </c>
    </row>
    <row r="296" spans="1:8" ht="38.25" x14ac:dyDescent="0.2">
      <c r="A296" s="16" t="s">
        <v>97</v>
      </c>
      <c r="B296" s="16" t="s">
        <v>91</v>
      </c>
      <c r="C296" s="21" t="s">
        <v>537</v>
      </c>
      <c r="D296" s="84" t="s">
        <v>214</v>
      </c>
      <c r="E296" s="101" t="s">
        <v>215</v>
      </c>
      <c r="F296" s="41">
        <f>250-72</f>
        <v>178</v>
      </c>
      <c r="G296" s="41">
        <v>250</v>
      </c>
      <c r="H296" s="41">
        <v>250</v>
      </c>
    </row>
    <row r="297" spans="1:8" ht="25.5" x14ac:dyDescent="0.2">
      <c r="A297" s="16" t="s">
        <v>97</v>
      </c>
      <c r="B297" s="16" t="s">
        <v>91</v>
      </c>
      <c r="C297" s="21" t="s">
        <v>539</v>
      </c>
      <c r="D297" s="84"/>
      <c r="E297" s="101" t="s">
        <v>538</v>
      </c>
      <c r="F297" s="41">
        <f>F298</f>
        <v>916.9</v>
      </c>
      <c r="G297" s="41">
        <f t="shared" ref="G297:H297" si="71">G298</f>
        <v>550</v>
      </c>
      <c r="H297" s="41">
        <f t="shared" si="71"/>
        <v>550</v>
      </c>
    </row>
    <row r="298" spans="1:8" ht="38.25" x14ac:dyDescent="0.2">
      <c r="A298" s="16" t="s">
        <v>97</v>
      </c>
      <c r="B298" s="16" t="s">
        <v>91</v>
      </c>
      <c r="C298" s="21" t="s">
        <v>539</v>
      </c>
      <c r="D298" s="84" t="s">
        <v>214</v>
      </c>
      <c r="E298" s="101" t="s">
        <v>215</v>
      </c>
      <c r="F298" s="41">
        <f>590+146.9+180</f>
        <v>916.9</v>
      </c>
      <c r="G298" s="41">
        <v>550</v>
      </c>
      <c r="H298" s="41">
        <v>550</v>
      </c>
    </row>
    <row r="299" spans="1:8" ht="51" x14ac:dyDescent="0.2">
      <c r="A299" s="16" t="s">
        <v>97</v>
      </c>
      <c r="B299" s="16" t="s">
        <v>91</v>
      </c>
      <c r="C299" s="21" t="s">
        <v>540</v>
      </c>
      <c r="D299" s="16"/>
      <c r="E299" s="101" t="s">
        <v>643</v>
      </c>
      <c r="F299" s="110">
        <f t="shared" ref="F299:H299" si="72">F300</f>
        <v>0</v>
      </c>
      <c r="G299" s="41">
        <f t="shared" si="72"/>
        <v>2000</v>
      </c>
      <c r="H299" s="41">
        <f t="shared" si="72"/>
        <v>2100</v>
      </c>
    </row>
    <row r="300" spans="1:8" ht="38.25" x14ac:dyDescent="0.2">
      <c r="A300" s="16" t="s">
        <v>97</v>
      </c>
      <c r="B300" s="16" t="s">
        <v>91</v>
      </c>
      <c r="C300" s="21" t="s">
        <v>540</v>
      </c>
      <c r="D300" s="84" t="s">
        <v>214</v>
      </c>
      <c r="E300" s="101" t="s">
        <v>215</v>
      </c>
      <c r="F300" s="110">
        <v>0</v>
      </c>
      <c r="G300" s="41">
        <v>2000</v>
      </c>
      <c r="H300" s="41">
        <v>2100</v>
      </c>
    </row>
    <row r="301" spans="1:8" ht="38.25" x14ac:dyDescent="0.2">
      <c r="A301" s="16" t="s">
        <v>97</v>
      </c>
      <c r="B301" s="16" t="s">
        <v>91</v>
      </c>
      <c r="C301" s="52" t="s">
        <v>36</v>
      </c>
      <c r="D301" s="16"/>
      <c r="E301" s="46" t="s">
        <v>542</v>
      </c>
      <c r="F301" s="110">
        <f>F302+F304</f>
        <v>3397.2999999999993</v>
      </c>
      <c r="G301" s="110">
        <f t="shared" ref="G301:H301" si="73">G302+G304</f>
        <v>5600</v>
      </c>
      <c r="H301" s="110">
        <f t="shared" si="73"/>
        <v>1000</v>
      </c>
    </row>
    <row r="302" spans="1:8" ht="38.25" x14ac:dyDescent="0.2">
      <c r="A302" s="16" t="s">
        <v>97</v>
      </c>
      <c r="B302" s="16" t="s">
        <v>91</v>
      </c>
      <c r="C302" s="21" t="s">
        <v>544</v>
      </c>
      <c r="D302" s="16"/>
      <c r="E302" s="103" t="s">
        <v>543</v>
      </c>
      <c r="F302" s="110">
        <f>F303</f>
        <v>2523.9999999999991</v>
      </c>
      <c r="G302" s="110">
        <f t="shared" ref="G302:H302" si="74">G303</f>
        <v>1000</v>
      </c>
      <c r="H302" s="110">
        <f t="shared" si="74"/>
        <v>1000</v>
      </c>
    </row>
    <row r="303" spans="1:8" ht="38.25" x14ac:dyDescent="0.2">
      <c r="A303" s="16" t="s">
        <v>97</v>
      </c>
      <c r="B303" s="16" t="s">
        <v>91</v>
      </c>
      <c r="C303" s="21" t="s">
        <v>544</v>
      </c>
      <c r="D303" s="84" t="s">
        <v>214</v>
      </c>
      <c r="E303" s="101" t="s">
        <v>215</v>
      </c>
      <c r="F303" s="110">
        <f>19821.8-14859.1-3849.7+127.9+68+500+722.9-7.8</f>
        <v>2523.9999999999991</v>
      </c>
      <c r="G303" s="41">
        <v>1000</v>
      </c>
      <c r="H303" s="41">
        <v>1000</v>
      </c>
    </row>
    <row r="304" spans="1:8" ht="25.5" x14ac:dyDescent="0.2">
      <c r="A304" s="16" t="s">
        <v>97</v>
      </c>
      <c r="B304" s="16" t="s">
        <v>91</v>
      </c>
      <c r="C304" s="21" t="s">
        <v>545</v>
      </c>
      <c r="D304" s="16"/>
      <c r="E304" s="103" t="s">
        <v>388</v>
      </c>
      <c r="F304" s="110">
        <f>F305</f>
        <v>873.3</v>
      </c>
      <c r="G304" s="110">
        <f t="shared" ref="G304:H304" si="75">G305</f>
        <v>4600</v>
      </c>
      <c r="H304" s="110">
        <f t="shared" si="75"/>
        <v>0</v>
      </c>
    </row>
    <row r="305" spans="1:8" x14ac:dyDescent="0.2">
      <c r="A305" s="16" t="s">
        <v>97</v>
      </c>
      <c r="B305" s="16" t="s">
        <v>91</v>
      </c>
      <c r="C305" s="21" t="s">
        <v>545</v>
      </c>
      <c r="D305" s="112" t="s">
        <v>253</v>
      </c>
      <c r="E305" s="109" t="s">
        <v>277</v>
      </c>
      <c r="F305" s="110">
        <f>910.3-37</f>
        <v>873.3</v>
      </c>
      <c r="G305" s="41">
        <v>4600</v>
      </c>
      <c r="H305" s="41">
        <v>0</v>
      </c>
    </row>
    <row r="306" spans="1:8" ht="38.25" x14ac:dyDescent="0.2">
      <c r="A306" s="16" t="s">
        <v>97</v>
      </c>
      <c r="B306" s="16" t="s">
        <v>91</v>
      </c>
      <c r="C306" s="84" t="s">
        <v>26</v>
      </c>
      <c r="D306" s="84"/>
      <c r="E306" s="103" t="s">
        <v>40</v>
      </c>
      <c r="F306" s="41">
        <f>F307</f>
        <v>100</v>
      </c>
      <c r="G306" s="41">
        <f t="shared" ref="G306:H306" si="76">G307</f>
        <v>0</v>
      </c>
      <c r="H306" s="41">
        <f t="shared" si="76"/>
        <v>0</v>
      </c>
    </row>
    <row r="307" spans="1:8" ht="51" x14ac:dyDescent="0.2">
      <c r="A307" s="16" t="s">
        <v>97</v>
      </c>
      <c r="B307" s="16" t="s">
        <v>91</v>
      </c>
      <c r="C307" s="84" t="s">
        <v>628</v>
      </c>
      <c r="D307" s="16"/>
      <c r="E307" s="54" t="s">
        <v>627</v>
      </c>
      <c r="F307" s="41">
        <f>SUM(F308:F308)</f>
        <v>100</v>
      </c>
      <c r="G307" s="41">
        <f>SUM(G308:G308)</f>
        <v>0</v>
      </c>
      <c r="H307" s="41">
        <f>SUM(H308:H308)</f>
        <v>0</v>
      </c>
    </row>
    <row r="308" spans="1:8" ht="38.25" x14ac:dyDescent="0.2">
      <c r="A308" s="16" t="s">
        <v>97</v>
      </c>
      <c r="B308" s="16" t="s">
        <v>91</v>
      </c>
      <c r="C308" s="84" t="s">
        <v>628</v>
      </c>
      <c r="D308" s="84" t="s">
        <v>214</v>
      </c>
      <c r="E308" s="101" t="s">
        <v>215</v>
      </c>
      <c r="F308" s="39">
        <v>100</v>
      </c>
      <c r="G308" s="39">
        <v>0</v>
      </c>
      <c r="H308" s="39">
        <v>0</v>
      </c>
    </row>
    <row r="309" spans="1:8" ht="14.25" x14ac:dyDescent="0.2">
      <c r="A309" s="30" t="s">
        <v>97</v>
      </c>
      <c r="B309" s="30" t="s">
        <v>95</v>
      </c>
      <c r="C309" s="30"/>
      <c r="D309" s="30"/>
      <c r="E309" s="27" t="s">
        <v>50</v>
      </c>
      <c r="F309" s="40">
        <f>F310+F316+F352+F366+F401</f>
        <v>87476.5</v>
      </c>
      <c r="G309" s="40">
        <f>G310+G316+G352+G366</f>
        <v>28477.9</v>
      </c>
      <c r="H309" s="40">
        <f>H310+H316+H352+H366</f>
        <v>18810</v>
      </c>
    </row>
    <row r="310" spans="1:8" ht="89.25" x14ac:dyDescent="0.2">
      <c r="A310" s="5" t="s">
        <v>97</v>
      </c>
      <c r="B310" s="5" t="s">
        <v>95</v>
      </c>
      <c r="C310" s="78" t="s">
        <v>67</v>
      </c>
      <c r="D310" s="16"/>
      <c r="E310" s="63" t="s">
        <v>637</v>
      </c>
      <c r="F310" s="99">
        <f t="shared" ref="F310:H310" si="77">F311</f>
        <v>629.29999999999995</v>
      </c>
      <c r="G310" s="99">
        <f t="shared" si="77"/>
        <v>529.29999999999995</v>
      </c>
      <c r="H310" s="99">
        <f t="shared" si="77"/>
        <v>529.29999999999995</v>
      </c>
    </row>
    <row r="311" spans="1:8" ht="51" x14ac:dyDescent="0.2">
      <c r="A311" s="47" t="s">
        <v>97</v>
      </c>
      <c r="B311" s="47" t="s">
        <v>95</v>
      </c>
      <c r="C311" s="77" t="s">
        <v>68</v>
      </c>
      <c r="D311" s="16"/>
      <c r="E311" s="60" t="s">
        <v>532</v>
      </c>
      <c r="F311" s="96">
        <f>F312+F314</f>
        <v>629.29999999999995</v>
      </c>
      <c r="G311" s="96">
        <f t="shared" ref="G311:H311" si="78">G312+G314</f>
        <v>529.29999999999995</v>
      </c>
      <c r="H311" s="96">
        <f t="shared" si="78"/>
        <v>529.29999999999995</v>
      </c>
    </row>
    <row r="312" spans="1:8" ht="38.25" x14ac:dyDescent="0.2">
      <c r="A312" s="84" t="s">
        <v>97</v>
      </c>
      <c r="B312" s="84" t="s">
        <v>95</v>
      </c>
      <c r="C312" s="170" t="s">
        <v>530</v>
      </c>
      <c r="D312" s="16"/>
      <c r="E312" s="101" t="s">
        <v>806</v>
      </c>
      <c r="F312" s="41">
        <f t="shared" ref="F312:H312" si="79">F313</f>
        <v>620.29999999999995</v>
      </c>
      <c r="G312" s="41">
        <f t="shared" si="79"/>
        <v>520.29999999999995</v>
      </c>
      <c r="H312" s="41">
        <f t="shared" si="79"/>
        <v>520.29999999999995</v>
      </c>
    </row>
    <row r="313" spans="1:8" ht="38.25" x14ac:dyDescent="0.2">
      <c r="A313" s="84" t="s">
        <v>97</v>
      </c>
      <c r="B313" s="84" t="s">
        <v>95</v>
      </c>
      <c r="C313" s="170" t="s">
        <v>530</v>
      </c>
      <c r="D313" s="84" t="s">
        <v>214</v>
      </c>
      <c r="E313" s="101" t="s">
        <v>215</v>
      </c>
      <c r="F313" s="41">
        <v>620.29999999999995</v>
      </c>
      <c r="G313" s="41">
        <v>520.29999999999995</v>
      </c>
      <c r="H313" s="41">
        <v>520.29999999999995</v>
      </c>
    </row>
    <row r="314" spans="1:8" ht="38.25" x14ac:dyDescent="0.2">
      <c r="A314" s="84" t="s">
        <v>97</v>
      </c>
      <c r="B314" s="84" t="s">
        <v>95</v>
      </c>
      <c r="C314" s="170" t="s">
        <v>603</v>
      </c>
      <c r="D314" s="84"/>
      <c r="E314" s="101" t="s">
        <v>604</v>
      </c>
      <c r="F314" s="41">
        <f>F315</f>
        <v>9</v>
      </c>
      <c r="G314" s="41">
        <f t="shared" ref="G314:H314" si="80">G315</f>
        <v>9</v>
      </c>
      <c r="H314" s="41">
        <f t="shared" si="80"/>
        <v>9</v>
      </c>
    </row>
    <row r="315" spans="1:8" ht="38.25" x14ac:dyDescent="0.2">
      <c r="A315" s="84" t="s">
        <v>97</v>
      </c>
      <c r="B315" s="84" t="s">
        <v>95</v>
      </c>
      <c r="C315" s="170" t="s">
        <v>603</v>
      </c>
      <c r="D315" s="84" t="s">
        <v>214</v>
      </c>
      <c r="E315" s="101" t="s">
        <v>215</v>
      </c>
      <c r="F315" s="41">
        <v>9</v>
      </c>
      <c r="G315" s="41">
        <v>9</v>
      </c>
      <c r="H315" s="41">
        <v>9</v>
      </c>
    </row>
    <row r="316" spans="1:8" ht="89.25" x14ac:dyDescent="0.2">
      <c r="A316" s="5" t="s">
        <v>97</v>
      </c>
      <c r="B316" s="5" t="s">
        <v>95</v>
      </c>
      <c r="C316" s="73" t="s">
        <v>57</v>
      </c>
      <c r="D316" s="16"/>
      <c r="E316" s="53" t="s">
        <v>648</v>
      </c>
      <c r="F316" s="99">
        <f>F317+F328+F333+F340</f>
        <v>31360.100000000002</v>
      </c>
      <c r="G316" s="99">
        <f t="shared" ref="G316:H316" si="81">G317+G328+G333+G340</f>
        <v>16307</v>
      </c>
      <c r="H316" s="99">
        <f t="shared" si="81"/>
        <v>16307</v>
      </c>
    </row>
    <row r="317" spans="1:8" ht="51" x14ac:dyDescent="0.2">
      <c r="A317" s="84" t="s">
        <v>97</v>
      </c>
      <c r="B317" s="84" t="s">
        <v>95</v>
      </c>
      <c r="C317" s="52" t="s">
        <v>58</v>
      </c>
      <c r="D317" s="47"/>
      <c r="E317" s="48" t="s">
        <v>815</v>
      </c>
      <c r="F317" s="96">
        <f>F318+F320+F322+F324+F326</f>
        <v>11363.000000000002</v>
      </c>
      <c r="G317" s="96">
        <f t="shared" ref="G317:H317" si="82">G318+G320+G322+G324+G326</f>
        <v>5450</v>
      </c>
      <c r="H317" s="96">
        <f t="shared" si="82"/>
        <v>5450</v>
      </c>
    </row>
    <row r="318" spans="1:8" ht="38.25" x14ac:dyDescent="0.2">
      <c r="A318" s="16" t="s">
        <v>97</v>
      </c>
      <c r="B318" s="84" t="s">
        <v>95</v>
      </c>
      <c r="C318" s="74">
        <v>1210123505</v>
      </c>
      <c r="D318" s="21"/>
      <c r="E318" s="101" t="s">
        <v>559</v>
      </c>
      <c r="F318" s="41">
        <f>F319</f>
        <v>4995.4000000000005</v>
      </c>
      <c r="G318" s="41">
        <f>G319</f>
        <v>1750</v>
      </c>
      <c r="H318" s="41">
        <f>H319</f>
        <v>1750</v>
      </c>
    </row>
    <row r="319" spans="1:8" ht="38.25" x14ac:dyDescent="0.2">
      <c r="A319" s="84" t="s">
        <v>97</v>
      </c>
      <c r="B319" s="84" t="s">
        <v>95</v>
      </c>
      <c r="C319" s="74">
        <v>1210123505</v>
      </c>
      <c r="D319" s="84" t="s">
        <v>214</v>
      </c>
      <c r="E319" s="101" t="s">
        <v>215</v>
      </c>
      <c r="F319" s="39">
        <f>3473.5-275.7+100+875.8+293.2+275.7-875.8-59.2+300+491.8+337.1+136.5-77.5</f>
        <v>4995.4000000000005</v>
      </c>
      <c r="G319" s="39">
        <v>1750</v>
      </c>
      <c r="H319" s="39">
        <v>1750</v>
      </c>
    </row>
    <row r="320" spans="1:8" ht="63.75" x14ac:dyDescent="0.2">
      <c r="A320" s="84" t="s">
        <v>97</v>
      </c>
      <c r="B320" s="84" t="s">
        <v>95</v>
      </c>
      <c r="C320" s="74">
        <v>1210123510</v>
      </c>
      <c r="D320" s="21"/>
      <c r="E320" s="101" t="s">
        <v>241</v>
      </c>
      <c r="F320" s="41">
        <f>F321</f>
        <v>4043.5</v>
      </c>
      <c r="G320" s="41">
        <f>G321</f>
        <v>2850</v>
      </c>
      <c r="H320" s="41">
        <f>H321</f>
        <v>2850</v>
      </c>
    </row>
    <row r="321" spans="1:8" ht="38.25" x14ac:dyDescent="0.2">
      <c r="A321" s="16" t="s">
        <v>97</v>
      </c>
      <c r="B321" s="84" t="s">
        <v>95</v>
      </c>
      <c r="C321" s="74">
        <v>1210123510</v>
      </c>
      <c r="D321" s="84" t="s">
        <v>214</v>
      </c>
      <c r="E321" s="101" t="s">
        <v>215</v>
      </c>
      <c r="F321" s="41">
        <f>5279.4-898.9-337.1+0.1</f>
        <v>4043.5</v>
      </c>
      <c r="G321" s="41">
        <v>2850</v>
      </c>
      <c r="H321" s="41">
        <v>2850</v>
      </c>
    </row>
    <row r="322" spans="1:8" ht="25.5" x14ac:dyDescent="0.2">
      <c r="A322" s="84" t="s">
        <v>97</v>
      </c>
      <c r="B322" s="84" t="s">
        <v>95</v>
      </c>
      <c r="C322" s="74">
        <v>1210123515</v>
      </c>
      <c r="D322" s="16"/>
      <c r="E322" s="101" t="s">
        <v>24</v>
      </c>
      <c r="F322" s="41">
        <f>F323</f>
        <v>645.6</v>
      </c>
      <c r="G322" s="41">
        <f>G323</f>
        <v>500</v>
      </c>
      <c r="H322" s="41">
        <f>H323</f>
        <v>500</v>
      </c>
    </row>
    <row r="323" spans="1:8" ht="38.25" x14ac:dyDescent="0.2">
      <c r="A323" s="84" t="s">
        <v>97</v>
      </c>
      <c r="B323" s="84" t="s">
        <v>95</v>
      </c>
      <c r="C323" s="74">
        <v>1210123515</v>
      </c>
      <c r="D323" s="84" t="s">
        <v>214</v>
      </c>
      <c r="E323" s="101" t="s">
        <v>215</v>
      </c>
      <c r="F323" s="41">
        <f>500+145.6</f>
        <v>645.6</v>
      </c>
      <c r="G323" s="41">
        <v>500</v>
      </c>
      <c r="H323" s="41">
        <v>500</v>
      </c>
    </row>
    <row r="324" spans="1:8" ht="76.5" x14ac:dyDescent="0.2">
      <c r="A324" s="84" t="s">
        <v>97</v>
      </c>
      <c r="B324" s="84" t="s">
        <v>95</v>
      </c>
      <c r="C324" s="154" t="s">
        <v>687</v>
      </c>
      <c r="D324" s="84"/>
      <c r="E324" s="126" t="s">
        <v>688</v>
      </c>
      <c r="F324" s="41">
        <f>F325</f>
        <v>1378.5</v>
      </c>
      <c r="G324" s="41">
        <f t="shared" ref="G324:H324" si="83">G325</f>
        <v>0</v>
      </c>
      <c r="H324" s="41">
        <f t="shared" si="83"/>
        <v>0</v>
      </c>
    </row>
    <row r="325" spans="1:8" ht="38.25" x14ac:dyDescent="0.2">
      <c r="A325" s="84" t="s">
        <v>97</v>
      </c>
      <c r="B325" s="84" t="s">
        <v>95</v>
      </c>
      <c r="C325" s="188" t="s">
        <v>687</v>
      </c>
      <c r="D325" s="84" t="s">
        <v>214</v>
      </c>
      <c r="E325" s="101" t="s">
        <v>215</v>
      </c>
      <c r="F325" s="41">
        <f>275.7+1102.8</f>
        <v>1378.5</v>
      </c>
      <c r="G325" s="41">
        <v>0</v>
      </c>
      <c r="H325" s="41">
        <v>0</v>
      </c>
    </row>
    <row r="326" spans="1:8" ht="25.5" x14ac:dyDescent="0.2">
      <c r="A326" s="16" t="s">
        <v>97</v>
      </c>
      <c r="B326" s="84" t="s">
        <v>95</v>
      </c>
      <c r="C326" s="74">
        <v>1210223520</v>
      </c>
      <c r="D326" s="16"/>
      <c r="E326" s="101" t="s">
        <v>242</v>
      </c>
      <c r="F326" s="41">
        <f>F327</f>
        <v>300</v>
      </c>
      <c r="G326" s="41">
        <f>G327</f>
        <v>350</v>
      </c>
      <c r="H326" s="41">
        <f>H327</f>
        <v>350</v>
      </c>
    </row>
    <row r="327" spans="1:8" ht="38.25" x14ac:dyDescent="0.2">
      <c r="A327" s="84" t="s">
        <v>97</v>
      </c>
      <c r="B327" s="84" t="s">
        <v>95</v>
      </c>
      <c r="C327" s="74">
        <v>1210223520</v>
      </c>
      <c r="D327" s="84" t="s">
        <v>214</v>
      </c>
      <c r="E327" s="101" t="s">
        <v>215</v>
      </c>
      <c r="F327" s="39">
        <v>300</v>
      </c>
      <c r="G327" s="39">
        <v>350</v>
      </c>
      <c r="H327" s="39">
        <v>350</v>
      </c>
    </row>
    <row r="328" spans="1:8" ht="25.5" x14ac:dyDescent="0.2">
      <c r="A328" s="84" t="s">
        <v>97</v>
      </c>
      <c r="B328" s="84" t="s">
        <v>95</v>
      </c>
      <c r="C328" s="52" t="s">
        <v>59</v>
      </c>
      <c r="D328" s="47"/>
      <c r="E328" s="48" t="s">
        <v>27</v>
      </c>
      <c r="F328" s="96">
        <f>F329+F331</f>
        <v>1560.6</v>
      </c>
      <c r="G328" s="96">
        <f t="shared" ref="G328:H328" si="84">G329+G331</f>
        <v>1325</v>
      </c>
      <c r="H328" s="96">
        <f t="shared" si="84"/>
        <v>1325</v>
      </c>
    </row>
    <row r="329" spans="1:8" ht="25.5" x14ac:dyDescent="0.2">
      <c r="A329" s="84" t="s">
        <v>97</v>
      </c>
      <c r="B329" s="84" t="s">
        <v>95</v>
      </c>
      <c r="C329" s="80">
        <v>1220123525</v>
      </c>
      <c r="D329" s="16"/>
      <c r="E329" s="101" t="s">
        <v>193</v>
      </c>
      <c r="F329" s="41">
        <f t="shared" ref="F329:H329" si="85">F330</f>
        <v>1560.6</v>
      </c>
      <c r="G329" s="41">
        <f t="shared" si="85"/>
        <v>850</v>
      </c>
      <c r="H329" s="41">
        <f t="shared" si="85"/>
        <v>850</v>
      </c>
    </row>
    <row r="330" spans="1:8" ht="38.25" x14ac:dyDescent="0.2">
      <c r="A330" s="84" t="s">
        <v>97</v>
      </c>
      <c r="B330" s="84" t="s">
        <v>95</v>
      </c>
      <c r="C330" s="80">
        <v>1220123525</v>
      </c>
      <c r="D330" s="84" t="s">
        <v>214</v>
      </c>
      <c r="E330" s="101" t="s">
        <v>215</v>
      </c>
      <c r="F330" s="41">
        <f>1610.5-49.9</f>
        <v>1560.6</v>
      </c>
      <c r="G330" s="41">
        <v>850</v>
      </c>
      <c r="H330" s="41">
        <v>850</v>
      </c>
    </row>
    <row r="331" spans="1:8" ht="25.5" x14ac:dyDescent="0.2">
      <c r="A331" s="84" t="s">
        <v>97</v>
      </c>
      <c r="B331" s="84" t="s">
        <v>95</v>
      </c>
      <c r="C331" s="80">
        <v>1220223530</v>
      </c>
      <c r="D331" s="16"/>
      <c r="E331" s="101" t="s">
        <v>194</v>
      </c>
      <c r="F331" s="41">
        <f>F332</f>
        <v>0</v>
      </c>
      <c r="G331" s="41">
        <f>G332</f>
        <v>475</v>
      </c>
      <c r="H331" s="41">
        <f>H332</f>
        <v>475</v>
      </c>
    </row>
    <row r="332" spans="1:8" ht="38.25" x14ac:dyDescent="0.2">
      <c r="A332" s="84" t="s">
        <v>97</v>
      </c>
      <c r="B332" s="84" t="s">
        <v>95</v>
      </c>
      <c r="C332" s="80">
        <v>1220223530</v>
      </c>
      <c r="D332" s="84" t="s">
        <v>214</v>
      </c>
      <c r="E332" s="101" t="s">
        <v>215</v>
      </c>
      <c r="F332" s="39">
        <v>0</v>
      </c>
      <c r="G332" s="39">
        <v>475</v>
      </c>
      <c r="H332" s="39">
        <v>475</v>
      </c>
    </row>
    <row r="333" spans="1:8" ht="51" x14ac:dyDescent="0.2">
      <c r="A333" s="84" t="s">
        <v>97</v>
      </c>
      <c r="B333" s="84" t="s">
        <v>95</v>
      </c>
      <c r="C333" s="52" t="s">
        <v>60</v>
      </c>
      <c r="D333" s="47"/>
      <c r="E333" s="48" t="s">
        <v>816</v>
      </c>
      <c r="F333" s="96">
        <f>F334+F336+F338</f>
        <v>5240.1000000000004</v>
      </c>
      <c r="G333" s="96">
        <f t="shared" ref="G333:H333" si="86">G334+G336+G338</f>
        <v>4407</v>
      </c>
      <c r="H333" s="96">
        <f t="shared" si="86"/>
        <v>4407</v>
      </c>
    </row>
    <row r="334" spans="1:8" ht="25.5" x14ac:dyDescent="0.2">
      <c r="A334" s="84" t="s">
        <v>97</v>
      </c>
      <c r="B334" s="84" t="s">
        <v>95</v>
      </c>
      <c r="C334" s="21" t="s">
        <v>562</v>
      </c>
      <c r="D334" s="16"/>
      <c r="E334" s="101" t="s">
        <v>312</v>
      </c>
      <c r="F334" s="41">
        <f>F335</f>
        <v>2944.4</v>
      </c>
      <c r="G334" s="41">
        <f>G335</f>
        <v>3800</v>
      </c>
      <c r="H334" s="41">
        <f>H335</f>
        <v>3800</v>
      </c>
    </row>
    <row r="335" spans="1:8" ht="38.25" x14ac:dyDescent="0.2">
      <c r="A335" s="84" t="s">
        <v>97</v>
      </c>
      <c r="B335" s="84" t="s">
        <v>95</v>
      </c>
      <c r="C335" s="21" t="s">
        <v>562</v>
      </c>
      <c r="D335" s="84" t="s">
        <v>214</v>
      </c>
      <c r="E335" s="101" t="s">
        <v>215</v>
      </c>
      <c r="F335" s="41">
        <f>3800-1000+144.4</f>
        <v>2944.4</v>
      </c>
      <c r="G335" s="41">
        <v>3800</v>
      </c>
      <c r="H335" s="41">
        <v>3800</v>
      </c>
    </row>
    <row r="336" spans="1:8" ht="25.5" x14ac:dyDescent="0.2">
      <c r="A336" s="84" t="s">
        <v>97</v>
      </c>
      <c r="B336" s="84" t="s">
        <v>95</v>
      </c>
      <c r="C336" s="21" t="s">
        <v>563</v>
      </c>
      <c r="D336" s="16"/>
      <c r="E336" s="101" t="s">
        <v>25</v>
      </c>
      <c r="F336" s="41">
        <f>F337</f>
        <v>2290.6999999999998</v>
      </c>
      <c r="G336" s="41">
        <f>G337</f>
        <v>600</v>
      </c>
      <c r="H336" s="41">
        <f>H337</f>
        <v>600</v>
      </c>
    </row>
    <row r="337" spans="1:8" ht="38.25" x14ac:dyDescent="0.2">
      <c r="A337" s="84" t="s">
        <v>97</v>
      </c>
      <c r="B337" s="84" t="s">
        <v>95</v>
      </c>
      <c r="C337" s="21" t="s">
        <v>563</v>
      </c>
      <c r="D337" s="84" t="s">
        <v>214</v>
      </c>
      <c r="E337" s="101" t="s">
        <v>215</v>
      </c>
      <c r="F337" s="41">
        <f>1170+1070.7+59.2-9.2</f>
        <v>2290.6999999999998</v>
      </c>
      <c r="G337" s="41">
        <v>600</v>
      </c>
      <c r="H337" s="41">
        <v>600</v>
      </c>
    </row>
    <row r="338" spans="1:8" ht="25.5" x14ac:dyDescent="0.2">
      <c r="A338" s="84" t="s">
        <v>97</v>
      </c>
      <c r="B338" s="84" t="s">
        <v>95</v>
      </c>
      <c r="C338" s="21" t="s">
        <v>564</v>
      </c>
      <c r="D338" s="16"/>
      <c r="E338" s="101" t="s">
        <v>195</v>
      </c>
      <c r="F338" s="41">
        <f>F339</f>
        <v>5</v>
      </c>
      <c r="G338" s="41">
        <f>G339</f>
        <v>7</v>
      </c>
      <c r="H338" s="41">
        <f>H339</f>
        <v>7</v>
      </c>
    </row>
    <row r="339" spans="1:8" ht="38.25" x14ac:dyDescent="0.2">
      <c r="A339" s="84" t="s">
        <v>97</v>
      </c>
      <c r="B339" s="84" t="s">
        <v>95</v>
      </c>
      <c r="C339" s="21" t="s">
        <v>564</v>
      </c>
      <c r="D339" s="84" t="s">
        <v>214</v>
      </c>
      <c r="E339" s="101" t="s">
        <v>215</v>
      </c>
      <c r="F339" s="41">
        <v>5</v>
      </c>
      <c r="G339" s="41">
        <v>7</v>
      </c>
      <c r="H339" s="41">
        <v>7</v>
      </c>
    </row>
    <row r="340" spans="1:8" ht="51" x14ac:dyDescent="0.2">
      <c r="A340" s="84" t="s">
        <v>97</v>
      </c>
      <c r="B340" s="84" t="s">
        <v>95</v>
      </c>
      <c r="C340" s="52" t="s">
        <v>565</v>
      </c>
      <c r="D340" s="16"/>
      <c r="E340" s="60" t="s">
        <v>566</v>
      </c>
      <c r="F340" s="41">
        <f>F341+F343+F345+F347+F350</f>
        <v>13196.399999999998</v>
      </c>
      <c r="G340" s="41">
        <f t="shared" ref="G340:H340" si="87">G341+G343+G345+G347+G350</f>
        <v>5125</v>
      </c>
      <c r="H340" s="41">
        <f t="shared" si="87"/>
        <v>5125</v>
      </c>
    </row>
    <row r="341" spans="1:8" ht="25.5" x14ac:dyDescent="0.2">
      <c r="A341" s="84" t="s">
        <v>97</v>
      </c>
      <c r="B341" s="84" t="s">
        <v>95</v>
      </c>
      <c r="C341" s="21" t="s">
        <v>569</v>
      </c>
      <c r="D341" s="16"/>
      <c r="E341" s="101" t="s">
        <v>387</v>
      </c>
      <c r="F341" s="41">
        <f>F342</f>
        <v>289.20000000000005</v>
      </c>
      <c r="G341" s="41">
        <f>G342</f>
        <v>250</v>
      </c>
      <c r="H341" s="41">
        <f>H342</f>
        <v>250</v>
      </c>
    </row>
    <row r="342" spans="1:8" ht="38.25" x14ac:dyDescent="0.2">
      <c r="A342" s="84" t="s">
        <v>97</v>
      </c>
      <c r="B342" s="84" t="s">
        <v>95</v>
      </c>
      <c r="C342" s="21" t="s">
        <v>569</v>
      </c>
      <c r="D342" s="84" t="s">
        <v>214</v>
      </c>
      <c r="E342" s="101" t="s">
        <v>215</v>
      </c>
      <c r="F342" s="41">
        <f>500+162.5-29.3-344</f>
        <v>289.20000000000005</v>
      </c>
      <c r="G342" s="41">
        <v>250</v>
      </c>
      <c r="H342" s="41">
        <v>250</v>
      </c>
    </row>
    <row r="343" spans="1:8" ht="51" x14ac:dyDescent="0.2">
      <c r="A343" s="84" t="s">
        <v>97</v>
      </c>
      <c r="B343" s="84" t="s">
        <v>95</v>
      </c>
      <c r="C343" s="21" t="s">
        <v>571</v>
      </c>
      <c r="D343" s="84"/>
      <c r="E343" s="101" t="s">
        <v>570</v>
      </c>
      <c r="F343" s="41">
        <f>F344</f>
        <v>29.3</v>
      </c>
      <c r="G343" s="41">
        <f t="shared" ref="G343:H343" si="88">G344</f>
        <v>15</v>
      </c>
      <c r="H343" s="41">
        <f t="shared" si="88"/>
        <v>15</v>
      </c>
    </row>
    <row r="344" spans="1:8" ht="38.25" x14ac:dyDescent="0.2">
      <c r="A344" s="84" t="s">
        <v>97</v>
      </c>
      <c r="B344" s="84" t="s">
        <v>95</v>
      </c>
      <c r="C344" s="21" t="s">
        <v>571</v>
      </c>
      <c r="D344" s="84" t="s">
        <v>214</v>
      </c>
      <c r="E344" s="101" t="s">
        <v>215</v>
      </c>
      <c r="F344" s="41">
        <v>29.3</v>
      </c>
      <c r="G344" s="41">
        <v>15</v>
      </c>
      <c r="H344" s="41">
        <v>15</v>
      </c>
    </row>
    <row r="345" spans="1:8" ht="51" x14ac:dyDescent="0.2">
      <c r="A345" s="84" t="s">
        <v>97</v>
      </c>
      <c r="B345" s="84" t="s">
        <v>95</v>
      </c>
      <c r="C345" s="21" t="s">
        <v>579</v>
      </c>
      <c r="D345" s="84"/>
      <c r="E345" s="101" t="s">
        <v>580</v>
      </c>
      <c r="F345" s="41">
        <f>F346</f>
        <v>0</v>
      </c>
      <c r="G345" s="41">
        <f t="shared" ref="G345:H345" si="89">G346</f>
        <v>10</v>
      </c>
      <c r="H345" s="41">
        <f t="shared" si="89"/>
        <v>10</v>
      </c>
    </row>
    <row r="346" spans="1:8" ht="38.25" x14ac:dyDescent="0.2">
      <c r="A346" s="16" t="s">
        <v>97</v>
      </c>
      <c r="B346" s="16" t="s">
        <v>95</v>
      </c>
      <c r="C346" s="21" t="s">
        <v>579</v>
      </c>
      <c r="D346" s="84" t="s">
        <v>214</v>
      </c>
      <c r="E346" s="101" t="s">
        <v>215</v>
      </c>
      <c r="F346" s="41">
        <v>0</v>
      </c>
      <c r="G346" s="41">
        <v>10</v>
      </c>
      <c r="H346" s="41">
        <v>10</v>
      </c>
    </row>
    <row r="347" spans="1:8" ht="38.25" x14ac:dyDescent="0.2">
      <c r="A347" s="16" t="s">
        <v>97</v>
      </c>
      <c r="B347" s="16" t="s">
        <v>95</v>
      </c>
      <c r="C347" s="21" t="s">
        <v>575</v>
      </c>
      <c r="D347" s="84"/>
      <c r="E347" s="101" t="s">
        <v>578</v>
      </c>
      <c r="F347" s="41">
        <f>SUM(F348:F349)</f>
        <v>9492.1999999999989</v>
      </c>
      <c r="G347" s="41">
        <f t="shared" ref="G347:H347" si="90">SUM(G348:G349)</f>
        <v>3800</v>
      </c>
      <c r="H347" s="41">
        <f t="shared" si="90"/>
        <v>3800</v>
      </c>
    </row>
    <row r="348" spans="1:8" ht="38.25" x14ac:dyDescent="0.2">
      <c r="A348" s="16" t="s">
        <v>97</v>
      </c>
      <c r="B348" s="16" t="s">
        <v>95</v>
      </c>
      <c r="C348" s="21" t="s">
        <v>575</v>
      </c>
      <c r="D348" s="84" t="s">
        <v>214</v>
      </c>
      <c r="E348" s="101" t="s">
        <v>215</v>
      </c>
      <c r="F348" s="41">
        <f>9500-8.6</f>
        <v>9491.4</v>
      </c>
      <c r="G348" s="41">
        <v>3800</v>
      </c>
      <c r="H348" s="41">
        <v>3800</v>
      </c>
    </row>
    <row r="349" spans="1:8" x14ac:dyDescent="0.2">
      <c r="A349" s="16" t="s">
        <v>97</v>
      </c>
      <c r="B349" s="16" t="s">
        <v>95</v>
      </c>
      <c r="C349" s="21" t="s">
        <v>575</v>
      </c>
      <c r="D349" s="84" t="s">
        <v>693</v>
      </c>
      <c r="E349" s="54" t="s">
        <v>694</v>
      </c>
      <c r="F349" s="41">
        <v>0.8</v>
      </c>
      <c r="G349" s="41">
        <v>0</v>
      </c>
      <c r="H349" s="41">
        <v>0</v>
      </c>
    </row>
    <row r="350" spans="1:8" ht="25.5" x14ac:dyDescent="0.2">
      <c r="A350" s="16" t="s">
        <v>97</v>
      </c>
      <c r="B350" s="16" t="s">
        <v>95</v>
      </c>
      <c r="C350" s="21" t="s">
        <v>576</v>
      </c>
      <c r="D350" s="84"/>
      <c r="E350" s="101" t="s">
        <v>577</v>
      </c>
      <c r="F350" s="41">
        <f>F351</f>
        <v>3385.7</v>
      </c>
      <c r="G350" s="41">
        <f t="shared" ref="G350:H350" si="91">G351</f>
        <v>1050</v>
      </c>
      <c r="H350" s="41">
        <f t="shared" si="91"/>
        <v>1050</v>
      </c>
    </row>
    <row r="351" spans="1:8" ht="38.25" x14ac:dyDescent="0.2">
      <c r="A351" s="16" t="s">
        <v>97</v>
      </c>
      <c r="B351" s="16" t="s">
        <v>95</v>
      </c>
      <c r="C351" s="21" t="s">
        <v>576</v>
      </c>
      <c r="D351" s="84" t="s">
        <v>214</v>
      </c>
      <c r="E351" s="101" t="s">
        <v>215</v>
      </c>
      <c r="F351" s="41">
        <f>3108.9-59.4+344-7.8</f>
        <v>3385.7</v>
      </c>
      <c r="G351" s="41">
        <v>1050</v>
      </c>
      <c r="H351" s="41">
        <v>1050</v>
      </c>
    </row>
    <row r="352" spans="1:8" ht="89.25" x14ac:dyDescent="0.2">
      <c r="A352" s="5" t="s">
        <v>97</v>
      </c>
      <c r="B352" s="5" t="s">
        <v>95</v>
      </c>
      <c r="C352" s="76">
        <v>1400000000</v>
      </c>
      <c r="D352" s="16"/>
      <c r="E352" s="185" t="s">
        <v>650</v>
      </c>
      <c r="F352" s="99">
        <f>F353</f>
        <v>46054.5</v>
      </c>
      <c r="G352" s="99">
        <f>G353</f>
        <v>10141.6</v>
      </c>
      <c r="H352" s="99">
        <f>H353</f>
        <v>717.4</v>
      </c>
    </row>
    <row r="353" spans="1:8" ht="89.25" x14ac:dyDescent="0.2">
      <c r="A353" s="47" t="s">
        <v>97</v>
      </c>
      <c r="B353" s="47" t="s">
        <v>95</v>
      </c>
      <c r="C353" s="75">
        <v>1410000000</v>
      </c>
      <c r="D353" s="16"/>
      <c r="E353" s="48" t="s">
        <v>219</v>
      </c>
      <c r="F353" s="96">
        <f>F354+F356+F358+F360+F362+F364</f>
        <v>46054.5</v>
      </c>
      <c r="G353" s="96">
        <f t="shared" ref="G353:H353" si="92">G354+G356+G358+G362+G364</f>
        <v>10141.6</v>
      </c>
      <c r="H353" s="96">
        <f t="shared" si="92"/>
        <v>717.4</v>
      </c>
    </row>
    <row r="354" spans="1:8" ht="25.5" x14ac:dyDescent="0.2">
      <c r="A354" s="84" t="s">
        <v>97</v>
      </c>
      <c r="B354" s="84" t="s">
        <v>95</v>
      </c>
      <c r="C354" s="74">
        <v>1410223125</v>
      </c>
      <c r="D354" s="84"/>
      <c r="E354" s="101" t="s">
        <v>383</v>
      </c>
      <c r="F354" s="41">
        <f>F355</f>
        <v>689.6</v>
      </c>
      <c r="G354" s="41">
        <f>G355</f>
        <v>0</v>
      </c>
      <c r="H354" s="41">
        <f>H355</f>
        <v>0</v>
      </c>
    </row>
    <row r="355" spans="1:8" ht="38.25" x14ac:dyDescent="0.2">
      <c r="A355" s="84" t="s">
        <v>97</v>
      </c>
      <c r="B355" s="84" t="s">
        <v>95</v>
      </c>
      <c r="C355" s="74">
        <v>1410223125</v>
      </c>
      <c r="D355" s="84" t="s">
        <v>214</v>
      </c>
      <c r="E355" s="101" t="s">
        <v>215</v>
      </c>
      <c r="F355" s="41">
        <f>538.6+60+278.4-16.5-174.4+3.5</f>
        <v>689.6</v>
      </c>
      <c r="G355" s="41">
        <v>0</v>
      </c>
      <c r="H355" s="41">
        <v>0</v>
      </c>
    </row>
    <row r="356" spans="1:8" ht="25.5" x14ac:dyDescent="0.2">
      <c r="A356" s="84" t="s">
        <v>97</v>
      </c>
      <c r="B356" s="84" t="s">
        <v>95</v>
      </c>
      <c r="C356" s="74">
        <v>1410223130</v>
      </c>
      <c r="D356" s="84"/>
      <c r="E356" s="126" t="s">
        <v>708</v>
      </c>
      <c r="F356" s="41">
        <f>F357</f>
        <v>23651.1</v>
      </c>
      <c r="G356" s="41">
        <f t="shared" ref="G356:H356" si="93">G357</f>
        <v>0</v>
      </c>
      <c r="H356" s="41">
        <f t="shared" si="93"/>
        <v>0</v>
      </c>
    </row>
    <row r="357" spans="1:8" ht="38.25" x14ac:dyDescent="0.2">
      <c r="A357" s="84" t="s">
        <v>97</v>
      </c>
      <c r="B357" s="84" t="s">
        <v>95</v>
      </c>
      <c r="C357" s="74">
        <v>1410223130</v>
      </c>
      <c r="D357" s="84" t="s">
        <v>214</v>
      </c>
      <c r="E357" s="101" t="s">
        <v>215</v>
      </c>
      <c r="F357" s="41">
        <f>9651.1+14000</f>
        <v>23651.1</v>
      </c>
      <c r="G357" s="41">
        <v>0</v>
      </c>
      <c r="H357" s="41">
        <v>0</v>
      </c>
    </row>
    <row r="358" spans="1:8" ht="38.25" x14ac:dyDescent="0.2">
      <c r="A358" s="84" t="s">
        <v>97</v>
      </c>
      <c r="B358" s="84" t="s">
        <v>95</v>
      </c>
      <c r="C358" s="74">
        <v>1410223135</v>
      </c>
      <c r="D358" s="190"/>
      <c r="E358" s="153" t="s">
        <v>704</v>
      </c>
      <c r="F358" s="41">
        <f>F359</f>
        <v>556.4</v>
      </c>
      <c r="G358" s="41">
        <f t="shared" ref="G358:H358" si="94">G359</f>
        <v>0</v>
      </c>
      <c r="H358" s="41">
        <f t="shared" si="94"/>
        <v>0</v>
      </c>
    </row>
    <row r="359" spans="1:8" ht="38.25" x14ac:dyDescent="0.2">
      <c r="A359" s="84" t="s">
        <v>97</v>
      </c>
      <c r="B359" s="84" t="s">
        <v>95</v>
      </c>
      <c r="C359" s="74">
        <v>1410223135</v>
      </c>
      <c r="D359" s="84" t="s">
        <v>214</v>
      </c>
      <c r="E359" s="101" t="s">
        <v>215</v>
      </c>
      <c r="F359" s="41">
        <f>84.4+284.9+12.7+174.4</f>
        <v>556.4</v>
      </c>
      <c r="G359" s="41">
        <v>0</v>
      </c>
      <c r="H359" s="41">
        <v>0</v>
      </c>
    </row>
    <row r="360" spans="1:8" ht="27" customHeight="1" x14ac:dyDescent="0.2">
      <c r="A360" s="84" t="s">
        <v>97</v>
      </c>
      <c r="B360" s="84" t="s">
        <v>95</v>
      </c>
      <c r="C360" s="74">
        <v>1410211180</v>
      </c>
      <c r="D360" s="84"/>
      <c r="E360" s="101" t="s">
        <v>740</v>
      </c>
      <c r="F360" s="41">
        <v>1000</v>
      </c>
      <c r="G360" s="41">
        <v>0</v>
      </c>
      <c r="H360" s="41">
        <v>0</v>
      </c>
    </row>
    <row r="361" spans="1:8" ht="38.25" x14ac:dyDescent="0.2">
      <c r="A361" s="84" t="s">
        <v>97</v>
      </c>
      <c r="B361" s="84" t="s">
        <v>95</v>
      </c>
      <c r="C361" s="74">
        <v>1410211180</v>
      </c>
      <c r="D361" s="84" t="s">
        <v>214</v>
      </c>
      <c r="E361" s="101" t="s">
        <v>215</v>
      </c>
      <c r="F361" s="41">
        <v>1000</v>
      </c>
      <c r="G361" s="41">
        <v>0</v>
      </c>
      <c r="H361" s="41">
        <v>0</v>
      </c>
    </row>
    <row r="362" spans="1:8" ht="38.25" x14ac:dyDescent="0.2">
      <c r="A362" s="16" t="s">
        <v>97</v>
      </c>
      <c r="B362" s="16" t="s">
        <v>95</v>
      </c>
      <c r="C362" s="74" t="s">
        <v>362</v>
      </c>
      <c r="D362" s="16"/>
      <c r="E362" s="101" t="s">
        <v>327</v>
      </c>
      <c r="F362" s="41">
        <f>F363</f>
        <v>12070.4</v>
      </c>
      <c r="G362" s="41">
        <f>G363</f>
        <v>10141.6</v>
      </c>
      <c r="H362" s="41">
        <f>H363</f>
        <v>717.4</v>
      </c>
    </row>
    <row r="363" spans="1:8" ht="38.25" x14ac:dyDescent="0.2">
      <c r="A363" s="16" t="s">
        <v>97</v>
      </c>
      <c r="B363" s="16" t="s">
        <v>95</v>
      </c>
      <c r="C363" s="74" t="s">
        <v>362</v>
      </c>
      <c r="D363" s="84" t="s">
        <v>214</v>
      </c>
      <c r="E363" s="101" t="s">
        <v>215</v>
      </c>
      <c r="F363" s="41">
        <v>12070.4</v>
      </c>
      <c r="G363" s="41">
        <f>717.4+9424.2</f>
        <v>10141.6</v>
      </c>
      <c r="H363" s="41">
        <v>717.4</v>
      </c>
    </row>
    <row r="364" spans="1:8" ht="63.75" x14ac:dyDescent="0.2">
      <c r="A364" s="84" t="s">
        <v>97</v>
      </c>
      <c r="B364" s="84" t="s">
        <v>95</v>
      </c>
      <c r="C364" s="159" t="s">
        <v>366</v>
      </c>
      <c r="D364" s="16"/>
      <c r="E364" s="101" t="s">
        <v>367</v>
      </c>
      <c r="F364" s="41">
        <f>F365</f>
        <v>8087</v>
      </c>
      <c r="G364" s="41">
        <f>G365</f>
        <v>0</v>
      </c>
      <c r="H364" s="41">
        <f>H365</f>
        <v>0</v>
      </c>
    </row>
    <row r="365" spans="1:8" ht="38.25" x14ac:dyDescent="0.2">
      <c r="A365" s="84" t="s">
        <v>97</v>
      </c>
      <c r="B365" s="16" t="s">
        <v>95</v>
      </c>
      <c r="C365" s="159" t="s">
        <v>366</v>
      </c>
      <c r="D365" s="84" t="s">
        <v>214</v>
      </c>
      <c r="E365" s="101" t="s">
        <v>215</v>
      </c>
      <c r="F365" s="41">
        <f>70000-61913</f>
        <v>8087</v>
      </c>
      <c r="G365" s="41">
        <v>0</v>
      </c>
      <c r="H365" s="41">
        <v>0</v>
      </c>
    </row>
    <row r="366" spans="1:8" ht="127.5" x14ac:dyDescent="0.2">
      <c r="A366" s="5" t="s">
        <v>97</v>
      </c>
      <c r="B366" s="5" t="s">
        <v>95</v>
      </c>
      <c r="C366" s="73" t="s">
        <v>598</v>
      </c>
      <c r="D366" s="84"/>
      <c r="E366" s="187" t="s">
        <v>651</v>
      </c>
      <c r="F366" s="99">
        <f>F367+F398</f>
        <v>9332.6</v>
      </c>
      <c r="G366" s="99">
        <f>G367+G398</f>
        <v>1500</v>
      </c>
      <c r="H366" s="99">
        <f>H367+H398</f>
        <v>1256.3</v>
      </c>
    </row>
    <row r="367" spans="1:8" ht="63.75" x14ac:dyDescent="0.2">
      <c r="A367" s="47" t="s">
        <v>97</v>
      </c>
      <c r="B367" s="47" t="s">
        <v>95</v>
      </c>
      <c r="C367" s="175">
        <v>1510000000</v>
      </c>
      <c r="D367" s="84"/>
      <c r="E367" s="48" t="s">
        <v>377</v>
      </c>
      <c r="F367" s="41">
        <f>F368+F370+F372+F374+F376+F378+F380+F382+F384+F386+F388+F390+F392+F394+F396</f>
        <v>6773.9000000000005</v>
      </c>
      <c r="G367" s="41">
        <f t="shared" ref="G367:H367" si="95">G368+G370+G372+G374+G376+G378+G380+G382+G384+G386</f>
        <v>1500</v>
      </c>
      <c r="H367" s="41">
        <f t="shared" si="95"/>
        <v>1256.3</v>
      </c>
    </row>
    <row r="368" spans="1:8" ht="63.75" x14ac:dyDescent="0.2">
      <c r="A368" s="84" t="s">
        <v>97</v>
      </c>
      <c r="B368" s="16" t="s">
        <v>95</v>
      </c>
      <c r="C368" s="159" t="s">
        <v>601</v>
      </c>
      <c r="D368" s="84"/>
      <c r="E368" s="101" t="s">
        <v>599</v>
      </c>
      <c r="F368" s="41">
        <f>F369</f>
        <v>0</v>
      </c>
      <c r="G368" s="41">
        <f>G369</f>
        <v>1500</v>
      </c>
      <c r="H368" s="41">
        <f>H369</f>
        <v>1256.3</v>
      </c>
    </row>
    <row r="369" spans="1:8" ht="38.25" x14ac:dyDescent="0.2">
      <c r="A369" s="84" t="s">
        <v>97</v>
      </c>
      <c r="B369" s="16" t="s">
        <v>95</v>
      </c>
      <c r="C369" s="159" t="s">
        <v>601</v>
      </c>
      <c r="D369" s="84" t="s">
        <v>214</v>
      </c>
      <c r="E369" s="101" t="s">
        <v>215</v>
      </c>
      <c r="F369" s="41">
        <f>2381.9+734.4-3116.3</f>
        <v>0</v>
      </c>
      <c r="G369" s="41">
        <v>1500</v>
      </c>
      <c r="H369" s="41">
        <v>1256.3</v>
      </c>
    </row>
    <row r="370" spans="1:8" ht="51" x14ac:dyDescent="0.2">
      <c r="A370" s="84" t="s">
        <v>97</v>
      </c>
      <c r="B370" s="16" t="s">
        <v>95</v>
      </c>
      <c r="C370" s="51" t="s">
        <v>673</v>
      </c>
      <c r="D370" s="84"/>
      <c r="E370" s="126" t="s">
        <v>678</v>
      </c>
      <c r="F370" s="41">
        <f>F371</f>
        <v>262.5</v>
      </c>
      <c r="G370" s="41">
        <f t="shared" ref="G370:H370" si="96">G371</f>
        <v>0</v>
      </c>
      <c r="H370" s="41">
        <f t="shared" si="96"/>
        <v>0</v>
      </c>
    </row>
    <row r="371" spans="1:8" ht="38.25" x14ac:dyDescent="0.2">
      <c r="A371" s="84" t="s">
        <v>97</v>
      </c>
      <c r="B371" s="16" t="s">
        <v>95</v>
      </c>
      <c r="C371" s="51" t="s">
        <v>673</v>
      </c>
      <c r="D371" s="84" t="s">
        <v>214</v>
      </c>
      <c r="E371" s="101" t="s">
        <v>215</v>
      </c>
      <c r="F371" s="41">
        <f>114.1+148.4</f>
        <v>262.5</v>
      </c>
      <c r="G371" s="41">
        <v>0</v>
      </c>
      <c r="H371" s="41">
        <v>0</v>
      </c>
    </row>
    <row r="372" spans="1:8" ht="51" x14ac:dyDescent="0.2">
      <c r="A372" s="84" t="s">
        <v>97</v>
      </c>
      <c r="B372" s="16" t="s">
        <v>95</v>
      </c>
      <c r="C372" s="51" t="s">
        <v>674</v>
      </c>
      <c r="D372" s="84"/>
      <c r="E372" s="126" t="s">
        <v>679</v>
      </c>
      <c r="F372" s="41">
        <f>F373</f>
        <v>608.1</v>
      </c>
      <c r="G372" s="41">
        <f t="shared" ref="G372:H372" si="97">G373</f>
        <v>0</v>
      </c>
      <c r="H372" s="41">
        <f t="shared" si="97"/>
        <v>0</v>
      </c>
    </row>
    <row r="373" spans="1:8" ht="38.25" x14ac:dyDescent="0.2">
      <c r="A373" s="84" t="s">
        <v>97</v>
      </c>
      <c r="B373" s="16" t="s">
        <v>95</v>
      </c>
      <c r="C373" s="51" t="s">
        <v>674</v>
      </c>
      <c r="D373" s="84" t="s">
        <v>214</v>
      </c>
      <c r="E373" s="101" t="s">
        <v>215</v>
      </c>
      <c r="F373" s="41">
        <f>496.8+127+0.5-3.3-12.9</f>
        <v>608.1</v>
      </c>
      <c r="G373" s="41">
        <v>0</v>
      </c>
      <c r="H373" s="41">
        <v>0</v>
      </c>
    </row>
    <row r="374" spans="1:8" ht="51" x14ac:dyDescent="0.2">
      <c r="A374" s="84" t="s">
        <v>97</v>
      </c>
      <c r="B374" s="16" t="s">
        <v>95</v>
      </c>
      <c r="C374" s="51" t="s">
        <v>675</v>
      </c>
      <c r="D374" s="84"/>
      <c r="E374" s="126" t="s">
        <v>680</v>
      </c>
      <c r="F374" s="41">
        <f>F375</f>
        <v>685.1</v>
      </c>
      <c r="G374" s="41">
        <f t="shared" ref="G374:H374" si="98">G375</f>
        <v>0</v>
      </c>
      <c r="H374" s="41">
        <f t="shared" si="98"/>
        <v>0</v>
      </c>
    </row>
    <row r="375" spans="1:8" ht="38.25" x14ac:dyDescent="0.2">
      <c r="A375" s="84" t="s">
        <v>97</v>
      </c>
      <c r="B375" s="16" t="s">
        <v>95</v>
      </c>
      <c r="C375" s="51" t="s">
        <v>675</v>
      </c>
      <c r="D375" s="84" t="s">
        <v>214</v>
      </c>
      <c r="E375" s="101" t="s">
        <v>215</v>
      </c>
      <c r="F375" s="41">
        <f>561+143.5-4+0.1-15.5</f>
        <v>685.1</v>
      </c>
      <c r="G375" s="41">
        <v>0</v>
      </c>
      <c r="H375" s="41">
        <v>0</v>
      </c>
    </row>
    <row r="376" spans="1:8" ht="51" x14ac:dyDescent="0.2">
      <c r="A376" s="84" t="s">
        <v>97</v>
      </c>
      <c r="B376" s="16" t="s">
        <v>95</v>
      </c>
      <c r="C376" s="51" t="s">
        <v>676</v>
      </c>
      <c r="D376" s="84"/>
      <c r="E376" s="126" t="s">
        <v>681</v>
      </c>
      <c r="F376" s="41">
        <f>F377</f>
        <v>801.9</v>
      </c>
      <c r="G376" s="41">
        <f t="shared" ref="G376:H376" si="99">G377</f>
        <v>0</v>
      </c>
      <c r="H376" s="41">
        <f t="shared" si="99"/>
        <v>0</v>
      </c>
    </row>
    <row r="377" spans="1:8" ht="38.25" x14ac:dyDescent="0.2">
      <c r="A377" s="84" t="s">
        <v>97</v>
      </c>
      <c r="B377" s="16" t="s">
        <v>95</v>
      </c>
      <c r="C377" s="51" t="s">
        <v>676</v>
      </c>
      <c r="D377" s="84" t="s">
        <v>214</v>
      </c>
      <c r="E377" s="101" t="s">
        <v>215</v>
      </c>
      <c r="F377" s="41">
        <f>711.4+186.6-96.1</f>
        <v>801.9</v>
      </c>
      <c r="G377" s="41">
        <v>0</v>
      </c>
      <c r="H377" s="41">
        <v>0</v>
      </c>
    </row>
    <row r="378" spans="1:8" ht="51" x14ac:dyDescent="0.2">
      <c r="A378" s="84" t="s">
        <v>97</v>
      </c>
      <c r="B378" s="16" t="s">
        <v>95</v>
      </c>
      <c r="C378" s="51" t="s">
        <v>677</v>
      </c>
      <c r="D378" s="84"/>
      <c r="E378" s="126" t="s">
        <v>682</v>
      </c>
      <c r="F378" s="41">
        <f>F379</f>
        <v>610.70000000000005</v>
      </c>
      <c r="G378" s="41">
        <f t="shared" ref="G378:H378" si="100">G379</f>
        <v>0</v>
      </c>
      <c r="H378" s="41">
        <f t="shared" si="100"/>
        <v>0</v>
      </c>
    </row>
    <row r="379" spans="1:8" ht="38.25" x14ac:dyDescent="0.2">
      <c r="A379" s="84" t="s">
        <v>97</v>
      </c>
      <c r="B379" s="16" t="s">
        <v>95</v>
      </c>
      <c r="C379" s="51" t="s">
        <v>677</v>
      </c>
      <c r="D379" s="84" t="s">
        <v>214</v>
      </c>
      <c r="E379" s="101" t="s">
        <v>215</v>
      </c>
      <c r="F379" s="41">
        <f>498.6+128.4-3.3-0.1-13+0.1</f>
        <v>610.70000000000005</v>
      </c>
      <c r="G379" s="41">
        <v>0</v>
      </c>
      <c r="H379" s="41">
        <v>0</v>
      </c>
    </row>
    <row r="380" spans="1:8" ht="51" x14ac:dyDescent="0.2">
      <c r="A380" s="84" t="s">
        <v>97</v>
      </c>
      <c r="B380" s="16" t="s">
        <v>95</v>
      </c>
      <c r="C380" s="188">
        <v>1510319313</v>
      </c>
      <c r="D380" s="84"/>
      <c r="E380" s="126" t="s">
        <v>679</v>
      </c>
      <c r="F380" s="41">
        <f>F381</f>
        <v>10</v>
      </c>
      <c r="G380" s="41">
        <f t="shared" ref="G380:H380" si="101">G381</f>
        <v>0</v>
      </c>
      <c r="H380" s="41">
        <f t="shared" si="101"/>
        <v>0</v>
      </c>
    </row>
    <row r="381" spans="1:8" ht="38.25" x14ac:dyDescent="0.2">
      <c r="A381" s="84" t="s">
        <v>97</v>
      </c>
      <c r="B381" s="16" t="s">
        <v>95</v>
      </c>
      <c r="C381" s="154">
        <v>1510319313</v>
      </c>
      <c r="D381" s="84" t="s">
        <v>214</v>
      </c>
      <c r="E381" s="101" t="s">
        <v>215</v>
      </c>
      <c r="F381" s="41">
        <v>10</v>
      </c>
      <c r="G381" s="41">
        <v>0</v>
      </c>
      <c r="H381" s="41">
        <v>0</v>
      </c>
    </row>
    <row r="382" spans="1:8" ht="51" x14ac:dyDescent="0.2">
      <c r="A382" s="84" t="s">
        <v>97</v>
      </c>
      <c r="B382" s="16" t="s">
        <v>95</v>
      </c>
      <c r="C382" s="154">
        <v>1510319314</v>
      </c>
      <c r="D382" s="84"/>
      <c r="E382" s="126" t="s">
        <v>680</v>
      </c>
      <c r="F382" s="41">
        <f>F383</f>
        <v>10</v>
      </c>
      <c r="G382" s="41">
        <f t="shared" ref="G382" si="102">G383</f>
        <v>0</v>
      </c>
      <c r="H382" s="41">
        <f t="shared" ref="H382" si="103">H383</f>
        <v>0</v>
      </c>
    </row>
    <row r="383" spans="1:8" ht="38.25" x14ac:dyDescent="0.2">
      <c r="A383" s="84" t="s">
        <v>97</v>
      </c>
      <c r="B383" s="16" t="s">
        <v>95</v>
      </c>
      <c r="C383" s="188">
        <v>1510319314</v>
      </c>
      <c r="D383" s="84" t="s">
        <v>214</v>
      </c>
      <c r="E383" s="101" t="s">
        <v>215</v>
      </c>
      <c r="F383" s="41">
        <v>10</v>
      </c>
      <c r="G383" s="41">
        <v>0</v>
      </c>
      <c r="H383" s="41">
        <v>0</v>
      </c>
    </row>
    <row r="384" spans="1:8" ht="51" x14ac:dyDescent="0.2">
      <c r="A384" s="84" t="s">
        <v>97</v>
      </c>
      <c r="B384" s="16" t="s">
        <v>95</v>
      </c>
      <c r="C384" s="154">
        <v>1510319315</v>
      </c>
      <c r="D384" s="84"/>
      <c r="E384" s="126" t="s">
        <v>690</v>
      </c>
      <c r="F384" s="41">
        <f>F385</f>
        <v>10</v>
      </c>
      <c r="G384" s="41">
        <f t="shared" ref="G384" si="104">G385</f>
        <v>0</v>
      </c>
      <c r="H384" s="41">
        <f t="shared" ref="H384" si="105">H385</f>
        <v>0</v>
      </c>
    </row>
    <row r="385" spans="1:8" ht="38.25" x14ac:dyDescent="0.2">
      <c r="A385" s="84" t="s">
        <v>97</v>
      </c>
      <c r="B385" s="16" t="s">
        <v>95</v>
      </c>
      <c r="C385" s="154">
        <v>1510319315</v>
      </c>
      <c r="D385" s="84" t="s">
        <v>214</v>
      </c>
      <c r="E385" s="101" t="s">
        <v>215</v>
      </c>
      <c r="F385" s="41">
        <v>10</v>
      </c>
      <c r="G385" s="41">
        <v>0</v>
      </c>
      <c r="H385" s="41">
        <v>0</v>
      </c>
    </row>
    <row r="386" spans="1:8" ht="51" x14ac:dyDescent="0.2">
      <c r="A386" s="84" t="s">
        <v>97</v>
      </c>
      <c r="B386" s="16" t="s">
        <v>95</v>
      </c>
      <c r="C386" s="154">
        <v>1510319316</v>
      </c>
      <c r="D386" s="84"/>
      <c r="E386" s="126" t="s">
        <v>682</v>
      </c>
      <c r="F386" s="41">
        <f>F387</f>
        <v>10</v>
      </c>
      <c r="G386" s="41">
        <f t="shared" ref="G386" si="106">G387</f>
        <v>0</v>
      </c>
      <c r="H386" s="41">
        <f t="shared" ref="H386" si="107">H387</f>
        <v>0</v>
      </c>
    </row>
    <row r="387" spans="1:8" ht="38.25" x14ac:dyDescent="0.2">
      <c r="A387" s="84" t="s">
        <v>97</v>
      </c>
      <c r="B387" s="16" t="s">
        <v>95</v>
      </c>
      <c r="C387" s="154">
        <v>1510319316</v>
      </c>
      <c r="D387" s="84" t="s">
        <v>214</v>
      </c>
      <c r="E387" s="101" t="s">
        <v>215</v>
      </c>
      <c r="F387" s="41">
        <v>10</v>
      </c>
      <c r="G387" s="41">
        <v>0</v>
      </c>
      <c r="H387" s="41">
        <v>0</v>
      </c>
    </row>
    <row r="388" spans="1:8" ht="51" x14ac:dyDescent="0.2">
      <c r="A388" s="84" t="s">
        <v>97</v>
      </c>
      <c r="B388" s="16" t="s">
        <v>95</v>
      </c>
      <c r="C388" s="154">
        <v>1510319012</v>
      </c>
      <c r="D388" s="84"/>
      <c r="E388" s="126" t="s">
        <v>678</v>
      </c>
      <c r="F388" s="41">
        <f>F389</f>
        <v>1021.8</v>
      </c>
      <c r="G388" s="41">
        <f t="shared" ref="G388:H388" si="108">G389</f>
        <v>0</v>
      </c>
      <c r="H388" s="41">
        <f t="shared" si="108"/>
        <v>0</v>
      </c>
    </row>
    <row r="389" spans="1:8" ht="38.25" x14ac:dyDescent="0.2">
      <c r="A389" s="84" t="s">
        <v>97</v>
      </c>
      <c r="B389" s="16" t="s">
        <v>95</v>
      </c>
      <c r="C389" s="188">
        <v>1510319012</v>
      </c>
      <c r="D389" s="84" t="s">
        <v>214</v>
      </c>
      <c r="E389" s="101" t="s">
        <v>215</v>
      </c>
      <c r="F389" s="41">
        <v>1021.8</v>
      </c>
      <c r="G389" s="41">
        <v>0</v>
      </c>
      <c r="H389" s="41">
        <v>0</v>
      </c>
    </row>
    <row r="390" spans="1:8" ht="51" x14ac:dyDescent="0.2">
      <c r="A390" s="84" t="s">
        <v>97</v>
      </c>
      <c r="B390" s="16" t="s">
        <v>95</v>
      </c>
      <c r="C390" s="154">
        <v>1510319013</v>
      </c>
      <c r="D390" s="84"/>
      <c r="E390" s="126" t="s">
        <v>679</v>
      </c>
      <c r="F390" s="41">
        <f>F391</f>
        <v>617.9</v>
      </c>
      <c r="G390" s="41">
        <f t="shared" ref="G390:H390" si="109">G391</f>
        <v>0</v>
      </c>
      <c r="H390" s="41">
        <f t="shared" si="109"/>
        <v>0</v>
      </c>
    </row>
    <row r="391" spans="1:8" ht="38.25" x14ac:dyDescent="0.2">
      <c r="A391" s="84" t="s">
        <v>97</v>
      </c>
      <c r="B391" s="16" t="s">
        <v>95</v>
      </c>
      <c r="C391" s="154">
        <v>1510319013</v>
      </c>
      <c r="D391" s="84" t="s">
        <v>214</v>
      </c>
      <c r="E391" s="101" t="s">
        <v>215</v>
      </c>
      <c r="F391" s="41">
        <f>634.4-16.5</f>
        <v>617.9</v>
      </c>
      <c r="G391" s="41">
        <v>0</v>
      </c>
      <c r="H391" s="41">
        <v>0</v>
      </c>
    </row>
    <row r="392" spans="1:8" ht="51" x14ac:dyDescent="0.2">
      <c r="A392" s="84" t="s">
        <v>97</v>
      </c>
      <c r="B392" s="16" t="s">
        <v>95</v>
      </c>
      <c r="C392" s="154">
        <v>1510319014</v>
      </c>
      <c r="D392" s="84"/>
      <c r="E392" s="126" t="s">
        <v>680</v>
      </c>
      <c r="F392" s="41">
        <f>F393</f>
        <v>694.8</v>
      </c>
      <c r="G392" s="41">
        <f t="shared" ref="G392" si="110">G393</f>
        <v>0</v>
      </c>
      <c r="H392" s="41">
        <f t="shared" ref="H392" si="111">H393</f>
        <v>0</v>
      </c>
    </row>
    <row r="393" spans="1:8" ht="38.25" x14ac:dyDescent="0.2">
      <c r="A393" s="84" t="s">
        <v>97</v>
      </c>
      <c r="B393" s="16" t="s">
        <v>95</v>
      </c>
      <c r="C393" s="154">
        <v>1510319014</v>
      </c>
      <c r="D393" s="84" t="s">
        <v>214</v>
      </c>
      <c r="E393" s="101" t="s">
        <v>215</v>
      </c>
      <c r="F393" s="41">
        <f>714.5-19.7</f>
        <v>694.8</v>
      </c>
      <c r="G393" s="41">
        <v>0</v>
      </c>
      <c r="H393" s="41">
        <v>0</v>
      </c>
    </row>
    <row r="394" spans="1:8" ht="51" x14ac:dyDescent="0.2">
      <c r="A394" s="84" t="s">
        <v>97</v>
      </c>
      <c r="B394" s="16" t="s">
        <v>95</v>
      </c>
      <c r="C394" s="154">
        <v>1510319015</v>
      </c>
      <c r="D394" s="84"/>
      <c r="E394" s="126" t="s">
        <v>691</v>
      </c>
      <c r="F394" s="41">
        <f>F395</f>
        <v>810.8</v>
      </c>
      <c r="G394" s="41">
        <f t="shared" ref="G394" si="112">G395</f>
        <v>0</v>
      </c>
      <c r="H394" s="41">
        <f t="shared" ref="H394" si="113">H395</f>
        <v>0</v>
      </c>
    </row>
    <row r="395" spans="1:8" ht="38.25" x14ac:dyDescent="0.2">
      <c r="A395" s="84" t="s">
        <v>97</v>
      </c>
      <c r="B395" s="16" t="s">
        <v>95</v>
      </c>
      <c r="C395" s="154">
        <v>1510319015</v>
      </c>
      <c r="D395" s="84" t="s">
        <v>214</v>
      </c>
      <c r="E395" s="101" t="s">
        <v>215</v>
      </c>
      <c r="F395" s="41">
        <f>908-97.2</f>
        <v>810.8</v>
      </c>
      <c r="G395" s="41">
        <v>0</v>
      </c>
      <c r="H395" s="41">
        <v>0</v>
      </c>
    </row>
    <row r="396" spans="1:8" ht="51" x14ac:dyDescent="0.2">
      <c r="A396" s="84" t="s">
        <v>97</v>
      </c>
      <c r="B396" s="16" t="s">
        <v>95</v>
      </c>
      <c r="C396" s="154">
        <v>1510319016</v>
      </c>
      <c r="D396" s="84"/>
      <c r="E396" s="126" t="s">
        <v>692</v>
      </c>
      <c r="F396" s="41">
        <f>F397</f>
        <v>620.29999999999995</v>
      </c>
      <c r="G396" s="41">
        <f t="shared" ref="G396" si="114">G397</f>
        <v>0</v>
      </c>
      <c r="H396" s="41">
        <f t="shared" ref="H396" si="115">H397</f>
        <v>0</v>
      </c>
    </row>
    <row r="397" spans="1:8" ht="38.25" x14ac:dyDescent="0.2">
      <c r="A397" s="84" t="s">
        <v>97</v>
      </c>
      <c r="B397" s="16" t="s">
        <v>95</v>
      </c>
      <c r="C397" s="154">
        <v>1510319016</v>
      </c>
      <c r="D397" s="84" t="s">
        <v>214</v>
      </c>
      <c r="E397" s="101" t="s">
        <v>215</v>
      </c>
      <c r="F397" s="41">
        <f>636.9-16.6</f>
        <v>620.29999999999995</v>
      </c>
      <c r="G397" s="41">
        <v>0</v>
      </c>
      <c r="H397" s="41">
        <v>0</v>
      </c>
    </row>
    <row r="398" spans="1:8" ht="63.75" x14ac:dyDescent="0.2">
      <c r="A398" s="84" t="s">
        <v>97</v>
      </c>
      <c r="B398" s="16" t="s">
        <v>95</v>
      </c>
      <c r="C398" s="175">
        <v>1520000000</v>
      </c>
      <c r="D398" s="84"/>
      <c r="E398" s="48" t="s">
        <v>602</v>
      </c>
      <c r="F398" s="41">
        <f>F399</f>
        <v>2558.6999999999998</v>
      </c>
      <c r="G398" s="41">
        <f t="shared" ref="G398:H399" si="116">G399</f>
        <v>0</v>
      </c>
      <c r="H398" s="41">
        <f t="shared" si="116"/>
        <v>0</v>
      </c>
    </row>
    <row r="399" spans="1:8" ht="25.5" x14ac:dyDescent="0.2">
      <c r="A399" s="112" t="s">
        <v>97</v>
      </c>
      <c r="B399" s="124" t="s">
        <v>95</v>
      </c>
      <c r="C399" s="184">
        <v>1520224007</v>
      </c>
      <c r="D399" s="112"/>
      <c r="E399" s="101" t="s">
        <v>630</v>
      </c>
      <c r="F399" s="110">
        <f>F400</f>
        <v>2558.6999999999998</v>
      </c>
      <c r="G399" s="110">
        <f t="shared" si="116"/>
        <v>0</v>
      </c>
      <c r="H399" s="110">
        <f t="shared" si="116"/>
        <v>0</v>
      </c>
    </row>
    <row r="400" spans="1:8" ht="38.25" x14ac:dyDescent="0.2">
      <c r="A400" s="112" t="s">
        <v>97</v>
      </c>
      <c r="B400" s="124" t="s">
        <v>95</v>
      </c>
      <c r="C400" s="184">
        <v>1520224007</v>
      </c>
      <c r="D400" s="112" t="s">
        <v>214</v>
      </c>
      <c r="E400" s="101" t="s">
        <v>215</v>
      </c>
      <c r="F400" s="41">
        <f>2222.1+336.7-0.2+0.1</f>
        <v>2558.6999999999998</v>
      </c>
      <c r="G400" s="110">
        <v>0</v>
      </c>
      <c r="H400" s="110">
        <v>0</v>
      </c>
    </row>
    <row r="401" spans="1:8" ht="38.25" x14ac:dyDescent="0.2">
      <c r="A401" s="84" t="s">
        <v>97</v>
      </c>
      <c r="B401" s="16" t="s">
        <v>95</v>
      </c>
      <c r="C401" s="84" t="s">
        <v>26</v>
      </c>
      <c r="D401" s="84"/>
      <c r="E401" s="103" t="s">
        <v>40</v>
      </c>
      <c r="F401" s="41">
        <f>F402</f>
        <v>100</v>
      </c>
      <c r="G401" s="41">
        <f t="shared" ref="G401:H401" si="117">G402</f>
        <v>0</v>
      </c>
      <c r="H401" s="41">
        <f t="shared" si="117"/>
        <v>0</v>
      </c>
    </row>
    <row r="402" spans="1:8" ht="51" x14ac:dyDescent="0.2">
      <c r="A402" s="84" t="s">
        <v>97</v>
      </c>
      <c r="B402" s="16" t="s">
        <v>95</v>
      </c>
      <c r="C402" s="84" t="s">
        <v>628</v>
      </c>
      <c r="D402" s="16"/>
      <c r="E402" s="54" t="s">
        <v>627</v>
      </c>
      <c r="F402" s="41">
        <f>SUM(F403:F403)</f>
        <v>100</v>
      </c>
      <c r="G402" s="41">
        <f>SUM(G403:G403)</f>
        <v>0</v>
      </c>
      <c r="H402" s="41">
        <f>SUM(H403:H403)</f>
        <v>0</v>
      </c>
    </row>
    <row r="403" spans="1:8" ht="38.25" x14ac:dyDescent="0.2">
      <c r="A403" s="84" t="s">
        <v>97</v>
      </c>
      <c r="B403" s="16" t="s">
        <v>95</v>
      </c>
      <c r="C403" s="84" t="s">
        <v>628</v>
      </c>
      <c r="D403" s="84" t="s">
        <v>214</v>
      </c>
      <c r="E403" s="101" t="s">
        <v>215</v>
      </c>
      <c r="F403" s="39">
        <v>100</v>
      </c>
      <c r="G403" s="39">
        <v>0</v>
      </c>
      <c r="H403" s="39">
        <v>0</v>
      </c>
    </row>
    <row r="404" spans="1:8" ht="42.75" x14ac:dyDescent="0.2">
      <c r="A404" s="30" t="s">
        <v>97</v>
      </c>
      <c r="B404" s="30" t="s">
        <v>97</v>
      </c>
      <c r="C404" s="30"/>
      <c r="D404" s="30"/>
      <c r="E404" s="50" t="s">
        <v>518</v>
      </c>
      <c r="F404" s="96">
        <f>F405</f>
        <v>1409.1000000000001</v>
      </c>
      <c r="G404" s="96">
        <f t="shared" ref="G404:H404" si="118">G405</f>
        <v>1180.9000000000001</v>
      </c>
      <c r="H404" s="96">
        <f t="shared" si="118"/>
        <v>1180.9000000000001</v>
      </c>
    </row>
    <row r="405" spans="1:8" ht="63.75" x14ac:dyDescent="0.2">
      <c r="A405" s="5" t="s">
        <v>97</v>
      </c>
      <c r="B405" s="5" t="s">
        <v>97</v>
      </c>
      <c r="C405" s="76">
        <v>400000000</v>
      </c>
      <c r="D405" s="31"/>
      <c r="E405" s="64" t="s">
        <v>397</v>
      </c>
      <c r="F405" s="99">
        <f>F406</f>
        <v>1409.1000000000001</v>
      </c>
      <c r="G405" s="99">
        <f t="shared" ref="G405:H405" si="119">G406</f>
        <v>1180.9000000000001</v>
      </c>
      <c r="H405" s="99">
        <f t="shared" si="119"/>
        <v>1180.9000000000001</v>
      </c>
    </row>
    <row r="406" spans="1:8" ht="140.25" x14ac:dyDescent="0.2">
      <c r="A406" s="84" t="s">
        <v>97</v>
      </c>
      <c r="B406" s="84" t="s">
        <v>97</v>
      </c>
      <c r="C406" s="75">
        <v>430000000</v>
      </c>
      <c r="D406" s="16"/>
      <c r="E406" s="122" t="s">
        <v>517</v>
      </c>
      <c r="F406" s="39">
        <f>F407+F409</f>
        <v>1409.1000000000001</v>
      </c>
      <c r="G406" s="39">
        <f t="shared" ref="G406:H406" si="120">G407+G409</f>
        <v>1180.9000000000001</v>
      </c>
      <c r="H406" s="39">
        <f t="shared" si="120"/>
        <v>1180.9000000000001</v>
      </c>
    </row>
    <row r="407" spans="1:8" ht="102" x14ac:dyDescent="0.2">
      <c r="A407" s="84" t="s">
        <v>97</v>
      </c>
      <c r="B407" s="84" t="s">
        <v>97</v>
      </c>
      <c r="C407" s="80">
        <v>430127310</v>
      </c>
      <c r="D407" s="16"/>
      <c r="E407" s="101" t="s">
        <v>341</v>
      </c>
      <c r="F407" s="41">
        <f>F408</f>
        <v>1228.2</v>
      </c>
      <c r="G407" s="41">
        <f>G408</f>
        <v>1000</v>
      </c>
      <c r="H407" s="41">
        <f>H408</f>
        <v>1000</v>
      </c>
    </row>
    <row r="408" spans="1:8" ht="63.75" x14ac:dyDescent="0.2">
      <c r="A408" s="84" t="s">
        <v>97</v>
      </c>
      <c r="B408" s="84" t="s">
        <v>97</v>
      </c>
      <c r="C408" s="80">
        <v>430127310</v>
      </c>
      <c r="D408" s="16" t="s">
        <v>13</v>
      </c>
      <c r="E408" s="101" t="s">
        <v>329</v>
      </c>
      <c r="F408" s="41">
        <f>1000+235.4-7.2</f>
        <v>1228.2</v>
      </c>
      <c r="G408" s="41">
        <v>1000</v>
      </c>
      <c r="H408" s="41">
        <v>1000</v>
      </c>
    </row>
    <row r="409" spans="1:8" ht="114.75" x14ac:dyDescent="0.2">
      <c r="A409" s="84" t="s">
        <v>97</v>
      </c>
      <c r="B409" s="84" t="s">
        <v>97</v>
      </c>
      <c r="C409" s="80">
        <v>430127320</v>
      </c>
      <c r="D409" s="16"/>
      <c r="E409" s="101" t="s">
        <v>519</v>
      </c>
      <c r="F409" s="41">
        <f>F410</f>
        <v>180.9</v>
      </c>
      <c r="G409" s="41">
        <f t="shared" ref="G409:H409" si="121">G410</f>
        <v>180.9</v>
      </c>
      <c r="H409" s="41">
        <f t="shared" si="121"/>
        <v>180.9</v>
      </c>
    </row>
    <row r="410" spans="1:8" ht="63.75" x14ac:dyDescent="0.2">
      <c r="A410" s="84" t="s">
        <v>97</v>
      </c>
      <c r="B410" s="84" t="s">
        <v>97</v>
      </c>
      <c r="C410" s="80">
        <v>430127320</v>
      </c>
      <c r="D410" s="16" t="s">
        <v>13</v>
      </c>
      <c r="E410" s="101" t="s">
        <v>329</v>
      </c>
      <c r="F410" s="41">
        <v>180.9</v>
      </c>
      <c r="G410" s="41">
        <v>180.9</v>
      </c>
      <c r="H410" s="41">
        <v>180.9</v>
      </c>
    </row>
    <row r="411" spans="1:8" ht="15.75" x14ac:dyDescent="0.25">
      <c r="A411" s="4" t="s">
        <v>106</v>
      </c>
      <c r="B411" s="3"/>
      <c r="C411" s="3"/>
      <c r="D411" s="3"/>
      <c r="E411" s="10" t="s">
        <v>107</v>
      </c>
      <c r="F411" s="252">
        <f>F412+F427+F462+F511+F516+F551</f>
        <v>586547.80000000005</v>
      </c>
      <c r="G411" s="95">
        <f>G412+G427+G462+G511+G516+G551</f>
        <v>557289.1</v>
      </c>
      <c r="H411" s="95">
        <f>H412+H427+H462+H511+H516+H551</f>
        <v>557020.19999999995</v>
      </c>
    </row>
    <row r="412" spans="1:8" s="37" customFormat="1" ht="14.25" x14ac:dyDescent="0.2">
      <c r="A412" s="35" t="s">
        <v>106</v>
      </c>
      <c r="B412" s="35" t="s">
        <v>90</v>
      </c>
      <c r="C412" s="35"/>
      <c r="D412" s="35"/>
      <c r="E412" s="45" t="s">
        <v>109</v>
      </c>
      <c r="F412" s="58">
        <f>F413</f>
        <v>150863.9</v>
      </c>
      <c r="G412" s="58">
        <f t="shared" ref="G412:H412" si="122">G413</f>
        <v>142850.59999999998</v>
      </c>
      <c r="H412" s="58">
        <f t="shared" si="122"/>
        <v>142612.59999999998</v>
      </c>
    </row>
    <row r="413" spans="1:8" ht="76.5" x14ac:dyDescent="0.2">
      <c r="A413" s="16" t="s">
        <v>106</v>
      </c>
      <c r="B413" s="16" t="s">
        <v>90</v>
      </c>
      <c r="C413" s="21" t="s">
        <v>75</v>
      </c>
      <c r="D413" s="35"/>
      <c r="E413" s="64" t="s">
        <v>635</v>
      </c>
      <c r="F413" s="62">
        <f t="shared" ref="F413:H413" si="123">F414</f>
        <v>150863.9</v>
      </c>
      <c r="G413" s="62">
        <f t="shared" si="123"/>
        <v>142850.59999999998</v>
      </c>
      <c r="H413" s="62">
        <f t="shared" si="123"/>
        <v>142612.59999999998</v>
      </c>
    </row>
    <row r="414" spans="1:8" ht="25.5" x14ac:dyDescent="0.2">
      <c r="A414" s="16" t="s">
        <v>106</v>
      </c>
      <c r="B414" s="16" t="s">
        <v>90</v>
      </c>
      <c r="C414" s="52" t="s">
        <v>76</v>
      </c>
      <c r="D414" s="35"/>
      <c r="E414" s="46" t="s">
        <v>411</v>
      </c>
      <c r="F414" s="97">
        <f>F415+F417+F419+F421+F423+F425</f>
        <v>150863.9</v>
      </c>
      <c r="G414" s="97">
        <f t="shared" ref="G414:H414" si="124">G415+G417+G419+G421+G423+G425</f>
        <v>142850.59999999998</v>
      </c>
      <c r="H414" s="97">
        <f t="shared" si="124"/>
        <v>142612.59999999998</v>
      </c>
    </row>
    <row r="415" spans="1:8" ht="56.25" customHeight="1" x14ac:dyDescent="0.2">
      <c r="A415" s="56" t="s">
        <v>106</v>
      </c>
      <c r="B415" s="56" t="s">
        <v>90</v>
      </c>
      <c r="C415" s="21" t="s">
        <v>401</v>
      </c>
      <c r="D415" s="21"/>
      <c r="E415" s="101" t="s">
        <v>400</v>
      </c>
      <c r="F415" s="97">
        <f>F416</f>
        <v>84139.6</v>
      </c>
      <c r="G415" s="97">
        <f t="shared" ref="G415:H415" si="125">G416</f>
        <v>79437.399999999994</v>
      </c>
      <c r="H415" s="97">
        <f t="shared" si="125"/>
        <v>79437.399999999994</v>
      </c>
    </row>
    <row r="416" spans="1:8" x14ac:dyDescent="0.2">
      <c r="A416" s="56" t="s">
        <v>106</v>
      </c>
      <c r="B416" s="56" t="s">
        <v>90</v>
      </c>
      <c r="C416" s="21" t="s">
        <v>401</v>
      </c>
      <c r="D416" s="21" t="s">
        <v>228</v>
      </c>
      <c r="E416" s="101" t="s">
        <v>227</v>
      </c>
      <c r="F416" s="162">
        <f>79437.3+4702.3</f>
        <v>84139.6</v>
      </c>
      <c r="G416" s="162">
        <v>79437.399999999994</v>
      </c>
      <c r="H416" s="162">
        <v>79437.399999999994</v>
      </c>
    </row>
    <row r="417" spans="1:8" ht="76.5" x14ac:dyDescent="0.25">
      <c r="A417" s="56" t="s">
        <v>106</v>
      </c>
      <c r="B417" s="56" t="s">
        <v>90</v>
      </c>
      <c r="C417" s="161" t="s">
        <v>403</v>
      </c>
      <c r="D417" s="21"/>
      <c r="E417" s="101" t="s">
        <v>402</v>
      </c>
      <c r="F417" s="97">
        <f>F418</f>
        <v>65418.399999999994</v>
      </c>
      <c r="G417" s="97">
        <f t="shared" ref="G417:H417" si="126">G418</f>
        <v>63413.2</v>
      </c>
      <c r="H417" s="97">
        <f t="shared" si="126"/>
        <v>63175.199999999997</v>
      </c>
    </row>
    <row r="418" spans="1:8" ht="15" x14ac:dyDescent="0.25">
      <c r="A418" s="56" t="s">
        <v>106</v>
      </c>
      <c r="B418" s="56" t="s">
        <v>90</v>
      </c>
      <c r="C418" s="161" t="s">
        <v>403</v>
      </c>
      <c r="D418" s="21" t="s">
        <v>228</v>
      </c>
      <c r="E418" s="101" t="s">
        <v>227</v>
      </c>
      <c r="F418" s="231">
        <f>65069.6-432+23.2-16.3+402.8+363.7+7.4</f>
        <v>65418.399999999994</v>
      </c>
      <c r="G418" s="97">
        <v>63413.2</v>
      </c>
      <c r="H418" s="97">
        <v>63175.199999999997</v>
      </c>
    </row>
    <row r="419" spans="1:8" ht="63.75" x14ac:dyDescent="0.25">
      <c r="A419" s="56" t="s">
        <v>106</v>
      </c>
      <c r="B419" s="56" t="s">
        <v>90</v>
      </c>
      <c r="C419" s="229" t="s">
        <v>799</v>
      </c>
      <c r="D419" s="21"/>
      <c r="E419" s="101" t="s">
        <v>800</v>
      </c>
      <c r="F419" s="97">
        <f>F420</f>
        <v>882</v>
      </c>
      <c r="G419" s="97">
        <f t="shared" ref="G419:H421" si="127">G420</f>
        <v>0</v>
      </c>
      <c r="H419" s="97">
        <f t="shared" si="127"/>
        <v>0</v>
      </c>
    </row>
    <row r="420" spans="1:8" ht="15" x14ac:dyDescent="0.25">
      <c r="A420" s="56" t="s">
        <v>106</v>
      </c>
      <c r="B420" s="56" t="s">
        <v>90</v>
      </c>
      <c r="C420" s="227" t="s">
        <v>799</v>
      </c>
      <c r="D420" s="21" t="s">
        <v>228</v>
      </c>
      <c r="E420" s="101" t="s">
        <v>227</v>
      </c>
      <c r="F420" s="163">
        <f>874.7+7.3</f>
        <v>882</v>
      </c>
      <c r="G420" s="97">
        <v>0</v>
      </c>
      <c r="H420" s="97">
        <v>0</v>
      </c>
    </row>
    <row r="421" spans="1:8" ht="77.25" customHeight="1" x14ac:dyDescent="0.25">
      <c r="A421" s="56" t="s">
        <v>106</v>
      </c>
      <c r="B421" s="56" t="s">
        <v>90</v>
      </c>
      <c r="C421" s="229" t="s">
        <v>807</v>
      </c>
      <c r="D421" s="21"/>
      <c r="E421" s="126" t="s">
        <v>808</v>
      </c>
      <c r="F421" s="97">
        <f>F422</f>
        <v>8.9</v>
      </c>
      <c r="G421" s="97">
        <f t="shared" si="127"/>
        <v>0</v>
      </c>
      <c r="H421" s="97">
        <f t="shared" si="127"/>
        <v>0</v>
      </c>
    </row>
    <row r="422" spans="1:8" ht="15" x14ac:dyDescent="0.25">
      <c r="A422" s="56" t="s">
        <v>106</v>
      </c>
      <c r="B422" s="56" t="s">
        <v>90</v>
      </c>
      <c r="C422" s="229" t="s">
        <v>807</v>
      </c>
      <c r="D422" s="21" t="s">
        <v>228</v>
      </c>
      <c r="E422" s="101" t="s">
        <v>227</v>
      </c>
      <c r="F422" s="162">
        <f>16.3-7.4</f>
        <v>8.9</v>
      </c>
      <c r="G422" s="97">
        <v>0</v>
      </c>
      <c r="H422" s="97">
        <v>0</v>
      </c>
    </row>
    <row r="423" spans="1:8" ht="53.25" customHeight="1" x14ac:dyDescent="0.2">
      <c r="A423" s="56" t="s">
        <v>106</v>
      </c>
      <c r="B423" s="56" t="s">
        <v>90</v>
      </c>
      <c r="C423" s="21" t="s">
        <v>406</v>
      </c>
      <c r="D423" s="57"/>
      <c r="E423" s="117" t="s">
        <v>405</v>
      </c>
      <c r="F423" s="97">
        <f>F424</f>
        <v>300</v>
      </c>
      <c r="G423" s="97">
        <f t="shared" ref="G423:H423" si="128">G424</f>
        <v>0</v>
      </c>
      <c r="H423" s="97">
        <f t="shared" si="128"/>
        <v>0</v>
      </c>
    </row>
    <row r="424" spans="1:8" x14ac:dyDescent="0.2">
      <c r="A424" s="56" t="s">
        <v>106</v>
      </c>
      <c r="B424" s="56" t="s">
        <v>90</v>
      </c>
      <c r="C424" s="21" t="s">
        <v>406</v>
      </c>
      <c r="D424" s="21" t="s">
        <v>228</v>
      </c>
      <c r="E424" s="101" t="s">
        <v>227</v>
      </c>
      <c r="F424" s="97">
        <v>300</v>
      </c>
      <c r="G424" s="97">
        <v>0</v>
      </c>
      <c r="H424" s="97">
        <v>0</v>
      </c>
    </row>
    <row r="425" spans="1:8" ht="63.75" x14ac:dyDescent="0.2">
      <c r="A425" s="56" t="s">
        <v>106</v>
      </c>
      <c r="B425" s="56" t="s">
        <v>90</v>
      </c>
      <c r="C425" s="57" t="s">
        <v>407</v>
      </c>
      <c r="D425" s="21"/>
      <c r="E425" s="101" t="s">
        <v>389</v>
      </c>
      <c r="F425" s="97">
        <f>F426</f>
        <v>115</v>
      </c>
      <c r="G425" s="97">
        <f t="shared" ref="G425:H425" si="129">G426</f>
        <v>0</v>
      </c>
      <c r="H425" s="97">
        <f t="shared" si="129"/>
        <v>0</v>
      </c>
    </row>
    <row r="426" spans="1:8" x14ac:dyDescent="0.2">
      <c r="A426" s="56" t="s">
        <v>106</v>
      </c>
      <c r="B426" s="56" t="s">
        <v>90</v>
      </c>
      <c r="C426" s="57" t="s">
        <v>407</v>
      </c>
      <c r="D426" s="21" t="s">
        <v>228</v>
      </c>
      <c r="E426" s="101" t="s">
        <v>227</v>
      </c>
      <c r="F426" s="97">
        <v>115</v>
      </c>
      <c r="G426" s="97">
        <v>0</v>
      </c>
      <c r="H426" s="97">
        <v>0</v>
      </c>
    </row>
    <row r="427" spans="1:8" s="37" customFormat="1" ht="14.25" x14ac:dyDescent="0.2">
      <c r="A427" s="35" t="s">
        <v>106</v>
      </c>
      <c r="B427" s="35" t="s">
        <v>91</v>
      </c>
      <c r="C427" s="35"/>
      <c r="D427" s="35"/>
      <c r="E427" s="45" t="s">
        <v>110</v>
      </c>
      <c r="F427" s="42">
        <f>F428</f>
        <v>354536.00000000006</v>
      </c>
      <c r="G427" s="42">
        <f t="shared" ref="G427:H427" si="130">G428</f>
        <v>339187.30000000005</v>
      </c>
      <c r="H427" s="42">
        <f t="shared" si="130"/>
        <v>339456.5</v>
      </c>
    </row>
    <row r="428" spans="1:8" s="37" customFormat="1" ht="77.25" x14ac:dyDescent="0.25">
      <c r="A428" s="16" t="s">
        <v>106</v>
      </c>
      <c r="B428" s="16" t="s">
        <v>91</v>
      </c>
      <c r="C428" s="21" t="s">
        <v>75</v>
      </c>
      <c r="D428" s="35"/>
      <c r="E428" s="64" t="s">
        <v>635</v>
      </c>
      <c r="F428" s="65">
        <f t="shared" ref="F428:H428" si="131">F429</f>
        <v>354536.00000000006</v>
      </c>
      <c r="G428" s="65">
        <f t="shared" si="131"/>
        <v>339187.30000000005</v>
      </c>
      <c r="H428" s="65">
        <f t="shared" si="131"/>
        <v>339456.5</v>
      </c>
    </row>
    <row r="429" spans="1:8" s="37" customFormat="1" ht="37.5" customHeight="1" x14ac:dyDescent="0.2">
      <c r="A429" s="47" t="s">
        <v>106</v>
      </c>
      <c r="B429" s="47" t="s">
        <v>91</v>
      </c>
      <c r="C429" s="52" t="s">
        <v>77</v>
      </c>
      <c r="D429" s="21"/>
      <c r="E429" s="46" t="s">
        <v>619</v>
      </c>
      <c r="F429" s="97">
        <f>F430+F432+F434+F436+F438+F440+F442+F444+F446+F448+F450+F452+F454+F456+F458+F460</f>
        <v>354536.00000000006</v>
      </c>
      <c r="G429" s="97">
        <f t="shared" ref="G429:H429" si="132">G430+G432+G434+G436+G438+G440+G442+G444+G446+G448+G450+G452+G454+G456+G458+G460</f>
        <v>339187.30000000005</v>
      </c>
      <c r="H429" s="97">
        <f t="shared" si="132"/>
        <v>339456.5</v>
      </c>
    </row>
    <row r="430" spans="1:8" s="37" customFormat="1" ht="76.5" x14ac:dyDescent="0.2">
      <c r="A430" s="56" t="s">
        <v>106</v>
      </c>
      <c r="B430" s="92" t="s">
        <v>91</v>
      </c>
      <c r="C430" s="83" t="s">
        <v>415</v>
      </c>
      <c r="D430" s="84"/>
      <c r="E430" s="101" t="s">
        <v>414</v>
      </c>
      <c r="F430" s="97">
        <f>F431</f>
        <v>214831.2</v>
      </c>
      <c r="G430" s="97">
        <f t="shared" ref="G430:H430" si="133">G431</f>
        <v>209914.5</v>
      </c>
      <c r="H430" s="97">
        <f t="shared" si="133"/>
        <v>209914.5</v>
      </c>
    </row>
    <row r="431" spans="1:8" s="37" customFormat="1" ht="14.25" x14ac:dyDescent="0.2">
      <c r="A431" s="56" t="s">
        <v>106</v>
      </c>
      <c r="B431" s="92" t="s">
        <v>91</v>
      </c>
      <c r="C431" s="57" t="s">
        <v>415</v>
      </c>
      <c r="D431" s="21" t="s">
        <v>228</v>
      </c>
      <c r="E431" s="101" t="s">
        <v>227</v>
      </c>
      <c r="F431" s="163">
        <f>210061.5-147.4+4917.1</f>
        <v>214831.2</v>
      </c>
      <c r="G431" s="163">
        <f>210062.1-147.6</f>
        <v>209914.5</v>
      </c>
      <c r="H431" s="163">
        <f>210062.1-147.6</f>
        <v>209914.5</v>
      </c>
    </row>
    <row r="432" spans="1:8" s="37" customFormat="1" ht="63.75" x14ac:dyDescent="0.2">
      <c r="A432" s="16" t="s">
        <v>106</v>
      </c>
      <c r="B432" s="16" t="s">
        <v>91</v>
      </c>
      <c r="C432" s="57" t="s">
        <v>416</v>
      </c>
      <c r="D432" s="21"/>
      <c r="E432" s="101" t="s">
        <v>293</v>
      </c>
      <c r="F432" s="97">
        <f>F433</f>
        <v>76153.700000000012</v>
      </c>
      <c r="G432" s="97">
        <f t="shared" ref="G432:H432" si="134">G433</f>
        <v>72917.2</v>
      </c>
      <c r="H432" s="97">
        <f t="shared" si="134"/>
        <v>75356.5</v>
      </c>
    </row>
    <row r="433" spans="1:8" s="37" customFormat="1" ht="14.25" x14ac:dyDescent="0.2">
      <c r="A433" s="56" t="s">
        <v>106</v>
      </c>
      <c r="B433" s="92" t="s">
        <v>91</v>
      </c>
      <c r="C433" s="57" t="s">
        <v>416</v>
      </c>
      <c r="D433" s="21" t="s">
        <v>228</v>
      </c>
      <c r="E433" s="101" t="s">
        <v>227</v>
      </c>
      <c r="F433" s="231">
        <f>76437.5-496+281.2+149.5+452-10.9-402.8-261.9+5.1</f>
        <v>76153.700000000012</v>
      </c>
      <c r="G433" s="97">
        <f>75586.5-2669.3</f>
        <v>72917.2</v>
      </c>
      <c r="H433" s="97">
        <v>75356.5</v>
      </c>
    </row>
    <row r="434" spans="1:8" s="37" customFormat="1" ht="63.75" x14ac:dyDescent="0.2">
      <c r="A434" s="56" t="s">
        <v>106</v>
      </c>
      <c r="B434" s="92" t="s">
        <v>91</v>
      </c>
      <c r="C434" s="57" t="s">
        <v>418</v>
      </c>
      <c r="D434" s="21"/>
      <c r="E434" s="101" t="s">
        <v>417</v>
      </c>
      <c r="F434" s="97">
        <f>F435</f>
        <v>15780.2</v>
      </c>
      <c r="G434" s="97">
        <f t="shared" ref="G434:H434" si="135">G435</f>
        <v>15780.2</v>
      </c>
      <c r="H434" s="97">
        <f t="shared" si="135"/>
        <v>15780.2</v>
      </c>
    </row>
    <row r="435" spans="1:8" s="37" customFormat="1" ht="14.25" x14ac:dyDescent="0.2">
      <c r="A435" s="16" t="s">
        <v>106</v>
      </c>
      <c r="B435" s="16" t="s">
        <v>91</v>
      </c>
      <c r="C435" s="21" t="s">
        <v>418</v>
      </c>
      <c r="D435" s="21" t="s">
        <v>228</v>
      </c>
      <c r="E435" s="101" t="s">
        <v>227</v>
      </c>
      <c r="F435" s="162">
        <v>15780.2</v>
      </c>
      <c r="G435" s="162">
        <v>15780.2</v>
      </c>
      <c r="H435" s="162">
        <v>15780.2</v>
      </c>
    </row>
    <row r="436" spans="1:8" s="37" customFormat="1" ht="51.75" x14ac:dyDescent="0.25">
      <c r="A436" s="56" t="s">
        <v>106</v>
      </c>
      <c r="B436" s="92" t="s">
        <v>91</v>
      </c>
      <c r="C436" s="229" t="s">
        <v>801</v>
      </c>
      <c r="D436" s="21"/>
      <c r="E436" s="126" t="s">
        <v>802</v>
      </c>
      <c r="F436" s="163">
        <f>F437</f>
        <v>570.70000000000005</v>
      </c>
      <c r="G436" s="163">
        <f t="shared" ref="G436:H436" si="136">G437</f>
        <v>0</v>
      </c>
      <c r="H436" s="163">
        <f t="shared" si="136"/>
        <v>0</v>
      </c>
    </row>
    <row r="437" spans="1:8" s="37" customFormat="1" ht="15" x14ac:dyDescent="0.25">
      <c r="A437" s="16" t="s">
        <v>106</v>
      </c>
      <c r="B437" s="16" t="s">
        <v>91</v>
      </c>
      <c r="C437" s="229" t="s">
        <v>801</v>
      </c>
      <c r="D437" s="21" t="s">
        <v>228</v>
      </c>
      <c r="E437" s="101" t="s">
        <v>227</v>
      </c>
      <c r="F437" s="162">
        <f>580.5-9.8</f>
        <v>570.70000000000005</v>
      </c>
      <c r="G437" s="163">
        <v>0</v>
      </c>
      <c r="H437" s="163">
        <v>0</v>
      </c>
    </row>
    <row r="438" spans="1:8" s="37" customFormat="1" ht="64.5" x14ac:dyDescent="0.25">
      <c r="A438" s="56" t="s">
        <v>106</v>
      </c>
      <c r="B438" s="92" t="s">
        <v>91</v>
      </c>
      <c r="C438" s="229" t="s">
        <v>810</v>
      </c>
      <c r="D438" s="21"/>
      <c r="E438" s="126" t="s">
        <v>809</v>
      </c>
      <c r="F438" s="162">
        <f>F439</f>
        <v>5.8000000000000007</v>
      </c>
      <c r="G438" s="162">
        <f t="shared" ref="G438:H438" si="137">G439</f>
        <v>0</v>
      </c>
      <c r="H438" s="162">
        <f t="shared" si="137"/>
        <v>0</v>
      </c>
    </row>
    <row r="439" spans="1:8" s="37" customFormat="1" ht="15" x14ac:dyDescent="0.25">
      <c r="A439" s="56" t="s">
        <v>106</v>
      </c>
      <c r="B439" s="92" t="s">
        <v>91</v>
      </c>
      <c r="C439" s="229" t="s">
        <v>810</v>
      </c>
      <c r="D439" s="21" t="s">
        <v>228</v>
      </c>
      <c r="E439" s="101" t="s">
        <v>227</v>
      </c>
      <c r="F439" s="162">
        <f>10.9-5.1</f>
        <v>5.8000000000000007</v>
      </c>
      <c r="G439" s="163">
        <v>0</v>
      </c>
      <c r="H439" s="163">
        <v>0</v>
      </c>
    </row>
    <row r="440" spans="1:8" s="37" customFormat="1" ht="51" x14ac:dyDescent="0.2">
      <c r="A440" s="16" t="s">
        <v>106</v>
      </c>
      <c r="B440" s="16" t="s">
        <v>91</v>
      </c>
      <c r="C440" s="57" t="s">
        <v>421</v>
      </c>
      <c r="D440" s="21"/>
      <c r="E440" s="101" t="s">
        <v>422</v>
      </c>
      <c r="F440" s="97">
        <f>F441</f>
        <v>2953.8</v>
      </c>
      <c r="G440" s="97">
        <f t="shared" ref="G440:H440" si="138">G441</f>
        <v>0</v>
      </c>
      <c r="H440" s="97">
        <f t="shared" si="138"/>
        <v>0</v>
      </c>
    </row>
    <row r="441" spans="1:8" s="37" customFormat="1" ht="14.25" x14ac:dyDescent="0.2">
      <c r="A441" s="16" t="s">
        <v>106</v>
      </c>
      <c r="B441" s="16" t="s">
        <v>91</v>
      </c>
      <c r="C441" s="57" t="s">
        <v>421</v>
      </c>
      <c r="D441" s="21" t="s">
        <v>228</v>
      </c>
      <c r="E441" s="101" t="s">
        <v>227</v>
      </c>
      <c r="F441" s="97">
        <f>1491+1294.4+168.4</f>
        <v>2953.8</v>
      </c>
      <c r="G441" s="97">
        <v>0</v>
      </c>
      <c r="H441" s="97">
        <v>0</v>
      </c>
    </row>
    <row r="442" spans="1:8" s="37" customFormat="1" ht="63.75" x14ac:dyDescent="0.2">
      <c r="A442" s="16" t="s">
        <v>106</v>
      </c>
      <c r="B442" s="16" t="s">
        <v>91</v>
      </c>
      <c r="C442" s="57" t="s">
        <v>423</v>
      </c>
      <c r="D442" s="57"/>
      <c r="E442" s="153" t="s">
        <v>424</v>
      </c>
      <c r="F442" s="97">
        <f>F443</f>
        <v>676.4</v>
      </c>
      <c r="G442" s="97">
        <f t="shared" ref="G442:H442" si="139">G443</f>
        <v>0</v>
      </c>
      <c r="H442" s="97">
        <f t="shared" si="139"/>
        <v>0</v>
      </c>
    </row>
    <row r="443" spans="1:8" s="37" customFormat="1" ht="14.25" x14ac:dyDescent="0.2">
      <c r="A443" s="16" t="s">
        <v>106</v>
      </c>
      <c r="B443" s="16" t="s">
        <v>91</v>
      </c>
      <c r="C443" s="57" t="s">
        <v>423</v>
      </c>
      <c r="D443" s="21" t="s">
        <v>228</v>
      </c>
      <c r="E443" s="101" t="s">
        <v>227</v>
      </c>
      <c r="F443" s="97">
        <f>423.8+200+52.6</f>
        <v>676.4</v>
      </c>
      <c r="G443" s="97">
        <v>0</v>
      </c>
      <c r="H443" s="97">
        <v>0</v>
      </c>
    </row>
    <row r="444" spans="1:8" s="37" customFormat="1" ht="38.25" x14ac:dyDescent="0.2">
      <c r="A444" s="16" t="s">
        <v>106</v>
      </c>
      <c r="B444" s="16" t="s">
        <v>91</v>
      </c>
      <c r="C444" s="193" t="s">
        <v>729</v>
      </c>
      <c r="D444" s="21"/>
      <c r="E444" s="54" t="s">
        <v>728</v>
      </c>
      <c r="F444" s="97">
        <f>F445</f>
        <v>500</v>
      </c>
      <c r="G444" s="97">
        <f t="shared" ref="G444:H444" si="140">G445</f>
        <v>0</v>
      </c>
      <c r="H444" s="97">
        <f t="shared" si="140"/>
        <v>0</v>
      </c>
    </row>
    <row r="445" spans="1:8" s="37" customFormat="1" ht="14.25" x14ac:dyDescent="0.2">
      <c r="A445" s="16" t="s">
        <v>106</v>
      </c>
      <c r="B445" s="16" t="s">
        <v>91</v>
      </c>
      <c r="C445" s="193" t="s">
        <v>729</v>
      </c>
      <c r="D445" s="21" t="s">
        <v>228</v>
      </c>
      <c r="E445" s="101" t="s">
        <v>227</v>
      </c>
      <c r="F445" s="97">
        <v>500</v>
      </c>
      <c r="G445" s="97">
        <v>0</v>
      </c>
      <c r="H445" s="97">
        <v>0</v>
      </c>
    </row>
    <row r="446" spans="1:8" s="37" customFormat="1" ht="38.25" x14ac:dyDescent="0.2">
      <c r="A446" s="16" t="s">
        <v>106</v>
      </c>
      <c r="B446" s="16" t="s">
        <v>91</v>
      </c>
      <c r="C446" s="195" t="s">
        <v>732</v>
      </c>
      <c r="D446" s="21"/>
      <c r="E446" s="153" t="s">
        <v>733</v>
      </c>
      <c r="F446" s="97">
        <f>F447</f>
        <v>160</v>
      </c>
      <c r="G446" s="97">
        <f t="shared" ref="G446:H446" si="141">G447</f>
        <v>0</v>
      </c>
      <c r="H446" s="97">
        <f t="shared" si="141"/>
        <v>0</v>
      </c>
    </row>
    <row r="447" spans="1:8" s="37" customFormat="1" ht="14.25" x14ac:dyDescent="0.2">
      <c r="A447" s="16" t="s">
        <v>106</v>
      </c>
      <c r="B447" s="16" t="s">
        <v>91</v>
      </c>
      <c r="C447" s="195" t="s">
        <v>732</v>
      </c>
      <c r="D447" s="21" t="s">
        <v>228</v>
      </c>
      <c r="E447" s="101" t="s">
        <v>227</v>
      </c>
      <c r="F447" s="97">
        <v>160</v>
      </c>
      <c r="G447" s="97">
        <v>0</v>
      </c>
      <c r="H447" s="97">
        <v>0</v>
      </c>
    </row>
    <row r="448" spans="1:8" s="37" customFormat="1" ht="38.25" x14ac:dyDescent="0.2">
      <c r="A448" s="16" t="s">
        <v>106</v>
      </c>
      <c r="B448" s="16" t="s">
        <v>91</v>
      </c>
      <c r="C448" s="57" t="s">
        <v>426</v>
      </c>
      <c r="D448" s="21"/>
      <c r="E448" s="101" t="s">
        <v>316</v>
      </c>
      <c r="F448" s="97">
        <f>F449</f>
        <v>5360.4</v>
      </c>
      <c r="G448" s="97">
        <f t="shared" ref="G448:H448" si="142">G449</f>
        <v>5360.4</v>
      </c>
      <c r="H448" s="97">
        <f t="shared" si="142"/>
        <v>5360.4</v>
      </c>
    </row>
    <row r="449" spans="1:8" s="37" customFormat="1" ht="14.25" x14ac:dyDescent="0.2">
      <c r="A449" s="16" t="s">
        <v>106</v>
      </c>
      <c r="B449" s="16" t="s">
        <v>91</v>
      </c>
      <c r="C449" s="57" t="s">
        <v>426</v>
      </c>
      <c r="D449" s="21" t="s">
        <v>228</v>
      </c>
      <c r="E449" s="101" t="s">
        <v>227</v>
      </c>
      <c r="F449" s="163">
        <v>5360.4</v>
      </c>
      <c r="G449" s="163">
        <v>5360.4</v>
      </c>
      <c r="H449" s="163">
        <v>5360.4</v>
      </c>
    </row>
    <row r="450" spans="1:8" s="37" customFormat="1" ht="76.5" x14ac:dyDescent="0.2">
      <c r="A450" s="16" t="s">
        <v>106</v>
      </c>
      <c r="B450" s="16" t="s">
        <v>91</v>
      </c>
      <c r="C450" s="21" t="s">
        <v>427</v>
      </c>
      <c r="D450" s="21"/>
      <c r="E450" s="101" t="s">
        <v>137</v>
      </c>
      <c r="F450" s="97">
        <f>F451</f>
        <v>14770.3</v>
      </c>
      <c r="G450" s="97">
        <f t="shared" ref="G450:H450" si="143">G451</f>
        <v>17439.599999999999</v>
      </c>
      <c r="H450" s="97">
        <f t="shared" si="143"/>
        <v>14770.3</v>
      </c>
    </row>
    <row r="451" spans="1:8" s="37" customFormat="1" ht="14.25" x14ac:dyDescent="0.2">
      <c r="A451" s="84" t="s">
        <v>106</v>
      </c>
      <c r="B451" s="16" t="s">
        <v>91</v>
      </c>
      <c r="C451" s="21" t="s">
        <v>427</v>
      </c>
      <c r="D451" s="21" t="s">
        <v>228</v>
      </c>
      <c r="E451" s="101" t="s">
        <v>227</v>
      </c>
      <c r="F451" s="97">
        <v>14770.3</v>
      </c>
      <c r="G451" s="97">
        <f>14770.3+2669.3</f>
        <v>17439.599999999999</v>
      </c>
      <c r="H451" s="97">
        <v>14770.3</v>
      </c>
    </row>
    <row r="452" spans="1:8" s="37" customFormat="1" ht="76.5" x14ac:dyDescent="0.2">
      <c r="A452" s="16" t="s">
        <v>106</v>
      </c>
      <c r="B452" s="16" t="s">
        <v>91</v>
      </c>
      <c r="C452" s="21" t="s">
        <v>428</v>
      </c>
      <c r="D452" s="21"/>
      <c r="E452" s="101" t="s">
        <v>632</v>
      </c>
      <c r="F452" s="97">
        <f>F453</f>
        <v>287.5</v>
      </c>
      <c r="G452" s="97">
        <f t="shared" ref="G452:H452" si="144">G453</f>
        <v>0</v>
      </c>
      <c r="H452" s="97">
        <f t="shared" si="144"/>
        <v>0</v>
      </c>
    </row>
    <row r="453" spans="1:8" s="37" customFormat="1" ht="14.25" x14ac:dyDescent="0.2">
      <c r="A453" s="16" t="s">
        <v>106</v>
      </c>
      <c r="B453" s="16" t="s">
        <v>91</v>
      </c>
      <c r="C453" s="21" t="s">
        <v>428</v>
      </c>
      <c r="D453" s="21" t="s">
        <v>228</v>
      </c>
      <c r="E453" s="101" t="s">
        <v>227</v>
      </c>
      <c r="F453" s="41">
        <f>497-78-131.5</f>
        <v>287.5</v>
      </c>
      <c r="G453" s="41">
        <v>0</v>
      </c>
      <c r="H453" s="41">
        <v>0</v>
      </c>
    </row>
    <row r="454" spans="1:8" s="37" customFormat="1" ht="63.75" x14ac:dyDescent="0.2">
      <c r="A454" s="16" t="s">
        <v>106</v>
      </c>
      <c r="B454" s="16" t="s">
        <v>91</v>
      </c>
      <c r="C454" s="21" t="s">
        <v>431</v>
      </c>
      <c r="D454" s="84"/>
      <c r="E454" s="55" t="s">
        <v>391</v>
      </c>
      <c r="F454" s="41">
        <f>F455</f>
        <v>18083.2</v>
      </c>
      <c r="G454" s="41">
        <f t="shared" ref="G454:H454" si="145">G455</f>
        <v>17775.400000000001</v>
      </c>
      <c r="H454" s="41">
        <f t="shared" si="145"/>
        <v>18274.599999999999</v>
      </c>
    </row>
    <row r="455" spans="1:8" s="37" customFormat="1" ht="14.25" x14ac:dyDescent="0.2">
      <c r="A455" s="16" t="s">
        <v>106</v>
      </c>
      <c r="B455" s="16" t="s">
        <v>91</v>
      </c>
      <c r="C455" s="21" t="s">
        <v>431</v>
      </c>
      <c r="D455" s="21" t="s">
        <v>228</v>
      </c>
      <c r="E455" s="101" t="s">
        <v>227</v>
      </c>
      <c r="F455" s="162">
        <v>18083.2</v>
      </c>
      <c r="G455" s="162">
        <v>17775.400000000001</v>
      </c>
      <c r="H455" s="162">
        <v>18274.599999999999</v>
      </c>
    </row>
    <row r="456" spans="1:8" s="37" customFormat="1" ht="63.75" x14ac:dyDescent="0.2">
      <c r="A456" s="16" t="s">
        <v>106</v>
      </c>
      <c r="B456" s="16" t="s">
        <v>91</v>
      </c>
      <c r="C456" s="21" t="s">
        <v>610</v>
      </c>
      <c r="D456" s="21"/>
      <c r="E456" s="101" t="s">
        <v>611</v>
      </c>
      <c r="F456" s="41">
        <f>F457</f>
        <v>3732.8</v>
      </c>
      <c r="G456" s="41">
        <f t="shared" ref="G456:H456" si="146">G457</f>
        <v>0</v>
      </c>
      <c r="H456" s="41">
        <f t="shared" si="146"/>
        <v>0</v>
      </c>
    </row>
    <row r="457" spans="1:8" s="37" customFormat="1" ht="14.25" x14ac:dyDescent="0.2">
      <c r="A457" s="16" t="s">
        <v>106</v>
      </c>
      <c r="B457" s="16" t="s">
        <v>91</v>
      </c>
      <c r="C457" s="21" t="s">
        <v>610</v>
      </c>
      <c r="D457" s="21" t="s">
        <v>228</v>
      </c>
      <c r="E457" s="101" t="s">
        <v>227</v>
      </c>
      <c r="F457" s="41">
        <f>4063-330.2</f>
        <v>3732.8</v>
      </c>
      <c r="G457" s="41">
        <v>0</v>
      </c>
      <c r="H457" s="41">
        <v>0</v>
      </c>
    </row>
    <row r="458" spans="1:8" s="37" customFormat="1" ht="38.25" x14ac:dyDescent="0.2">
      <c r="A458" s="16" t="s">
        <v>106</v>
      </c>
      <c r="B458" s="16" t="s">
        <v>91</v>
      </c>
      <c r="C458" s="183" t="s">
        <v>712</v>
      </c>
      <c r="D458" s="21"/>
      <c r="E458" s="100" t="s">
        <v>714</v>
      </c>
      <c r="F458" s="41">
        <f>F459</f>
        <v>247</v>
      </c>
      <c r="G458" s="41">
        <f t="shared" ref="G458:H458" si="147">G459</f>
        <v>0</v>
      </c>
      <c r="H458" s="41">
        <f t="shared" si="147"/>
        <v>0</v>
      </c>
    </row>
    <row r="459" spans="1:8" s="37" customFormat="1" ht="14.25" x14ac:dyDescent="0.2">
      <c r="A459" s="16" t="s">
        <v>106</v>
      </c>
      <c r="B459" s="16" t="s">
        <v>91</v>
      </c>
      <c r="C459" s="183" t="s">
        <v>712</v>
      </c>
      <c r="D459" s="21" t="s">
        <v>228</v>
      </c>
      <c r="E459" s="101" t="s">
        <v>227</v>
      </c>
      <c r="F459" s="41">
        <v>247</v>
      </c>
      <c r="G459" s="41">
        <v>0</v>
      </c>
      <c r="H459" s="41">
        <v>0</v>
      </c>
    </row>
    <row r="460" spans="1:8" s="37" customFormat="1" ht="38.25" x14ac:dyDescent="0.2">
      <c r="A460" s="16" t="s">
        <v>106</v>
      </c>
      <c r="B460" s="16" t="s">
        <v>91</v>
      </c>
      <c r="C460" s="193" t="s">
        <v>725</v>
      </c>
      <c r="D460" s="21"/>
      <c r="E460" s="100" t="s">
        <v>714</v>
      </c>
      <c r="F460" s="41">
        <f>F461</f>
        <v>423</v>
      </c>
      <c r="G460" s="41">
        <f t="shared" ref="G460:H460" si="148">G461</f>
        <v>0</v>
      </c>
      <c r="H460" s="41">
        <f t="shared" si="148"/>
        <v>0</v>
      </c>
    </row>
    <row r="461" spans="1:8" s="37" customFormat="1" ht="14.25" x14ac:dyDescent="0.2">
      <c r="A461" s="16" t="s">
        <v>106</v>
      </c>
      <c r="B461" s="16" t="s">
        <v>91</v>
      </c>
      <c r="C461" s="193" t="s">
        <v>725</v>
      </c>
      <c r="D461" s="21" t="s">
        <v>228</v>
      </c>
      <c r="E461" s="101" t="s">
        <v>227</v>
      </c>
      <c r="F461" s="41">
        <v>423</v>
      </c>
      <c r="G461" s="41">
        <v>0</v>
      </c>
      <c r="H461" s="41">
        <v>0</v>
      </c>
    </row>
    <row r="462" spans="1:8" s="37" customFormat="1" ht="14.25" x14ac:dyDescent="0.2">
      <c r="A462" s="35" t="s">
        <v>106</v>
      </c>
      <c r="B462" s="35" t="s">
        <v>95</v>
      </c>
      <c r="C462" s="35"/>
      <c r="D462" s="35"/>
      <c r="E462" s="46" t="s">
        <v>158</v>
      </c>
      <c r="F462" s="42">
        <f>F463+F492+F508</f>
        <v>59658.80000000001</v>
      </c>
      <c r="G462" s="42">
        <f>G463+G492+G508</f>
        <v>54681.2</v>
      </c>
      <c r="H462" s="42">
        <f>H463+H492+H508</f>
        <v>54381.2</v>
      </c>
    </row>
    <row r="463" spans="1:8" s="37" customFormat="1" ht="76.5" x14ac:dyDescent="0.2">
      <c r="A463" s="5" t="s">
        <v>106</v>
      </c>
      <c r="B463" s="5" t="s">
        <v>95</v>
      </c>
      <c r="C463" s="73" t="s">
        <v>75</v>
      </c>
      <c r="D463" s="21"/>
      <c r="E463" s="64" t="s">
        <v>635</v>
      </c>
      <c r="F463" s="62">
        <f>F464+F489</f>
        <v>44079.400000000009</v>
      </c>
      <c r="G463" s="62">
        <f>G464+G489</f>
        <v>40138.799999999996</v>
      </c>
      <c r="H463" s="62">
        <f>H464+H489</f>
        <v>39838.799999999996</v>
      </c>
    </row>
    <row r="464" spans="1:8" s="37" customFormat="1" ht="38.25" x14ac:dyDescent="0.2">
      <c r="A464" s="16" t="s">
        <v>106</v>
      </c>
      <c r="B464" s="84" t="s">
        <v>95</v>
      </c>
      <c r="C464" s="52" t="s">
        <v>435</v>
      </c>
      <c r="D464" s="35"/>
      <c r="E464" s="46" t="s">
        <v>436</v>
      </c>
      <c r="F464" s="97">
        <f>F465+F467+F469+F471+F473+F475+F477+F479+F481+F483+F485+F487</f>
        <v>44029.400000000009</v>
      </c>
      <c r="G464" s="97">
        <f>G465+G467+G469+G471+G473+G475+G477+G479+G481+G483+G485+G487</f>
        <v>40088.799999999996</v>
      </c>
      <c r="H464" s="97">
        <f>H465+H467+H469+H471+H473+H475+H477+H479+H481+H483+H485+H487</f>
        <v>39788.799999999996</v>
      </c>
    </row>
    <row r="465" spans="1:8" s="37" customFormat="1" ht="76.5" x14ac:dyDescent="0.2">
      <c r="A465" s="16" t="s">
        <v>106</v>
      </c>
      <c r="B465" s="84" t="s">
        <v>95</v>
      </c>
      <c r="C465" s="57" t="s">
        <v>439</v>
      </c>
      <c r="D465" s="16"/>
      <c r="E465" s="101" t="s">
        <v>438</v>
      </c>
      <c r="F465" s="97">
        <f>F466</f>
        <v>31117.900000000005</v>
      </c>
      <c r="G465" s="97">
        <f t="shared" ref="G465:H465" si="149">G466</f>
        <v>32506.3</v>
      </c>
      <c r="H465" s="97">
        <f t="shared" si="149"/>
        <v>32206.3</v>
      </c>
    </row>
    <row r="466" spans="1:8" s="37" customFormat="1" ht="14.25" x14ac:dyDescent="0.2">
      <c r="A466" s="16" t="s">
        <v>106</v>
      </c>
      <c r="B466" s="84" t="s">
        <v>95</v>
      </c>
      <c r="C466" s="57" t="s">
        <v>439</v>
      </c>
      <c r="D466" s="21" t="s">
        <v>228</v>
      </c>
      <c r="E466" s="101" t="s">
        <v>227</v>
      </c>
      <c r="F466" s="97">
        <f>32611.3-72+140.7-4583.6-20.6-4.3+344.8+1.9+83.2+2616.5</f>
        <v>31117.900000000005</v>
      </c>
      <c r="G466" s="97">
        <v>32506.3</v>
      </c>
      <c r="H466" s="97">
        <v>32206.3</v>
      </c>
    </row>
    <row r="467" spans="1:8" s="37" customFormat="1" ht="51" x14ac:dyDescent="0.2">
      <c r="A467" s="16" t="s">
        <v>106</v>
      </c>
      <c r="B467" s="84" t="s">
        <v>95</v>
      </c>
      <c r="C467" s="193" t="s">
        <v>753</v>
      </c>
      <c r="D467" s="21"/>
      <c r="E467" s="153" t="s">
        <v>755</v>
      </c>
      <c r="F467" s="97">
        <f>SUM(F468:F468)</f>
        <v>1992.0999999999995</v>
      </c>
      <c r="G467" s="97">
        <f>SUM(G468:G468)</f>
        <v>0</v>
      </c>
      <c r="H467" s="97">
        <f>SUM(H468:H468)</f>
        <v>0</v>
      </c>
    </row>
    <row r="468" spans="1:8" s="37" customFormat="1" ht="14.25" x14ac:dyDescent="0.2">
      <c r="A468" s="16" t="s">
        <v>106</v>
      </c>
      <c r="B468" s="84" t="s">
        <v>95</v>
      </c>
      <c r="C468" s="193" t="s">
        <v>753</v>
      </c>
      <c r="D468" s="21" t="s">
        <v>228</v>
      </c>
      <c r="E468" s="101" t="s">
        <v>227</v>
      </c>
      <c r="F468" s="97">
        <f>4629.4-20.8-2616.5</f>
        <v>1992.0999999999995</v>
      </c>
      <c r="G468" s="97">
        <v>0</v>
      </c>
      <c r="H468" s="97">
        <v>0</v>
      </c>
    </row>
    <row r="469" spans="1:8" s="37" customFormat="1" ht="76.5" x14ac:dyDescent="0.2">
      <c r="A469" s="16" t="s">
        <v>106</v>
      </c>
      <c r="B469" s="84" t="s">
        <v>95</v>
      </c>
      <c r="C469" s="57" t="s">
        <v>441</v>
      </c>
      <c r="D469" s="21"/>
      <c r="E469" s="101" t="s">
        <v>442</v>
      </c>
      <c r="F469" s="97">
        <f>F470</f>
        <v>8668.6</v>
      </c>
      <c r="G469" s="97">
        <f t="shared" ref="G469:H469" si="150">G470</f>
        <v>6585.8</v>
      </c>
      <c r="H469" s="97">
        <f t="shared" si="150"/>
        <v>6585.8</v>
      </c>
    </row>
    <row r="470" spans="1:8" s="37" customFormat="1" ht="14.25" x14ac:dyDescent="0.2">
      <c r="A470" s="16" t="s">
        <v>106</v>
      </c>
      <c r="B470" s="84" t="s">
        <v>95</v>
      </c>
      <c r="C470" s="57" t="s">
        <v>441</v>
      </c>
      <c r="D470" s="21" t="s">
        <v>228</v>
      </c>
      <c r="E470" s="101" t="s">
        <v>227</v>
      </c>
      <c r="F470" s="164">
        <f>6585.8+2082.8</f>
        <v>8668.6</v>
      </c>
      <c r="G470" s="164">
        <v>6585.8</v>
      </c>
      <c r="H470" s="164">
        <v>6585.8</v>
      </c>
    </row>
    <row r="471" spans="1:8" s="37" customFormat="1" ht="76.5" x14ac:dyDescent="0.2">
      <c r="A471" s="16" t="s">
        <v>106</v>
      </c>
      <c r="B471" s="84" t="s">
        <v>95</v>
      </c>
      <c r="C471" s="57" t="s">
        <v>443</v>
      </c>
      <c r="D471" s="57"/>
      <c r="E471" s="101" t="s">
        <v>444</v>
      </c>
      <c r="F471" s="102">
        <f>F472</f>
        <v>87.300000000000011</v>
      </c>
      <c r="G471" s="102">
        <f>G472</f>
        <v>66.7</v>
      </c>
      <c r="H471" s="102">
        <f>H472</f>
        <v>66.7</v>
      </c>
    </row>
    <row r="472" spans="1:8" s="37" customFormat="1" ht="14.25" x14ac:dyDescent="0.2">
      <c r="A472" s="16" t="s">
        <v>106</v>
      </c>
      <c r="B472" s="84" t="s">
        <v>95</v>
      </c>
      <c r="C472" s="21" t="s">
        <v>443</v>
      </c>
      <c r="D472" s="21" t="s">
        <v>228</v>
      </c>
      <c r="E472" s="101" t="s">
        <v>227</v>
      </c>
      <c r="F472" s="41">
        <f>66.7+20.6</f>
        <v>87.300000000000011</v>
      </c>
      <c r="G472" s="41">
        <v>66.7</v>
      </c>
      <c r="H472" s="41">
        <v>66.7</v>
      </c>
    </row>
    <row r="473" spans="1:8" s="37" customFormat="1" ht="63.75" x14ac:dyDescent="0.2">
      <c r="A473" s="16" t="s">
        <v>106</v>
      </c>
      <c r="B473" s="84" t="s">
        <v>95</v>
      </c>
      <c r="C473" s="21" t="s">
        <v>803</v>
      </c>
      <c r="D473" s="21"/>
      <c r="E473" s="126" t="s">
        <v>804</v>
      </c>
      <c r="F473" s="41">
        <f>F474</f>
        <v>237.20000000000002</v>
      </c>
      <c r="G473" s="41">
        <f t="shared" ref="G473:H473" si="151">G474</f>
        <v>0</v>
      </c>
      <c r="H473" s="41">
        <f t="shared" si="151"/>
        <v>0</v>
      </c>
    </row>
    <row r="474" spans="1:8" s="37" customFormat="1" ht="14.25" x14ac:dyDescent="0.2">
      <c r="A474" s="16" t="s">
        <v>106</v>
      </c>
      <c r="B474" s="84" t="s">
        <v>95</v>
      </c>
      <c r="C474" s="21" t="s">
        <v>803</v>
      </c>
      <c r="D474" s="21" t="s">
        <v>228</v>
      </c>
      <c r="E474" s="101" t="s">
        <v>227</v>
      </c>
      <c r="F474" s="41">
        <f>235.3+1.9</f>
        <v>237.20000000000002</v>
      </c>
      <c r="G474" s="41">
        <v>0</v>
      </c>
      <c r="H474" s="41">
        <v>0</v>
      </c>
    </row>
    <row r="475" spans="1:8" s="37" customFormat="1" ht="76.5" x14ac:dyDescent="0.2">
      <c r="A475" s="16" t="s">
        <v>106</v>
      </c>
      <c r="B475" s="84" t="s">
        <v>95</v>
      </c>
      <c r="C475" s="21" t="s">
        <v>811</v>
      </c>
      <c r="D475" s="21"/>
      <c r="E475" s="126" t="s">
        <v>812</v>
      </c>
      <c r="F475" s="41">
        <f>F476</f>
        <v>2.4</v>
      </c>
      <c r="G475" s="41">
        <f t="shared" ref="G475:H475" si="152">G476</f>
        <v>0</v>
      </c>
      <c r="H475" s="41">
        <f t="shared" si="152"/>
        <v>0</v>
      </c>
    </row>
    <row r="476" spans="1:8" s="37" customFormat="1" ht="14.25" x14ac:dyDescent="0.2">
      <c r="A476" s="16" t="s">
        <v>106</v>
      </c>
      <c r="B476" s="84" t="s">
        <v>95</v>
      </c>
      <c r="C476" s="21" t="s">
        <v>811</v>
      </c>
      <c r="D476" s="21" t="s">
        <v>228</v>
      </c>
      <c r="E476" s="101" t="s">
        <v>227</v>
      </c>
      <c r="F476" s="41">
        <f>4.3-1.9</f>
        <v>2.4</v>
      </c>
      <c r="G476" s="41">
        <v>0</v>
      </c>
      <c r="H476" s="41">
        <v>0</v>
      </c>
    </row>
    <row r="477" spans="1:8" s="37" customFormat="1" ht="63.75" x14ac:dyDescent="0.2">
      <c r="A477" s="16" t="s">
        <v>106</v>
      </c>
      <c r="B477" s="84" t="s">
        <v>95</v>
      </c>
      <c r="C477" s="57" t="s">
        <v>447</v>
      </c>
      <c r="D477" s="84"/>
      <c r="E477" s="101" t="s">
        <v>448</v>
      </c>
      <c r="F477" s="41">
        <f>F478</f>
        <v>470</v>
      </c>
      <c r="G477" s="41">
        <f t="shared" ref="G477:H477" si="153">G478</f>
        <v>0</v>
      </c>
      <c r="H477" s="41">
        <f t="shared" si="153"/>
        <v>0</v>
      </c>
    </row>
    <row r="478" spans="1:8" s="37" customFormat="1" ht="14.25" x14ac:dyDescent="0.2">
      <c r="A478" s="16" t="s">
        <v>106</v>
      </c>
      <c r="B478" s="84" t="s">
        <v>95</v>
      </c>
      <c r="C478" s="57" t="s">
        <v>447</v>
      </c>
      <c r="D478" s="21" t="s">
        <v>228</v>
      </c>
      <c r="E478" s="101" t="s">
        <v>227</v>
      </c>
      <c r="F478" s="41">
        <f>500-30</f>
        <v>470</v>
      </c>
      <c r="G478" s="41">
        <v>0</v>
      </c>
      <c r="H478" s="41">
        <v>0</v>
      </c>
    </row>
    <row r="479" spans="1:8" s="37" customFormat="1" ht="38.25" x14ac:dyDescent="0.2">
      <c r="A479" s="16" t="s">
        <v>106</v>
      </c>
      <c r="B479" s="84" t="s">
        <v>95</v>
      </c>
      <c r="C479" s="192" t="s">
        <v>721</v>
      </c>
      <c r="D479" s="21"/>
      <c r="E479" s="54" t="s">
        <v>722</v>
      </c>
      <c r="F479" s="41">
        <f>F480</f>
        <v>537.79999999999995</v>
      </c>
      <c r="G479" s="41">
        <f t="shared" ref="G479:H479" si="154">G480</f>
        <v>0</v>
      </c>
      <c r="H479" s="41">
        <f t="shared" si="154"/>
        <v>0</v>
      </c>
    </row>
    <row r="480" spans="1:8" s="37" customFormat="1" ht="14.25" x14ac:dyDescent="0.2">
      <c r="A480" s="16" t="s">
        <v>106</v>
      </c>
      <c r="B480" s="84" t="s">
        <v>95</v>
      </c>
      <c r="C480" s="192" t="s">
        <v>721</v>
      </c>
      <c r="D480" s="21" t="s">
        <v>228</v>
      </c>
      <c r="E480" s="101" t="s">
        <v>227</v>
      </c>
      <c r="F480" s="41">
        <v>537.79999999999995</v>
      </c>
      <c r="G480" s="41">
        <v>0</v>
      </c>
      <c r="H480" s="41">
        <v>0</v>
      </c>
    </row>
    <row r="481" spans="1:8" s="37" customFormat="1" ht="51" x14ac:dyDescent="0.2">
      <c r="A481" s="16" t="s">
        <v>106</v>
      </c>
      <c r="B481" s="84" t="s">
        <v>95</v>
      </c>
      <c r="C481" s="57" t="s">
        <v>618</v>
      </c>
      <c r="D481" s="21"/>
      <c r="E481" s="126" t="s">
        <v>451</v>
      </c>
      <c r="F481" s="97">
        <f>F482</f>
        <v>530</v>
      </c>
      <c r="G481" s="97">
        <f t="shared" ref="G481:H481" si="155">G482</f>
        <v>530</v>
      </c>
      <c r="H481" s="97">
        <f t="shared" si="155"/>
        <v>530</v>
      </c>
    </row>
    <row r="482" spans="1:8" s="37" customFormat="1" ht="14.25" x14ac:dyDescent="0.2">
      <c r="A482" s="16" t="s">
        <v>106</v>
      </c>
      <c r="B482" s="84" t="s">
        <v>95</v>
      </c>
      <c r="C482" s="57" t="s">
        <v>618</v>
      </c>
      <c r="D482" s="21" t="s">
        <v>228</v>
      </c>
      <c r="E482" s="101" t="s">
        <v>227</v>
      </c>
      <c r="F482" s="97">
        <v>530</v>
      </c>
      <c r="G482" s="97">
        <v>530</v>
      </c>
      <c r="H482" s="97">
        <v>530</v>
      </c>
    </row>
    <row r="483" spans="1:8" s="37" customFormat="1" ht="76.5" x14ac:dyDescent="0.2">
      <c r="A483" s="16" t="s">
        <v>106</v>
      </c>
      <c r="B483" s="84" t="s">
        <v>95</v>
      </c>
      <c r="C483" s="183" t="s">
        <v>633</v>
      </c>
      <c r="D483" s="21"/>
      <c r="E483" s="101" t="s">
        <v>632</v>
      </c>
      <c r="F483" s="97">
        <f>F484</f>
        <v>30</v>
      </c>
      <c r="G483" s="97">
        <f t="shared" ref="G483:H483" si="156">G484</f>
        <v>0</v>
      </c>
      <c r="H483" s="97">
        <f t="shared" si="156"/>
        <v>0</v>
      </c>
    </row>
    <row r="484" spans="1:8" s="37" customFormat="1" ht="14.25" x14ac:dyDescent="0.2">
      <c r="A484" s="16" t="s">
        <v>106</v>
      </c>
      <c r="B484" s="84" t="s">
        <v>95</v>
      </c>
      <c r="C484" s="183" t="s">
        <v>633</v>
      </c>
      <c r="D484" s="21" t="s">
        <v>228</v>
      </c>
      <c r="E484" s="101" t="s">
        <v>227</v>
      </c>
      <c r="F484" s="97">
        <v>30</v>
      </c>
      <c r="G484" s="97">
        <v>0</v>
      </c>
      <c r="H484" s="97">
        <v>0</v>
      </c>
    </row>
    <row r="485" spans="1:8" s="37" customFormat="1" ht="38.25" x14ac:dyDescent="0.2">
      <c r="A485" s="16" t="s">
        <v>106</v>
      </c>
      <c r="B485" s="84" t="s">
        <v>95</v>
      </c>
      <c r="C485" s="57" t="s">
        <v>452</v>
      </c>
      <c r="D485" s="21"/>
      <c r="E485" s="101" t="s">
        <v>186</v>
      </c>
      <c r="F485" s="41">
        <f>F486</f>
        <v>250</v>
      </c>
      <c r="G485" s="41">
        <f t="shared" ref="G485:H485" si="157">G486</f>
        <v>250</v>
      </c>
      <c r="H485" s="41">
        <f t="shared" si="157"/>
        <v>250</v>
      </c>
    </row>
    <row r="486" spans="1:8" s="37" customFormat="1" ht="14.25" x14ac:dyDescent="0.2">
      <c r="A486" s="16" t="s">
        <v>106</v>
      </c>
      <c r="B486" s="84" t="s">
        <v>95</v>
      </c>
      <c r="C486" s="57" t="s">
        <v>452</v>
      </c>
      <c r="D486" s="21" t="s">
        <v>228</v>
      </c>
      <c r="E486" s="101" t="s">
        <v>227</v>
      </c>
      <c r="F486" s="41">
        <v>250</v>
      </c>
      <c r="G486" s="41">
        <v>250</v>
      </c>
      <c r="H486" s="41">
        <v>250</v>
      </c>
    </row>
    <row r="487" spans="1:8" s="37" customFormat="1" ht="38.25" x14ac:dyDescent="0.2">
      <c r="A487" s="16" t="s">
        <v>106</v>
      </c>
      <c r="B487" s="84" t="s">
        <v>95</v>
      </c>
      <c r="C487" s="127" t="s">
        <v>453</v>
      </c>
      <c r="D487" s="125"/>
      <c r="E487" s="101" t="s">
        <v>454</v>
      </c>
      <c r="F487" s="110">
        <f>F488</f>
        <v>106.1</v>
      </c>
      <c r="G487" s="110">
        <f t="shared" ref="G487:H487" si="158">G488</f>
        <v>150</v>
      </c>
      <c r="H487" s="110">
        <f t="shared" si="158"/>
        <v>150</v>
      </c>
    </row>
    <row r="488" spans="1:8" s="37" customFormat="1" ht="14.25" x14ac:dyDescent="0.2">
      <c r="A488" s="16" t="s">
        <v>106</v>
      </c>
      <c r="B488" s="84" t="s">
        <v>95</v>
      </c>
      <c r="C488" s="127" t="s">
        <v>453</v>
      </c>
      <c r="D488" s="21" t="s">
        <v>228</v>
      </c>
      <c r="E488" s="101" t="s">
        <v>227</v>
      </c>
      <c r="F488" s="110">
        <f>150-43.9</f>
        <v>106.1</v>
      </c>
      <c r="G488" s="110">
        <v>150</v>
      </c>
      <c r="H488" s="110">
        <v>150</v>
      </c>
    </row>
    <row r="489" spans="1:8" s="37" customFormat="1" ht="27" customHeight="1" x14ac:dyDescent="0.2">
      <c r="A489" s="47" t="s">
        <v>106</v>
      </c>
      <c r="B489" s="47" t="s">
        <v>95</v>
      </c>
      <c r="C489" s="52" t="s">
        <v>456</v>
      </c>
      <c r="D489" s="84"/>
      <c r="E489" s="46" t="s">
        <v>455</v>
      </c>
      <c r="F489" s="123">
        <f>F490</f>
        <v>50</v>
      </c>
      <c r="G489" s="123">
        <f t="shared" ref="G489:H489" si="159">G490</f>
        <v>50</v>
      </c>
      <c r="H489" s="123">
        <f t="shared" si="159"/>
        <v>50</v>
      </c>
    </row>
    <row r="490" spans="1:8" s="37" customFormat="1" ht="76.5" x14ac:dyDescent="0.2">
      <c r="A490" s="16" t="s">
        <v>106</v>
      </c>
      <c r="B490" s="84" t="s">
        <v>95</v>
      </c>
      <c r="C490" s="57" t="s">
        <v>612</v>
      </c>
      <c r="D490" s="16"/>
      <c r="E490" s="101" t="s">
        <v>459</v>
      </c>
      <c r="F490" s="41">
        <f>F491</f>
        <v>50</v>
      </c>
      <c r="G490" s="41">
        <f>G491</f>
        <v>50</v>
      </c>
      <c r="H490" s="41">
        <f>H491</f>
        <v>50</v>
      </c>
    </row>
    <row r="491" spans="1:8" s="37" customFormat="1" ht="14.25" x14ac:dyDescent="0.2">
      <c r="A491" s="16" t="s">
        <v>106</v>
      </c>
      <c r="B491" s="84" t="s">
        <v>95</v>
      </c>
      <c r="C491" s="57" t="s">
        <v>612</v>
      </c>
      <c r="D491" s="21" t="s">
        <v>228</v>
      </c>
      <c r="E491" s="101" t="s">
        <v>227</v>
      </c>
      <c r="F491" s="41">
        <v>50</v>
      </c>
      <c r="G491" s="41">
        <v>50</v>
      </c>
      <c r="H491" s="41">
        <v>50</v>
      </c>
    </row>
    <row r="492" spans="1:8" s="37" customFormat="1" ht="90" x14ac:dyDescent="0.25">
      <c r="A492" s="16" t="s">
        <v>106</v>
      </c>
      <c r="B492" s="84" t="s">
        <v>95</v>
      </c>
      <c r="C492" s="73" t="s">
        <v>61</v>
      </c>
      <c r="D492" s="35"/>
      <c r="E492" s="53" t="s">
        <v>636</v>
      </c>
      <c r="F492" s="65">
        <f t="shared" ref="F492:H492" si="160">F493</f>
        <v>15104.4</v>
      </c>
      <c r="G492" s="65">
        <f t="shared" si="160"/>
        <v>14542.399999999998</v>
      </c>
      <c r="H492" s="65">
        <f t="shared" si="160"/>
        <v>14542.399999999998</v>
      </c>
    </row>
    <row r="493" spans="1:8" s="37" customFormat="1" ht="25.5" x14ac:dyDescent="0.2">
      <c r="A493" s="16" t="s">
        <v>106</v>
      </c>
      <c r="B493" s="84" t="s">
        <v>95</v>
      </c>
      <c r="C493" s="52" t="s">
        <v>62</v>
      </c>
      <c r="D493" s="35"/>
      <c r="E493" s="48" t="s">
        <v>174</v>
      </c>
      <c r="F493" s="58">
        <f>F494+F496+F498+F500+F502+F504+F506</f>
        <v>15104.4</v>
      </c>
      <c r="G493" s="58">
        <f t="shared" ref="G493:H493" si="161">G494+G496+G498+G500+G502+G504+G506</f>
        <v>14542.399999999998</v>
      </c>
      <c r="H493" s="58">
        <f t="shared" si="161"/>
        <v>14542.399999999998</v>
      </c>
    </row>
    <row r="494" spans="1:8" s="37" customFormat="1" ht="28.5" customHeight="1" x14ac:dyDescent="0.2">
      <c r="A494" s="16" t="s">
        <v>106</v>
      </c>
      <c r="B494" s="84" t="s">
        <v>95</v>
      </c>
      <c r="C494" s="74">
        <v>210221100</v>
      </c>
      <c r="D494" s="16"/>
      <c r="E494" s="181" t="s">
        <v>176</v>
      </c>
      <c r="F494" s="39">
        <f>F495</f>
        <v>10587.199999999999</v>
      </c>
      <c r="G494" s="39">
        <f>G495</f>
        <v>11359.3</v>
      </c>
      <c r="H494" s="39">
        <f>H495</f>
        <v>11359.3</v>
      </c>
    </row>
    <row r="495" spans="1:8" s="37" customFormat="1" ht="14.25" x14ac:dyDescent="0.2">
      <c r="A495" s="16" t="s">
        <v>106</v>
      </c>
      <c r="B495" s="84" t="s">
        <v>95</v>
      </c>
      <c r="C495" s="74">
        <v>210221100</v>
      </c>
      <c r="D495" s="21" t="s">
        <v>228</v>
      </c>
      <c r="E495" s="101" t="s">
        <v>227</v>
      </c>
      <c r="F495" s="148">
        <f>11359.3+72.9-500-8.6-1.5-334.9</f>
        <v>10587.199999999999</v>
      </c>
      <c r="G495" s="148">
        <v>11359.3</v>
      </c>
      <c r="H495" s="148">
        <v>11359.3</v>
      </c>
    </row>
    <row r="496" spans="1:8" s="37" customFormat="1" ht="76.5" x14ac:dyDescent="0.2">
      <c r="A496" s="16" t="s">
        <v>106</v>
      </c>
      <c r="B496" s="84" t="s">
        <v>95</v>
      </c>
      <c r="C496" s="74">
        <v>210210690</v>
      </c>
      <c r="D496" s="21"/>
      <c r="E496" s="101" t="s">
        <v>325</v>
      </c>
      <c r="F496" s="39">
        <f>F497</f>
        <v>3993.3</v>
      </c>
      <c r="G496" s="39">
        <f>G497</f>
        <v>3151.3</v>
      </c>
      <c r="H496" s="39">
        <f>H497</f>
        <v>3151.3</v>
      </c>
    </row>
    <row r="497" spans="1:8" s="37" customFormat="1" ht="14.25" x14ac:dyDescent="0.2">
      <c r="A497" s="16" t="s">
        <v>106</v>
      </c>
      <c r="B497" s="84" t="s">
        <v>95</v>
      </c>
      <c r="C497" s="74">
        <v>210210690</v>
      </c>
      <c r="D497" s="21" t="s">
        <v>228</v>
      </c>
      <c r="E497" s="101" t="s">
        <v>227</v>
      </c>
      <c r="F497" s="164">
        <f>3151.3+842</f>
        <v>3993.3</v>
      </c>
      <c r="G497" s="164">
        <v>3151.3</v>
      </c>
      <c r="H497" s="164">
        <v>3151.3</v>
      </c>
    </row>
    <row r="498" spans="1:8" s="37" customFormat="1" ht="63.75" x14ac:dyDescent="0.2">
      <c r="A498" s="16" t="s">
        <v>106</v>
      </c>
      <c r="B498" s="84" t="s">
        <v>95</v>
      </c>
      <c r="C498" s="74" t="s">
        <v>469</v>
      </c>
      <c r="D498" s="84"/>
      <c r="E498" s="101" t="s">
        <v>326</v>
      </c>
      <c r="F498" s="39">
        <f>SUM(F499:F499)</f>
        <v>40.4</v>
      </c>
      <c r="G498" s="39">
        <f>SUM(G499:G499)</f>
        <v>31.8</v>
      </c>
      <c r="H498" s="39">
        <f>SUM(H499:H499)</f>
        <v>31.8</v>
      </c>
    </row>
    <row r="499" spans="1:8" s="37" customFormat="1" ht="15" thickBot="1" x14ac:dyDescent="0.25">
      <c r="A499" s="84" t="s">
        <v>106</v>
      </c>
      <c r="B499" s="84" t="s">
        <v>95</v>
      </c>
      <c r="C499" s="74" t="s">
        <v>469</v>
      </c>
      <c r="D499" s="21" t="s">
        <v>228</v>
      </c>
      <c r="E499" s="101" t="s">
        <v>227</v>
      </c>
      <c r="F499" s="39">
        <f>31.8+8.6</f>
        <v>40.4</v>
      </c>
      <c r="G499" s="39">
        <v>31.8</v>
      </c>
      <c r="H499" s="39">
        <v>31.8</v>
      </c>
    </row>
    <row r="500" spans="1:8" s="37" customFormat="1" ht="64.5" thickBot="1" x14ac:dyDescent="0.25">
      <c r="A500" s="16" t="s">
        <v>106</v>
      </c>
      <c r="B500" s="84" t="s">
        <v>95</v>
      </c>
      <c r="C500" s="74">
        <v>210211390</v>
      </c>
      <c r="D500" s="21"/>
      <c r="E500" s="230" t="s">
        <v>805</v>
      </c>
      <c r="F500" s="39">
        <f>F501</f>
        <v>88.899999999999991</v>
      </c>
      <c r="G500" s="39">
        <f t="shared" ref="G500:H500" si="162">G501</f>
        <v>0</v>
      </c>
      <c r="H500" s="39">
        <f t="shared" si="162"/>
        <v>0</v>
      </c>
    </row>
    <row r="501" spans="1:8" s="37" customFormat="1" ht="14.25" x14ac:dyDescent="0.2">
      <c r="A501" s="84" t="s">
        <v>106</v>
      </c>
      <c r="B501" s="84" t="s">
        <v>95</v>
      </c>
      <c r="C501" s="74">
        <v>210211390</v>
      </c>
      <c r="D501" s="21" t="s">
        <v>228</v>
      </c>
      <c r="E501" s="101" t="s">
        <v>227</v>
      </c>
      <c r="F501" s="39">
        <f>88.3+0.6</f>
        <v>88.899999999999991</v>
      </c>
      <c r="G501" s="39">
        <v>0</v>
      </c>
      <c r="H501" s="39">
        <v>0</v>
      </c>
    </row>
    <row r="502" spans="1:8" s="37" customFormat="1" ht="76.5" x14ac:dyDescent="0.2">
      <c r="A502" s="16" t="s">
        <v>106</v>
      </c>
      <c r="B502" s="84" t="s">
        <v>95</v>
      </c>
      <c r="C502" s="74" t="s">
        <v>813</v>
      </c>
      <c r="D502" s="21"/>
      <c r="E502" s="126" t="s">
        <v>814</v>
      </c>
      <c r="F502" s="39">
        <f>F503</f>
        <v>0.9</v>
      </c>
      <c r="G502" s="39">
        <f t="shared" ref="G502:H502" si="163">G503</f>
        <v>0</v>
      </c>
      <c r="H502" s="39">
        <f t="shared" si="163"/>
        <v>0</v>
      </c>
    </row>
    <row r="503" spans="1:8" s="37" customFormat="1" ht="14.25" x14ac:dyDescent="0.2">
      <c r="A503" s="84" t="s">
        <v>106</v>
      </c>
      <c r="B503" s="84" t="s">
        <v>95</v>
      </c>
      <c r="C503" s="74" t="s">
        <v>813</v>
      </c>
      <c r="D503" s="21" t="s">
        <v>228</v>
      </c>
      <c r="E503" s="101" t="s">
        <v>227</v>
      </c>
      <c r="F503" s="39">
        <f>1.5-0.6</f>
        <v>0.9</v>
      </c>
      <c r="G503" s="39">
        <v>0</v>
      </c>
      <c r="H503" s="39">
        <v>0</v>
      </c>
    </row>
    <row r="504" spans="1:8" s="37" customFormat="1" ht="68.25" customHeight="1" x14ac:dyDescent="0.2">
      <c r="A504" s="16" t="s">
        <v>106</v>
      </c>
      <c r="B504" s="84" t="s">
        <v>95</v>
      </c>
      <c r="C504" s="165" t="s">
        <v>475</v>
      </c>
      <c r="D504" s="21"/>
      <c r="E504" s="54" t="s">
        <v>476</v>
      </c>
      <c r="F504" s="39">
        <f t="shared" ref="F504:H504" si="164">F505</f>
        <v>245</v>
      </c>
      <c r="G504" s="39">
        <f t="shared" si="164"/>
        <v>0</v>
      </c>
      <c r="H504" s="39">
        <f t="shared" si="164"/>
        <v>0</v>
      </c>
    </row>
    <row r="505" spans="1:8" s="37" customFormat="1" ht="14.25" x14ac:dyDescent="0.2">
      <c r="A505" s="16" t="s">
        <v>106</v>
      </c>
      <c r="B505" s="84" t="s">
        <v>95</v>
      </c>
      <c r="C505" s="165" t="s">
        <v>475</v>
      </c>
      <c r="D505" s="21" t="s">
        <v>228</v>
      </c>
      <c r="E505" s="101" t="s">
        <v>227</v>
      </c>
      <c r="F505" s="39">
        <v>245</v>
      </c>
      <c r="G505" s="39">
        <v>0</v>
      </c>
      <c r="H505" s="39">
        <v>0</v>
      </c>
    </row>
    <row r="506" spans="1:8" s="37" customFormat="1" ht="63.75" x14ac:dyDescent="0.2">
      <c r="A506" s="16" t="s">
        <v>106</v>
      </c>
      <c r="B506" s="84" t="s">
        <v>95</v>
      </c>
      <c r="C506" s="165" t="s">
        <v>710</v>
      </c>
      <c r="D506" s="21"/>
      <c r="E506" s="153" t="s">
        <v>709</v>
      </c>
      <c r="F506" s="39">
        <f>F507</f>
        <v>148.69999999999999</v>
      </c>
      <c r="G506" s="39">
        <f t="shared" ref="G506:H506" si="165">G507</f>
        <v>0</v>
      </c>
      <c r="H506" s="39">
        <f t="shared" si="165"/>
        <v>0</v>
      </c>
    </row>
    <row r="507" spans="1:8" s="37" customFormat="1" ht="14.25" x14ac:dyDescent="0.2">
      <c r="A507" s="16" t="s">
        <v>106</v>
      </c>
      <c r="B507" s="84" t="s">
        <v>95</v>
      </c>
      <c r="C507" s="165" t="s">
        <v>710</v>
      </c>
      <c r="D507" s="21" t="s">
        <v>228</v>
      </c>
      <c r="E507" s="101" t="s">
        <v>227</v>
      </c>
      <c r="F507" s="39">
        <v>148.69999999999999</v>
      </c>
      <c r="G507" s="39">
        <v>0</v>
      </c>
      <c r="H507" s="39">
        <v>0</v>
      </c>
    </row>
    <row r="508" spans="1:8" s="37" customFormat="1" ht="38.25" x14ac:dyDescent="0.2">
      <c r="A508" s="84" t="s">
        <v>106</v>
      </c>
      <c r="B508" s="84" t="s">
        <v>95</v>
      </c>
      <c r="C508" s="84" t="s">
        <v>26</v>
      </c>
      <c r="D508" s="84"/>
      <c r="E508" s="103" t="s">
        <v>40</v>
      </c>
      <c r="F508" s="41">
        <f>F509</f>
        <v>475</v>
      </c>
      <c r="G508" s="41">
        <f t="shared" ref="G508:H508" si="166">G509</f>
        <v>0</v>
      </c>
      <c r="H508" s="41">
        <f t="shared" si="166"/>
        <v>0</v>
      </c>
    </row>
    <row r="509" spans="1:8" s="37" customFormat="1" ht="51" x14ac:dyDescent="0.2">
      <c r="A509" s="16" t="s">
        <v>106</v>
      </c>
      <c r="B509" s="84" t="s">
        <v>95</v>
      </c>
      <c r="C509" s="84" t="s">
        <v>629</v>
      </c>
      <c r="D509" s="16"/>
      <c r="E509" s="54" t="s">
        <v>627</v>
      </c>
      <c r="F509" s="41">
        <f>SUM(F510:F510)</f>
        <v>475</v>
      </c>
      <c r="G509" s="41">
        <f>SUM(G510:G510)</f>
        <v>0</v>
      </c>
      <c r="H509" s="41">
        <f>SUM(H510:H510)</f>
        <v>0</v>
      </c>
    </row>
    <row r="510" spans="1:8" s="37" customFormat="1" ht="14.25" x14ac:dyDescent="0.2">
      <c r="A510" s="16" t="s">
        <v>106</v>
      </c>
      <c r="B510" s="84" t="s">
        <v>95</v>
      </c>
      <c r="C510" s="84" t="s">
        <v>629</v>
      </c>
      <c r="D510" s="21" t="s">
        <v>228</v>
      </c>
      <c r="E510" s="101" t="s">
        <v>227</v>
      </c>
      <c r="F510" s="39">
        <f>300+175</f>
        <v>475</v>
      </c>
      <c r="G510" s="39">
        <v>0</v>
      </c>
      <c r="H510" s="39">
        <v>0</v>
      </c>
    </row>
    <row r="511" spans="1:8" s="37" customFormat="1" ht="38.25" x14ac:dyDescent="0.2">
      <c r="A511" s="35" t="s">
        <v>106</v>
      </c>
      <c r="B511" s="35" t="s">
        <v>97</v>
      </c>
      <c r="C511" s="35"/>
      <c r="D511" s="35"/>
      <c r="E511" s="46" t="s">
        <v>2</v>
      </c>
      <c r="F511" s="42">
        <f t="shared" ref="F511:H513" si="167">F512</f>
        <v>152.4</v>
      </c>
      <c r="G511" s="42">
        <f t="shared" si="167"/>
        <v>250</v>
      </c>
      <c r="H511" s="42">
        <f t="shared" si="167"/>
        <v>250</v>
      </c>
    </row>
    <row r="512" spans="1:8" s="37" customFormat="1" ht="76.5" x14ac:dyDescent="0.2">
      <c r="A512" s="16" t="s">
        <v>106</v>
      </c>
      <c r="B512" s="16" t="s">
        <v>97</v>
      </c>
      <c r="C512" s="21" t="s">
        <v>75</v>
      </c>
      <c r="D512" s="35"/>
      <c r="E512" s="64" t="s">
        <v>635</v>
      </c>
      <c r="F512" s="62">
        <f t="shared" si="167"/>
        <v>152.4</v>
      </c>
      <c r="G512" s="62">
        <f t="shared" si="167"/>
        <v>250</v>
      </c>
      <c r="H512" s="62">
        <f t="shared" si="167"/>
        <v>250</v>
      </c>
    </row>
    <row r="513" spans="1:8" s="37" customFormat="1" ht="25.5" customHeight="1" x14ac:dyDescent="0.2">
      <c r="A513" s="16" t="s">
        <v>106</v>
      </c>
      <c r="B513" s="16" t="s">
        <v>97</v>
      </c>
      <c r="C513" s="52" t="s">
        <v>456</v>
      </c>
      <c r="D513" s="35"/>
      <c r="E513" s="46" t="s">
        <v>455</v>
      </c>
      <c r="F513" s="58">
        <f t="shared" si="167"/>
        <v>152.4</v>
      </c>
      <c r="G513" s="58">
        <f t="shared" si="167"/>
        <v>250</v>
      </c>
      <c r="H513" s="58">
        <f t="shared" si="167"/>
        <v>250</v>
      </c>
    </row>
    <row r="514" spans="1:8" s="37" customFormat="1" ht="38.25" x14ac:dyDescent="0.2">
      <c r="A514" s="16" t="s">
        <v>106</v>
      </c>
      <c r="B514" s="16" t="s">
        <v>97</v>
      </c>
      <c r="C514" s="57" t="s">
        <v>613</v>
      </c>
      <c r="D514" s="16"/>
      <c r="E514" s="101" t="s">
        <v>46</v>
      </c>
      <c r="F514" s="41">
        <f>F515</f>
        <v>152.4</v>
      </c>
      <c r="G514" s="41">
        <f>G515</f>
        <v>250</v>
      </c>
      <c r="H514" s="41">
        <f>H515</f>
        <v>250</v>
      </c>
    </row>
    <row r="515" spans="1:8" s="37" customFormat="1" ht="14.25" x14ac:dyDescent="0.2">
      <c r="A515" s="16" t="s">
        <v>106</v>
      </c>
      <c r="B515" s="16" t="s">
        <v>97</v>
      </c>
      <c r="C515" s="57" t="s">
        <v>613</v>
      </c>
      <c r="D515" s="21" t="s">
        <v>228</v>
      </c>
      <c r="E515" s="101" t="s">
        <v>227</v>
      </c>
      <c r="F515" s="97">
        <f>250-97.6</f>
        <v>152.4</v>
      </c>
      <c r="G515" s="97">
        <v>250</v>
      </c>
      <c r="H515" s="97">
        <v>250</v>
      </c>
    </row>
    <row r="516" spans="1:8" s="37" customFormat="1" ht="14.25" x14ac:dyDescent="0.2">
      <c r="A516" s="35" t="s">
        <v>106</v>
      </c>
      <c r="B516" s="35" t="s">
        <v>106</v>
      </c>
      <c r="C516" s="35"/>
      <c r="D516" s="35"/>
      <c r="E516" s="46" t="s">
        <v>157</v>
      </c>
      <c r="F516" s="42">
        <f>F517+F524+F539+F548</f>
        <v>12391.1</v>
      </c>
      <c r="G516" s="42">
        <f t="shared" ref="G516:H516" si="168">G517+G524+G539</f>
        <v>11697.099999999999</v>
      </c>
      <c r="H516" s="42">
        <f t="shared" si="168"/>
        <v>11697.099999999999</v>
      </c>
    </row>
    <row r="517" spans="1:8" s="37" customFormat="1" ht="76.5" x14ac:dyDescent="0.2">
      <c r="A517" s="16" t="s">
        <v>106</v>
      </c>
      <c r="B517" s="16" t="s">
        <v>106</v>
      </c>
      <c r="C517" s="21" t="s">
        <v>75</v>
      </c>
      <c r="D517" s="35"/>
      <c r="E517" s="64" t="s">
        <v>635</v>
      </c>
      <c r="F517" s="62">
        <f t="shared" ref="F517:H517" si="169">F518</f>
        <v>4111.8999999999996</v>
      </c>
      <c r="G517" s="62">
        <f t="shared" si="169"/>
        <v>3969.7</v>
      </c>
      <c r="H517" s="62">
        <f t="shared" si="169"/>
        <v>3969.7</v>
      </c>
    </row>
    <row r="518" spans="1:8" ht="39.75" customHeight="1" x14ac:dyDescent="0.2">
      <c r="A518" s="16" t="s">
        <v>106</v>
      </c>
      <c r="B518" s="16" t="s">
        <v>106</v>
      </c>
      <c r="C518" s="52" t="s">
        <v>77</v>
      </c>
      <c r="D518" s="35"/>
      <c r="E518" s="46" t="s">
        <v>619</v>
      </c>
      <c r="F518" s="58">
        <f t="shared" ref="F518:G518" si="170">F519+F521</f>
        <v>4111.8999999999996</v>
      </c>
      <c r="G518" s="58">
        <f t="shared" si="170"/>
        <v>3969.7</v>
      </c>
      <c r="H518" s="58">
        <f t="shared" ref="H518" si="171">H519+H521</f>
        <v>3969.7</v>
      </c>
    </row>
    <row r="519" spans="1:8" x14ac:dyDescent="0.2">
      <c r="A519" s="16" t="s">
        <v>106</v>
      </c>
      <c r="B519" s="16" t="s">
        <v>106</v>
      </c>
      <c r="C519" s="57" t="s">
        <v>432</v>
      </c>
      <c r="D519" s="21"/>
      <c r="E519" s="101" t="s">
        <v>47</v>
      </c>
      <c r="F519" s="41">
        <f>F520</f>
        <v>1342.4</v>
      </c>
      <c r="G519" s="41">
        <f>G520</f>
        <v>1200.2</v>
      </c>
      <c r="H519" s="41">
        <f>H520</f>
        <v>1200.2</v>
      </c>
    </row>
    <row r="520" spans="1:8" x14ac:dyDescent="0.2">
      <c r="A520" s="16" t="s">
        <v>106</v>
      </c>
      <c r="B520" s="16" t="s">
        <v>106</v>
      </c>
      <c r="C520" s="57" t="s">
        <v>432</v>
      </c>
      <c r="D520" s="21" t="s">
        <v>228</v>
      </c>
      <c r="E520" s="101" t="s">
        <v>227</v>
      </c>
      <c r="F520" s="41">
        <f>1200.2+142.2</f>
        <v>1342.4</v>
      </c>
      <c r="G520" s="41">
        <v>1200.2</v>
      </c>
      <c r="H520" s="41">
        <v>1200.2</v>
      </c>
    </row>
    <row r="521" spans="1:8" ht="38.25" x14ac:dyDescent="0.2">
      <c r="A521" s="16" t="s">
        <v>106</v>
      </c>
      <c r="B521" s="16" t="s">
        <v>106</v>
      </c>
      <c r="C521" s="57" t="s">
        <v>434</v>
      </c>
      <c r="D521" s="21"/>
      <c r="E521" s="101" t="s">
        <v>433</v>
      </c>
      <c r="F521" s="41">
        <f>SUM(F522:F523)</f>
        <v>2769.5</v>
      </c>
      <c r="G521" s="41">
        <f>SUM(G522:G523)</f>
        <v>2769.5</v>
      </c>
      <c r="H521" s="41">
        <f>SUM(H522:H523)</f>
        <v>2769.5</v>
      </c>
    </row>
    <row r="522" spans="1:8" x14ac:dyDescent="0.2">
      <c r="A522" s="16" t="s">
        <v>106</v>
      </c>
      <c r="B522" s="16" t="s">
        <v>106</v>
      </c>
      <c r="C522" s="57" t="s">
        <v>434</v>
      </c>
      <c r="D522" s="21" t="s">
        <v>228</v>
      </c>
      <c r="E522" s="101" t="s">
        <v>227</v>
      </c>
      <c r="F522" s="163">
        <v>2049</v>
      </c>
      <c r="G522" s="163">
        <v>2049</v>
      </c>
      <c r="H522" s="163">
        <v>2049</v>
      </c>
    </row>
    <row r="523" spans="1:8" ht="63.75" x14ac:dyDescent="0.2">
      <c r="A523" s="16" t="s">
        <v>106</v>
      </c>
      <c r="B523" s="16" t="s">
        <v>106</v>
      </c>
      <c r="C523" s="57" t="s">
        <v>434</v>
      </c>
      <c r="D523" s="16" t="s">
        <v>13</v>
      </c>
      <c r="E523" s="101" t="s">
        <v>381</v>
      </c>
      <c r="F523" s="41">
        <v>720.5</v>
      </c>
      <c r="G523" s="41">
        <v>720.5</v>
      </c>
      <c r="H523" s="41">
        <v>720.5</v>
      </c>
    </row>
    <row r="524" spans="1:8" ht="90" x14ac:dyDescent="0.25">
      <c r="A524" s="5" t="s">
        <v>106</v>
      </c>
      <c r="B524" s="5" t="s">
        <v>106</v>
      </c>
      <c r="C524" s="73" t="s">
        <v>61</v>
      </c>
      <c r="D524" s="35"/>
      <c r="E524" s="53" t="s">
        <v>636</v>
      </c>
      <c r="F524" s="65">
        <f>F525</f>
        <v>8155.0999999999995</v>
      </c>
      <c r="G524" s="65">
        <f t="shared" ref="G524:H524" si="172">G525</f>
        <v>7677.4</v>
      </c>
      <c r="H524" s="65">
        <f t="shared" si="172"/>
        <v>7677.4</v>
      </c>
    </row>
    <row r="525" spans="1:8" ht="25.5" x14ac:dyDescent="0.2">
      <c r="A525" s="16" t="s">
        <v>106</v>
      </c>
      <c r="B525" s="16" t="s">
        <v>106</v>
      </c>
      <c r="C525" s="52" t="s">
        <v>32</v>
      </c>
      <c r="D525" s="21"/>
      <c r="E525" s="48" t="s">
        <v>180</v>
      </c>
      <c r="F525" s="41">
        <f>F526+F528+F530+F532+F534+F536</f>
        <v>8155.0999999999995</v>
      </c>
      <c r="G525" s="41">
        <f t="shared" ref="G525:H525" si="173">G526+G528+G530+G532+G534+G536</f>
        <v>7677.4</v>
      </c>
      <c r="H525" s="41">
        <f t="shared" si="173"/>
        <v>7677.4</v>
      </c>
    </row>
    <row r="526" spans="1:8" ht="51" x14ac:dyDescent="0.2">
      <c r="A526" s="16" t="s">
        <v>106</v>
      </c>
      <c r="B526" s="16" t="s">
        <v>106</v>
      </c>
      <c r="C526" s="167" t="s">
        <v>485</v>
      </c>
      <c r="D526" s="16"/>
      <c r="E526" s="104" t="s">
        <v>209</v>
      </c>
      <c r="F526" s="39">
        <f>F527</f>
        <v>6.6</v>
      </c>
      <c r="G526" s="39">
        <f>G527</f>
        <v>6.6</v>
      </c>
      <c r="H526" s="39">
        <f>H527</f>
        <v>6.6</v>
      </c>
    </row>
    <row r="527" spans="1:8" ht="38.25" x14ac:dyDescent="0.2">
      <c r="A527" s="16" t="s">
        <v>106</v>
      </c>
      <c r="B527" s="16" t="s">
        <v>106</v>
      </c>
      <c r="C527" s="167" t="s">
        <v>485</v>
      </c>
      <c r="D527" s="84" t="s">
        <v>214</v>
      </c>
      <c r="E527" s="101" t="s">
        <v>215</v>
      </c>
      <c r="F527" s="41">
        <v>6.6</v>
      </c>
      <c r="G527" s="41">
        <v>6.6</v>
      </c>
      <c r="H527" s="41">
        <v>6.6</v>
      </c>
    </row>
    <row r="528" spans="1:8" ht="25.5" x14ac:dyDescent="0.2">
      <c r="A528" s="16" t="s">
        <v>106</v>
      </c>
      <c r="B528" s="16" t="s">
        <v>106</v>
      </c>
      <c r="C528" s="167" t="s">
        <v>486</v>
      </c>
      <c r="D528" s="16"/>
      <c r="E528" s="101" t="s">
        <v>181</v>
      </c>
      <c r="F528" s="41">
        <f>F529</f>
        <v>271.60000000000002</v>
      </c>
      <c r="G528" s="41">
        <f>G529</f>
        <v>289.60000000000002</v>
      </c>
      <c r="H528" s="41">
        <f>H529</f>
        <v>289.60000000000002</v>
      </c>
    </row>
    <row r="529" spans="1:8" ht="38.25" x14ac:dyDescent="0.2">
      <c r="A529" s="16" t="s">
        <v>106</v>
      </c>
      <c r="B529" s="16" t="s">
        <v>106</v>
      </c>
      <c r="C529" s="167" t="s">
        <v>486</v>
      </c>
      <c r="D529" s="84" t="s">
        <v>214</v>
      </c>
      <c r="E529" s="101" t="s">
        <v>215</v>
      </c>
      <c r="F529" s="41">
        <f>289.6-18</f>
        <v>271.60000000000002</v>
      </c>
      <c r="G529" s="41">
        <v>289.60000000000002</v>
      </c>
      <c r="H529" s="41">
        <v>289.60000000000002</v>
      </c>
    </row>
    <row r="530" spans="1:8" ht="63.75" x14ac:dyDescent="0.2">
      <c r="A530" s="16" t="s">
        <v>106</v>
      </c>
      <c r="B530" s="16" t="s">
        <v>106</v>
      </c>
      <c r="C530" s="167" t="s">
        <v>487</v>
      </c>
      <c r="D530" s="16"/>
      <c r="E530" s="101" t="s">
        <v>79</v>
      </c>
      <c r="F530" s="41">
        <f>F531</f>
        <v>15</v>
      </c>
      <c r="G530" s="41">
        <f>G531</f>
        <v>15</v>
      </c>
      <c r="H530" s="41">
        <f>H531</f>
        <v>15</v>
      </c>
    </row>
    <row r="531" spans="1:8" ht="38.25" x14ac:dyDescent="0.2">
      <c r="A531" s="16" t="s">
        <v>106</v>
      </c>
      <c r="B531" s="16" t="s">
        <v>106</v>
      </c>
      <c r="C531" s="167" t="s">
        <v>487</v>
      </c>
      <c r="D531" s="84" t="s">
        <v>214</v>
      </c>
      <c r="E531" s="101" t="s">
        <v>215</v>
      </c>
      <c r="F531" s="41">
        <v>15</v>
      </c>
      <c r="G531" s="41">
        <v>15</v>
      </c>
      <c r="H531" s="41">
        <v>15</v>
      </c>
    </row>
    <row r="532" spans="1:8" x14ac:dyDescent="0.2">
      <c r="A532" s="16" t="s">
        <v>106</v>
      </c>
      <c r="B532" s="16" t="s">
        <v>106</v>
      </c>
      <c r="C532" s="167" t="s">
        <v>488</v>
      </c>
      <c r="D532" s="84"/>
      <c r="E532" s="54" t="s">
        <v>395</v>
      </c>
      <c r="F532" s="41">
        <f>F533</f>
        <v>50</v>
      </c>
      <c r="G532" s="41">
        <f>G533</f>
        <v>50</v>
      </c>
      <c r="H532" s="41">
        <f>H533</f>
        <v>50</v>
      </c>
    </row>
    <row r="533" spans="1:8" ht="38.25" x14ac:dyDescent="0.2">
      <c r="A533" s="16" t="s">
        <v>106</v>
      </c>
      <c r="B533" s="16" t="s">
        <v>106</v>
      </c>
      <c r="C533" s="167" t="s">
        <v>488</v>
      </c>
      <c r="D533" s="84" t="s">
        <v>214</v>
      </c>
      <c r="E533" s="101" t="s">
        <v>215</v>
      </c>
      <c r="F533" s="41">
        <v>50</v>
      </c>
      <c r="G533" s="41">
        <v>50</v>
      </c>
      <c r="H533" s="41">
        <v>50</v>
      </c>
    </row>
    <row r="534" spans="1:8" ht="43.5" customHeight="1" x14ac:dyDescent="0.2">
      <c r="A534" s="16" t="s">
        <v>106</v>
      </c>
      <c r="B534" s="16" t="s">
        <v>106</v>
      </c>
      <c r="C534" s="74">
        <v>230221100</v>
      </c>
      <c r="D534" s="16"/>
      <c r="E534" s="101" t="s">
        <v>0</v>
      </c>
      <c r="F534" s="41">
        <f t="shared" ref="F534:H534" si="174">F535</f>
        <v>7316.2</v>
      </c>
      <c r="G534" s="41">
        <f t="shared" si="174"/>
        <v>7316.2</v>
      </c>
      <c r="H534" s="41">
        <f t="shared" si="174"/>
        <v>7316.2</v>
      </c>
    </row>
    <row r="535" spans="1:8" x14ac:dyDescent="0.2">
      <c r="A535" s="16" t="s">
        <v>106</v>
      </c>
      <c r="B535" s="16" t="s">
        <v>106</v>
      </c>
      <c r="C535" s="74">
        <v>230221100</v>
      </c>
      <c r="D535" s="84" t="s">
        <v>228</v>
      </c>
      <c r="E535" s="101" t="s">
        <v>227</v>
      </c>
      <c r="F535" s="41">
        <v>7316.2</v>
      </c>
      <c r="G535" s="41">
        <v>7316.2</v>
      </c>
      <c r="H535" s="41">
        <v>7316.2</v>
      </c>
    </row>
    <row r="536" spans="1:8" ht="63.75" x14ac:dyDescent="0.2">
      <c r="A536" s="16" t="s">
        <v>106</v>
      </c>
      <c r="B536" s="16" t="s">
        <v>106</v>
      </c>
      <c r="C536" s="21" t="s">
        <v>491</v>
      </c>
      <c r="D536" s="84"/>
      <c r="E536" s="101" t="s">
        <v>490</v>
      </c>
      <c r="F536" s="41">
        <f t="shared" ref="F536:H537" si="175">F537</f>
        <v>495.7</v>
      </c>
      <c r="G536" s="41">
        <f t="shared" si="175"/>
        <v>0</v>
      </c>
      <c r="H536" s="41">
        <f t="shared" si="175"/>
        <v>0</v>
      </c>
    </row>
    <row r="537" spans="1:8" ht="54" customHeight="1" x14ac:dyDescent="0.2">
      <c r="A537" s="16" t="s">
        <v>106</v>
      </c>
      <c r="B537" s="16" t="s">
        <v>106</v>
      </c>
      <c r="C537" s="74">
        <v>230321210</v>
      </c>
      <c r="D537" s="84"/>
      <c r="E537" s="101" t="s">
        <v>489</v>
      </c>
      <c r="F537" s="41">
        <f t="shared" si="175"/>
        <v>495.7</v>
      </c>
      <c r="G537" s="41">
        <f t="shared" si="175"/>
        <v>0</v>
      </c>
      <c r="H537" s="41">
        <f t="shared" si="175"/>
        <v>0</v>
      </c>
    </row>
    <row r="538" spans="1:8" ht="38.25" x14ac:dyDescent="0.2">
      <c r="A538" s="84" t="s">
        <v>106</v>
      </c>
      <c r="B538" s="84" t="s">
        <v>106</v>
      </c>
      <c r="C538" s="74">
        <v>230321210</v>
      </c>
      <c r="D538" s="84" t="s">
        <v>214</v>
      </c>
      <c r="E538" s="101" t="s">
        <v>215</v>
      </c>
      <c r="F538" s="41">
        <v>495.7</v>
      </c>
      <c r="G538" s="41">
        <v>0</v>
      </c>
      <c r="H538" s="41">
        <v>0</v>
      </c>
    </row>
    <row r="539" spans="1:8" ht="89.25" x14ac:dyDescent="0.2">
      <c r="A539" s="5" t="s">
        <v>106</v>
      </c>
      <c r="B539" s="5" t="s">
        <v>106</v>
      </c>
      <c r="C539" s="73" t="s">
        <v>73</v>
      </c>
      <c r="D539" s="16"/>
      <c r="E539" s="53" t="s">
        <v>646</v>
      </c>
      <c r="F539" s="99">
        <f>F540+F545</f>
        <v>74.099999999999994</v>
      </c>
      <c r="G539" s="99">
        <f t="shared" ref="G539:H539" si="176">G540+G545</f>
        <v>50</v>
      </c>
      <c r="H539" s="99">
        <f t="shared" si="176"/>
        <v>50</v>
      </c>
    </row>
    <row r="540" spans="1:8" ht="76.5" x14ac:dyDescent="0.2">
      <c r="A540" s="47" t="s">
        <v>106</v>
      </c>
      <c r="B540" s="47" t="s">
        <v>106</v>
      </c>
      <c r="C540" s="121" t="s">
        <v>556</v>
      </c>
      <c r="D540" s="124"/>
      <c r="E540" s="174" t="s">
        <v>182</v>
      </c>
      <c r="F540" s="123">
        <f>F541+F543</f>
        <v>40</v>
      </c>
      <c r="G540" s="123">
        <f t="shared" ref="G540:H540" si="177">G541+G543</f>
        <v>50</v>
      </c>
      <c r="H540" s="123">
        <f t="shared" si="177"/>
        <v>50</v>
      </c>
    </row>
    <row r="541" spans="1:8" ht="102" x14ac:dyDescent="0.2">
      <c r="A541" s="16" t="s">
        <v>106</v>
      </c>
      <c r="B541" s="16" t="s">
        <v>106</v>
      </c>
      <c r="C541" s="79">
        <v>1020123085</v>
      </c>
      <c r="D541" s="124"/>
      <c r="E541" s="101" t="s">
        <v>183</v>
      </c>
      <c r="F541" s="110">
        <f>F542</f>
        <v>5</v>
      </c>
      <c r="G541" s="110">
        <f>G542</f>
        <v>5</v>
      </c>
      <c r="H541" s="110">
        <f>H542</f>
        <v>5</v>
      </c>
    </row>
    <row r="542" spans="1:8" ht="38.25" x14ac:dyDescent="0.2">
      <c r="A542" s="16" t="s">
        <v>106</v>
      </c>
      <c r="B542" s="16" t="s">
        <v>106</v>
      </c>
      <c r="C542" s="79">
        <v>1020123085</v>
      </c>
      <c r="D542" s="112" t="s">
        <v>214</v>
      </c>
      <c r="E542" s="101" t="s">
        <v>215</v>
      </c>
      <c r="F542" s="110">
        <v>5</v>
      </c>
      <c r="G542" s="110">
        <v>5</v>
      </c>
      <c r="H542" s="110">
        <v>5</v>
      </c>
    </row>
    <row r="543" spans="1:8" x14ac:dyDescent="0.2">
      <c r="A543" s="16" t="s">
        <v>106</v>
      </c>
      <c r="B543" s="16" t="s">
        <v>106</v>
      </c>
      <c r="C543" s="79">
        <v>1020123086</v>
      </c>
      <c r="D543" s="124"/>
      <c r="E543" s="101" t="s">
        <v>184</v>
      </c>
      <c r="F543" s="110">
        <f>F544</f>
        <v>35</v>
      </c>
      <c r="G543" s="110">
        <f>G544</f>
        <v>45</v>
      </c>
      <c r="H543" s="110">
        <f>H544</f>
        <v>45</v>
      </c>
    </row>
    <row r="544" spans="1:8" ht="38.25" x14ac:dyDescent="0.2">
      <c r="A544" s="16" t="s">
        <v>106</v>
      </c>
      <c r="B544" s="16" t="s">
        <v>106</v>
      </c>
      <c r="C544" s="79">
        <v>1020123086</v>
      </c>
      <c r="D544" s="112" t="s">
        <v>214</v>
      </c>
      <c r="E544" s="101" t="s">
        <v>215</v>
      </c>
      <c r="F544" s="110">
        <f>45-10</f>
        <v>35</v>
      </c>
      <c r="G544" s="110">
        <v>45</v>
      </c>
      <c r="H544" s="110">
        <v>45</v>
      </c>
    </row>
    <row r="545" spans="1:8" ht="51" x14ac:dyDescent="0.2">
      <c r="A545" s="16" t="s">
        <v>106</v>
      </c>
      <c r="B545" s="16" t="s">
        <v>106</v>
      </c>
      <c r="C545" s="121" t="s">
        <v>745</v>
      </c>
      <c r="D545" s="124"/>
      <c r="E545" s="174" t="s">
        <v>743</v>
      </c>
      <c r="F545" s="123">
        <f>F546</f>
        <v>34.1</v>
      </c>
      <c r="G545" s="123">
        <f>G546</f>
        <v>0</v>
      </c>
      <c r="H545" s="123">
        <f>H546</f>
        <v>0</v>
      </c>
    </row>
    <row r="546" spans="1:8" ht="38.25" x14ac:dyDescent="0.2">
      <c r="A546" s="16" t="s">
        <v>106</v>
      </c>
      <c r="B546" s="16" t="s">
        <v>106</v>
      </c>
      <c r="C546" s="79">
        <v>1030323090</v>
      </c>
      <c r="D546" s="124"/>
      <c r="E546" s="101" t="s">
        <v>747</v>
      </c>
      <c r="F546" s="110">
        <f>F547</f>
        <v>34.1</v>
      </c>
      <c r="G546" s="110">
        <f t="shared" ref="G546:H546" si="178">G547</f>
        <v>0</v>
      </c>
      <c r="H546" s="110">
        <f t="shared" si="178"/>
        <v>0</v>
      </c>
    </row>
    <row r="547" spans="1:8" ht="38.25" x14ac:dyDescent="0.2">
      <c r="A547" s="16" t="s">
        <v>106</v>
      </c>
      <c r="B547" s="16" t="s">
        <v>106</v>
      </c>
      <c r="C547" s="79">
        <v>1030323090</v>
      </c>
      <c r="D547" s="112" t="s">
        <v>214</v>
      </c>
      <c r="E547" s="101" t="s">
        <v>215</v>
      </c>
      <c r="F547" s="110">
        <f>10+24.1</f>
        <v>34.1</v>
      </c>
      <c r="G547" s="110">
        <v>0</v>
      </c>
      <c r="H547" s="110">
        <v>0</v>
      </c>
    </row>
    <row r="548" spans="1:8" ht="38.25" x14ac:dyDescent="0.2">
      <c r="A548" s="16" t="s">
        <v>106</v>
      </c>
      <c r="B548" s="16" t="s">
        <v>106</v>
      </c>
      <c r="C548" s="84" t="s">
        <v>26</v>
      </c>
      <c r="D548" s="84"/>
      <c r="E548" s="103" t="s">
        <v>40</v>
      </c>
      <c r="F548" s="41">
        <f>F549</f>
        <v>50</v>
      </c>
      <c r="G548" s="41">
        <f t="shared" ref="G548:H548" si="179">G549</f>
        <v>0</v>
      </c>
      <c r="H548" s="41">
        <f t="shared" si="179"/>
        <v>0</v>
      </c>
    </row>
    <row r="549" spans="1:8" ht="51" x14ac:dyDescent="0.2">
      <c r="A549" s="16" t="s">
        <v>106</v>
      </c>
      <c r="B549" s="16" t="s">
        <v>106</v>
      </c>
      <c r="C549" s="84" t="s">
        <v>629</v>
      </c>
      <c r="D549" s="16"/>
      <c r="E549" s="54" t="s">
        <v>627</v>
      </c>
      <c r="F549" s="41">
        <f>SUM(F550:F550)</f>
        <v>50</v>
      </c>
      <c r="G549" s="41">
        <f>SUM(G550:G550)</f>
        <v>0</v>
      </c>
      <c r="H549" s="41">
        <f>SUM(H550:H550)</f>
        <v>0</v>
      </c>
    </row>
    <row r="550" spans="1:8" x14ac:dyDescent="0.2">
      <c r="A550" s="16" t="s">
        <v>106</v>
      </c>
      <c r="B550" s="16" t="s">
        <v>106</v>
      </c>
      <c r="C550" s="84" t="s">
        <v>629</v>
      </c>
      <c r="D550" s="84" t="s">
        <v>228</v>
      </c>
      <c r="E550" s="101" t="s">
        <v>227</v>
      </c>
      <c r="F550" s="39">
        <v>50</v>
      </c>
      <c r="G550" s="39">
        <v>0</v>
      </c>
      <c r="H550" s="39">
        <v>0</v>
      </c>
    </row>
    <row r="551" spans="1:8" ht="25.5" x14ac:dyDescent="0.2">
      <c r="A551" s="35" t="s">
        <v>106</v>
      </c>
      <c r="B551" s="35" t="s">
        <v>101</v>
      </c>
      <c r="C551" s="35"/>
      <c r="D551" s="35"/>
      <c r="E551" s="46" t="s">
        <v>111</v>
      </c>
      <c r="F551" s="42">
        <f t="shared" ref="F551:H551" si="180">F552</f>
        <v>8945.6</v>
      </c>
      <c r="G551" s="42">
        <f t="shared" si="180"/>
        <v>8622.9000000000015</v>
      </c>
      <c r="H551" s="42">
        <f t="shared" si="180"/>
        <v>8622.8000000000011</v>
      </c>
    </row>
    <row r="552" spans="1:8" s="20" customFormat="1" ht="77.25" x14ac:dyDescent="0.25">
      <c r="A552" s="16" t="s">
        <v>106</v>
      </c>
      <c r="B552" s="16" t="s">
        <v>101</v>
      </c>
      <c r="C552" s="21" t="s">
        <v>75</v>
      </c>
      <c r="D552" s="35"/>
      <c r="E552" s="64" t="s">
        <v>635</v>
      </c>
      <c r="F552" s="62">
        <f>F553+F557+F575</f>
        <v>8945.6</v>
      </c>
      <c r="G552" s="62">
        <f t="shared" ref="G552:H552" si="181">G553+G557+G575</f>
        <v>8622.9000000000015</v>
      </c>
      <c r="H552" s="62">
        <f t="shared" si="181"/>
        <v>8622.8000000000011</v>
      </c>
    </row>
    <row r="553" spans="1:8" s="20" customFormat="1" ht="39" customHeight="1" x14ac:dyDescent="0.25">
      <c r="A553" s="16" t="s">
        <v>106</v>
      </c>
      <c r="B553" s="16" t="s">
        <v>101</v>
      </c>
      <c r="C553" s="52" t="s">
        <v>77</v>
      </c>
      <c r="D553" s="21"/>
      <c r="E553" s="46" t="s">
        <v>619</v>
      </c>
      <c r="F553" s="58">
        <f>F554</f>
        <v>135.30000000000001</v>
      </c>
      <c r="G553" s="58">
        <f t="shared" ref="G553:H553" si="182">G554</f>
        <v>135.30000000000001</v>
      </c>
      <c r="H553" s="58">
        <f t="shared" si="182"/>
        <v>135.19999999999999</v>
      </c>
    </row>
    <row r="554" spans="1:8" s="20" customFormat="1" ht="38.25" x14ac:dyDescent="0.25">
      <c r="A554" s="16" t="s">
        <v>106</v>
      </c>
      <c r="B554" s="16" t="s">
        <v>101</v>
      </c>
      <c r="C554" s="57" t="s">
        <v>615</v>
      </c>
      <c r="D554" s="21"/>
      <c r="E554" s="101" t="s">
        <v>136</v>
      </c>
      <c r="F554" s="41">
        <f>SUM(F555:F556)</f>
        <v>135.30000000000001</v>
      </c>
      <c r="G554" s="41">
        <f>SUM(G555:G556)</f>
        <v>135.30000000000001</v>
      </c>
      <c r="H554" s="41">
        <f>SUM(H555:H556)</f>
        <v>135.19999999999999</v>
      </c>
    </row>
    <row r="555" spans="1:8" s="20" customFormat="1" ht="25.5" x14ac:dyDescent="0.25">
      <c r="A555" s="16" t="s">
        <v>106</v>
      </c>
      <c r="B555" s="16" t="s">
        <v>101</v>
      </c>
      <c r="C555" s="57" t="s">
        <v>615</v>
      </c>
      <c r="D555" s="84" t="s">
        <v>66</v>
      </c>
      <c r="E555" s="55" t="s">
        <v>132</v>
      </c>
      <c r="F555" s="41">
        <f>64.4-26.3-14.3</f>
        <v>23.800000000000008</v>
      </c>
      <c r="G555" s="41">
        <v>64.400000000000006</v>
      </c>
      <c r="H555" s="41">
        <v>64.400000000000006</v>
      </c>
    </row>
    <row r="556" spans="1:8" s="20" customFormat="1" ht="38.25" x14ac:dyDescent="0.25">
      <c r="A556" s="16" t="s">
        <v>106</v>
      </c>
      <c r="B556" s="16" t="s">
        <v>101</v>
      </c>
      <c r="C556" s="57" t="s">
        <v>615</v>
      </c>
      <c r="D556" s="84" t="s">
        <v>214</v>
      </c>
      <c r="E556" s="101" t="s">
        <v>215</v>
      </c>
      <c r="F556" s="41">
        <f>70.9+26.3+14.3</f>
        <v>111.5</v>
      </c>
      <c r="G556" s="41">
        <v>70.900000000000006</v>
      </c>
      <c r="H556" s="41">
        <v>70.8</v>
      </c>
    </row>
    <row r="557" spans="1:8" s="20" customFormat="1" ht="30" customHeight="1" x14ac:dyDescent="0.25">
      <c r="A557" s="16" t="s">
        <v>106</v>
      </c>
      <c r="B557" s="16" t="s">
        <v>101</v>
      </c>
      <c r="C557" s="52" t="s">
        <v>456</v>
      </c>
      <c r="D557" s="84"/>
      <c r="E557" s="46" t="s">
        <v>455</v>
      </c>
      <c r="F557" s="110">
        <f>F558+F560+F562+F564+F566+F569+F571+F573</f>
        <v>1497</v>
      </c>
      <c r="G557" s="110">
        <f t="shared" ref="G557:H557" si="183">G558+G560+G562+G564+G566+G569+G571+G573</f>
        <v>1440.4</v>
      </c>
      <c r="H557" s="110">
        <f t="shared" si="183"/>
        <v>1440.4</v>
      </c>
    </row>
    <row r="558" spans="1:8" s="20" customFormat="1" ht="51.75" x14ac:dyDescent="0.25">
      <c r="A558" s="16" t="s">
        <v>106</v>
      </c>
      <c r="B558" s="16" t="s">
        <v>101</v>
      </c>
      <c r="C558" s="21" t="s">
        <v>616</v>
      </c>
      <c r="D558" s="16"/>
      <c r="E558" s="100" t="s">
        <v>458</v>
      </c>
      <c r="F558" s="102">
        <f>F559</f>
        <v>120.1</v>
      </c>
      <c r="G558" s="102">
        <f>G559</f>
        <v>129.1</v>
      </c>
      <c r="H558" s="102">
        <f>H559</f>
        <v>129.1</v>
      </c>
    </row>
    <row r="559" spans="1:8" s="20" customFormat="1" ht="15" x14ac:dyDescent="0.25">
      <c r="A559" s="16" t="s">
        <v>106</v>
      </c>
      <c r="B559" s="16" t="s">
        <v>101</v>
      </c>
      <c r="C559" s="21" t="s">
        <v>616</v>
      </c>
      <c r="D559" s="84" t="s">
        <v>370</v>
      </c>
      <c r="E559" s="101" t="s">
        <v>371</v>
      </c>
      <c r="F559" s="41">
        <f>129.1-9</f>
        <v>120.1</v>
      </c>
      <c r="G559" s="41">
        <v>129.1</v>
      </c>
      <c r="H559" s="41">
        <v>129.1</v>
      </c>
    </row>
    <row r="560" spans="1:8" s="20" customFormat="1" ht="38.25" x14ac:dyDescent="0.25">
      <c r="A560" s="16" t="s">
        <v>106</v>
      </c>
      <c r="B560" s="16" t="s">
        <v>101</v>
      </c>
      <c r="C560" s="57" t="s">
        <v>617</v>
      </c>
      <c r="D560" s="16"/>
      <c r="E560" s="101" t="s">
        <v>51</v>
      </c>
      <c r="F560" s="41">
        <f>F561</f>
        <v>178.1</v>
      </c>
      <c r="G560" s="41">
        <f>G561</f>
        <v>176.1</v>
      </c>
      <c r="H560" s="41">
        <f>H561</f>
        <v>176.1</v>
      </c>
    </row>
    <row r="561" spans="1:8" s="20" customFormat="1" ht="38.25" x14ac:dyDescent="0.25">
      <c r="A561" s="16" t="s">
        <v>106</v>
      </c>
      <c r="B561" s="16" t="s">
        <v>101</v>
      </c>
      <c r="C561" s="57" t="s">
        <v>617</v>
      </c>
      <c r="D561" s="84" t="s">
        <v>214</v>
      </c>
      <c r="E561" s="101" t="s">
        <v>215</v>
      </c>
      <c r="F561" s="41">
        <f>176.1-4.6+6.6</f>
        <v>178.1</v>
      </c>
      <c r="G561" s="41">
        <v>176.1</v>
      </c>
      <c r="H561" s="41">
        <v>176.1</v>
      </c>
    </row>
    <row r="562" spans="1:8" s="20" customFormat="1" ht="39" x14ac:dyDescent="0.25">
      <c r="A562" s="16" t="s">
        <v>106</v>
      </c>
      <c r="B562" s="16" t="s">
        <v>101</v>
      </c>
      <c r="C562" s="57" t="s">
        <v>614</v>
      </c>
      <c r="D562" s="16"/>
      <c r="E562" s="153" t="s">
        <v>660</v>
      </c>
      <c r="F562" s="97">
        <f>F563</f>
        <v>68.8</v>
      </c>
      <c r="G562" s="97">
        <f>G563</f>
        <v>55.2</v>
      </c>
      <c r="H562" s="97">
        <f>H563</f>
        <v>55.2</v>
      </c>
    </row>
    <row r="563" spans="1:8" s="20" customFormat="1" ht="15" x14ac:dyDescent="0.25">
      <c r="A563" s="16" t="s">
        <v>106</v>
      </c>
      <c r="B563" s="16" t="s">
        <v>101</v>
      </c>
      <c r="C563" s="57" t="s">
        <v>614</v>
      </c>
      <c r="D563" s="21" t="s">
        <v>228</v>
      </c>
      <c r="E563" s="101" t="s">
        <v>227</v>
      </c>
      <c r="F563" s="97">
        <f>88.9-33.7+13.6</f>
        <v>68.8</v>
      </c>
      <c r="G563" s="97">
        <f t="shared" ref="G563:H563" si="184">88.9-33.7</f>
        <v>55.2</v>
      </c>
      <c r="H563" s="97">
        <f t="shared" si="184"/>
        <v>55.2</v>
      </c>
    </row>
    <row r="564" spans="1:8" s="20" customFormat="1" ht="63.75" x14ac:dyDescent="0.25">
      <c r="A564" s="16" t="s">
        <v>106</v>
      </c>
      <c r="B564" s="16" t="s">
        <v>101</v>
      </c>
      <c r="C564" s="81">
        <v>140323020</v>
      </c>
      <c r="D564" s="83"/>
      <c r="E564" s="101" t="s">
        <v>135</v>
      </c>
      <c r="F564" s="41">
        <f>F565</f>
        <v>281.3</v>
      </c>
      <c r="G564" s="41">
        <f>G565</f>
        <v>281.3</v>
      </c>
      <c r="H564" s="41">
        <f>H565</f>
        <v>281.3</v>
      </c>
    </row>
    <row r="565" spans="1:8" s="20" customFormat="1" ht="38.25" x14ac:dyDescent="0.25">
      <c r="A565" s="16" t="s">
        <v>106</v>
      </c>
      <c r="B565" s="16" t="s">
        <v>101</v>
      </c>
      <c r="C565" s="81">
        <v>140323020</v>
      </c>
      <c r="D565" s="84" t="s">
        <v>214</v>
      </c>
      <c r="E565" s="101" t="s">
        <v>215</v>
      </c>
      <c r="F565" s="41">
        <v>281.3</v>
      </c>
      <c r="G565" s="41">
        <v>281.3</v>
      </c>
      <c r="H565" s="41">
        <v>281.3</v>
      </c>
    </row>
    <row r="566" spans="1:8" s="20" customFormat="1" ht="96" customHeight="1" x14ac:dyDescent="0.25">
      <c r="A566" s="16" t="s">
        <v>106</v>
      </c>
      <c r="B566" s="16" t="s">
        <v>101</v>
      </c>
      <c r="C566" s="81">
        <v>140323025</v>
      </c>
      <c r="D566" s="83"/>
      <c r="E566" s="101" t="s">
        <v>662</v>
      </c>
      <c r="F566" s="41">
        <f>SUM(F567:F568)</f>
        <v>305.7</v>
      </c>
      <c r="G566" s="41">
        <f>G567</f>
        <v>305.7</v>
      </c>
      <c r="H566" s="41">
        <f>H567</f>
        <v>305.7</v>
      </c>
    </row>
    <row r="567" spans="1:8" s="20" customFormat="1" ht="38.25" x14ac:dyDescent="0.25">
      <c r="A567" s="16" t="s">
        <v>106</v>
      </c>
      <c r="B567" s="16" t="s">
        <v>101</v>
      </c>
      <c r="C567" s="81">
        <v>140323025</v>
      </c>
      <c r="D567" s="84" t="s">
        <v>214</v>
      </c>
      <c r="E567" s="101" t="s">
        <v>215</v>
      </c>
      <c r="F567" s="41">
        <f>305.7-35</f>
        <v>270.7</v>
      </c>
      <c r="G567" s="41">
        <v>305.7</v>
      </c>
      <c r="H567" s="41">
        <v>305.7</v>
      </c>
    </row>
    <row r="568" spans="1:8" s="20" customFormat="1" ht="15" x14ac:dyDescent="0.25">
      <c r="A568" s="16" t="s">
        <v>106</v>
      </c>
      <c r="B568" s="16" t="s">
        <v>101</v>
      </c>
      <c r="C568" s="81">
        <v>140323025</v>
      </c>
      <c r="D568" s="84" t="s">
        <v>730</v>
      </c>
      <c r="E568" s="101" t="s">
        <v>731</v>
      </c>
      <c r="F568" s="41">
        <v>35</v>
      </c>
      <c r="G568" s="41">
        <v>0</v>
      </c>
      <c r="H568" s="41">
        <v>0</v>
      </c>
    </row>
    <row r="569" spans="1:8" s="20" customFormat="1" ht="63.75" x14ac:dyDescent="0.25">
      <c r="A569" s="16" t="s">
        <v>106</v>
      </c>
      <c r="B569" s="16" t="s">
        <v>101</v>
      </c>
      <c r="C569" s="81" t="s">
        <v>463</v>
      </c>
      <c r="D569" s="84"/>
      <c r="E569" s="101" t="s">
        <v>464</v>
      </c>
      <c r="F569" s="41">
        <f>F570</f>
        <v>83</v>
      </c>
      <c r="G569" s="41">
        <f>G570</f>
        <v>83</v>
      </c>
      <c r="H569" s="41">
        <f>H570</f>
        <v>83</v>
      </c>
    </row>
    <row r="570" spans="1:8" s="20" customFormat="1" ht="38.25" x14ac:dyDescent="0.25">
      <c r="A570" s="16" t="s">
        <v>106</v>
      </c>
      <c r="B570" s="16" t="s">
        <v>101</v>
      </c>
      <c r="C570" s="81" t="s">
        <v>463</v>
      </c>
      <c r="D570" s="84" t="s">
        <v>214</v>
      </c>
      <c r="E570" s="101" t="s">
        <v>215</v>
      </c>
      <c r="F570" s="41">
        <f>49.3+33.7</f>
        <v>83</v>
      </c>
      <c r="G570" s="41">
        <f t="shared" ref="G570:H570" si="185">49.3+33.7</f>
        <v>83</v>
      </c>
      <c r="H570" s="41">
        <f t="shared" si="185"/>
        <v>83</v>
      </c>
    </row>
    <row r="571" spans="1:8" s="36" customFormat="1" ht="38.25" x14ac:dyDescent="0.2">
      <c r="A571" s="16" t="s">
        <v>106</v>
      </c>
      <c r="B571" s="16" t="s">
        <v>101</v>
      </c>
      <c r="C571" s="81">
        <v>140311080</v>
      </c>
      <c r="D571" s="84"/>
      <c r="E571" s="101" t="s">
        <v>465</v>
      </c>
      <c r="F571" s="41">
        <f>F572</f>
        <v>410</v>
      </c>
      <c r="G571" s="41">
        <f>G572</f>
        <v>410</v>
      </c>
      <c r="H571" s="41">
        <f>H572</f>
        <v>410</v>
      </c>
    </row>
    <row r="572" spans="1:8" ht="38.25" x14ac:dyDescent="0.2">
      <c r="A572" s="16" t="s">
        <v>106</v>
      </c>
      <c r="B572" s="16" t="s">
        <v>101</v>
      </c>
      <c r="C572" s="81">
        <v>140311080</v>
      </c>
      <c r="D572" s="84" t="s">
        <v>214</v>
      </c>
      <c r="E572" s="101" t="s">
        <v>215</v>
      </c>
      <c r="F572" s="163">
        <v>410</v>
      </c>
      <c r="G572" s="163">
        <v>410</v>
      </c>
      <c r="H572" s="163">
        <v>410</v>
      </c>
    </row>
    <row r="573" spans="1:8" ht="63.75" x14ac:dyDescent="0.2">
      <c r="A573" s="16" t="s">
        <v>106</v>
      </c>
      <c r="B573" s="16" t="s">
        <v>101</v>
      </c>
      <c r="C573" s="21" t="s">
        <v>737</v>
      </c>
      <c r="D573" s="84"/>
      <c r="E573" s="160" t="s">
        <v>735</v>
      </c>
      <c r="F573" s="163">
        <f>F574</f>
        <v>50</v>
      </c>
      <c r="G573" s="163">
        <v>0</v>
      </c>
      <c r="H573" s="163">
        <v>0</v>
      </c>
    </row>
    <row r="574" spans="1:8" ht="38.25" x14ac:dyDescent="0.2">
      <c r="A574" s="16" t="s">
        <v>106</v>
      </c>
      <c r="B574" s="16" t="s">
        <v>101</v>
      </c>
      <c r="C574" s="21" t="s">
        <v>737</v>
      </c>
      <c r="D574" s="84" t="s">
        <v>214</v>
      </c>
      <c r="E574" s="101" t="s">
        <v>215</v>
      </c>
      <c r="F574" s="163">
        <v>50</v>
      </c>
      <c r="G574" s="163">
        <v>0</v>
      </c>
      <c r="H574" s="163">
        <v>0</v>
      </c>
    </row>
    <row r="575" spans="1:8" x14ac:dyDescent="0.2">
      <c r="A575" s="16" t="s">
        <v>106</v>
      </c>
      <c r="B575" s="16" t="s">
        <v>101</v>
      </c>
      <c r="C575" s="52" t="s">
        <v>78</v>
      </c>
      <c r="D575" s="16"/>
      <c r="E575" s="66" t="s">
        <v>48</v>
      </c>
      <c r="F575" s="96">
        <f>F576</f>
        <v>7313.3</v>
      </c>
      <c r="G575" s="96">
        <f>G576</f>
        <v>7047.2000000000007</v>
      </c>
      <c r="H575" s="96">
        <f>H576</f>
        <v>7047.2000000000007</v>
      </c>
    </row>
    <row r="576" spans="1:8" ht="63.75" x14ac:dyDescent="0.2">
      <c r="A576" s="16" t="s">
        <v>106</v>
      </c>
      <c r="B576" s="16" t="s">
        <v>101</v>
      </c>
      <c r="C576" s="81">
        <v>190022200</v>
      </c>
      <c r="D576" s="84"/>
      <c r="E576" s="101" t="s">
        <v>466</v>
      </c>
      <c r="F576" s="41">
        <f>SUM(F577:F579)</f>
        <v>7313.3</v>
      </c>
      <c r="G576" s="41">
        <f t="shared" ref="G576:H576" si="186">SUM(G577:G579)</f>
        <v>7047.2000000000007</v>
      </c>
      <c r="H576" s="41">
        <f t="shared" si="186"/>
        <v>7047.2000000000007</v>
      </c>
    </row>
    <row r="577" spans="1:8" ht="38.25" x14ac:dyDescent="0.2">
      <c r="A577" s="16" t="s">
        <v>106</v>
      </c>
      <c r="B577" s="16" t="s">
        <v>101</v>
      </c>
      <c r="C577" s="81">
        <v>190022200</v>
      </c>
      <c r="D577" s="16" t="s">
        <v>64</v>
      </c>
      <c r="E577" s="55" t="s">
        <v>65</v>
      </c>
      <c r="F577" s="41">
        <f>6640.6+20+266.1</f>
        <v>6926.7000000000007</v>
      </c>
      <c r="G577" s="41">
        <v>6640.6</v>
      </c>
      <c r="H577" s="41">
        <v>6640.6</v>
      </c>
    </row>
    <row r="578" spans="1:8" ht="38.25" x14ac:dyDescent="0.2">
      <c r="A578" s="16" t="s">
        <v>106</v>
      </c>
      <c r="B578" s="16" t="s">
        <v>101</v>
      </c>
      <c r="C578" s="81">
        <v>190022200</v>
      </c>
      <c r="D578" s="84" t="s">
        <v>214</v>
      </c>
      <c r="E578" s="101" t="s">
        <v>215</v>
      </c>
      <c r="F578" s="41">
        <f>406.6-0.2-20</f>
        <v>386.40000000000003</v>
      </c>
      <c r="G578" s="41">
        <v>406.6</v>
      </c>
      <c r="H578" s="41">
        <v>406.6</v>
      </c>
    </row>
    <row r="579" spans="1:8" ht="25.5" x14ac:dyDescent="0.2">
      <c r="A579" s="16" t="s">
        <v>106</v>
      </c>
      <c r="B579" s="16" t="s">
        <v>101</v>
      </c>
      <c r="C579" s="81">
        <v>190022200</v>
      </c>
      <c r="D579" s="84" t="s">
        <v>133</v>
      </c>
      <c r="E579" s="101" t="s">
        <v>134</v>
      </c>
      <c r="F579" s="41">
        <v>0.2</v>
      </c>
      <c r="G579" s="41">
        <v>0</v>
      </c>
      <c r="H579" s="41">
        <v>0</v>
      </c>
    </row>
    <row r="580" spans="1:8" ht="15.75" x14ac:dyDescent="0.25">
      <c r="A580" s="4" t="s">
        <v>103</v>
      </c>
      <c r="B580" s="3"/>
      <c r="C580" s="3"/>
      <c r="D580" s="3"/>
      <c r="E580" s="49" t="s">
        <v>21</v>
      </c>
      <c r="F580" s="95">
        <f>F581+F618</f>
        <v>157995.00000000003</v>
      </c>
      <c r="G580" s="95">
        <f>G581+G618</f>
        <v>57455.200000000004</v>
      </c>
      <c r="H580" s="95">
        <f>H581+H618</f>
        <v>58382.8</v>
      </c>
    </row>
    <row r="581" spans="1:8" s="37" customFormat="1" ht="14.25" x14ac:dyDescent="0.2">
      <c r="A581" s="35" t="s">
        <v>103</v>
      </c>
      <c r="B581" s="35" t="s">
        <v>90</v>
      </c>
      <c r="C581" s="35"/>
      <c r="D581" s="35"/>
      <c r="E581" s="45" t="s">
        <v>108</v>
      </c>
      <c r="F581" s="42">
        <f>F582+F607+F613</f>
        <v>154644.40000000002</v>
      </c>
      <c r="G581" s="42">
        <f>G582+G613</f>
        <v>54304.800000000003</v>
      </c>
      <c r="H581" s="42">
        <f>H582+H613</f>
        <v>55232.4</v>
      </c>
    </row>
    <row r="582" spans="1:8" s="37" customFormat="1" ht="90" x14ac:dyDescent="0.25">
      <c r="A582" s="16" t="s">
        <v>103</v>
      </c>
      <c r="B582" s="16" t="s">
        <v>90</v>
      </c>
      <c r="C582" s="73" t="s">
        <v>61</v>
      </c>
      <c r="D582" s="35"/>
      <c r="E582" s="53" t="s">
        <v>636</v>
      </c>
      <c r="F582" s="65">
        <f t="shared" ref="F582:H582" si="187">F583</f>
        <v>78556.400000000023</v>
      </c>
      <c r="G582" s="65">
        <f t="shared" si="187"/>
        <v>54304.800000000003</v>
      </c>
      <c r="H582" s="65">
        <f t="shared" si="187"/>
        <v>55232.4</v>
      </c>
    </row>
    <row r="583" spans="1:8" s="37" customFormat="1" ht="25.5" x14ac:dyDescent="0.2">
      <c r="A583" s="16" t="s">
        <v>103</v>
      </c>
      <c r="B583" s="16" t="s">
        <v>90</v>
      </c>
      <c r="C583" s="21" t="s">
        <v>62</v>
      </c>
      <c r="D583" s="35"/>
      <c r="E583" s="48" t="s">
        <v>174</v>
      </c>
      <c r="F583" s="58">
        <f>F584+F587+F589+F592+F595+F597+F599+F601+F603+F605</f>
        <v>78556.400000000023</v>
      </c>
      <c r="G583" s="58">
        <f t="shared" ref="G583:H583" si="188">G584+G587+G589+G592+G595+G597+G599+G603+G605</f>
        <v>54304.800000000003</v>
      </c>
      <c r="H583" s="58">
        <f t="shared" si="188"/>
        <v>55232.4</v>
      </c>
    </row>
    <row r="584" spans="1:8" s="37" customFormat="1" ht="23.25" customHeight="1" x14ac:dyDescent="0.2">
      <c r="A584" s="16" t="s">
        <v>103</v>
      </c>
      <c r="B584" s="16" t="s">
        <v>90</v>
      </c>
      <c r="C584" s="74">
        <v>210122900</v>
      </c>
      <c r="D584" s="16"/>
      <c r="E584" s="181" t="s">
        <v>173</v>
      </c>
      <c r="F584" s="39">
        <f>F585+F586</f>
        <v>10300.900000000001</v>
      </c>
      <c r="G584" s="39">
        <f>G585+G586</f>
        <v>10073.6</v>
      </c>
      <c r="H584" s="39">
        <f>H585+H586</f>
        <v>10310.799999999999</v>
      </c>
    </row>
    <row r="585" spans="1:8" s="37" customFormat="1" ht="25.5" x14ac:dyDescent="0.2">
      <c r="A585" s="16" t="s">
        <v>103</v>
      </c>
      <c r="B585" s="16" t="s">
        <v>90</v>
      </c>
      <c r="C585" s="74">
        <v>210122900</v>
      </c>
      <c r="D585" s="84" t="s">
        <v>66</v>
      </c>
      <c r="E585" s="55" t="s">
        <v>132</v>
      </c>
      <c r="F585" s="39">
        <v>5635.6</v>
      </c>
      <c r="G585" s="39">
        <v>5635.6</v>
      </c>
      <c r="H585" s="39">
        <v>5635.6</v>
      </c>
    </row>
    <row r="586" spans="1:8" s="37" customFormat="1" ht="38.25" x14ac:dyDescent="0.2">
      <c r="A586" s="16" t="s">
        <v>103</v>
      </c>
      <c r="B586" s="16" t="s">
        <v>90</v>
      </c>
      <c r="C586" s="74">
        <v>210122900</v>
      </c>
      <c r="D586" s="84" t="s">
        <v>214</v>
      </c>
      <c r="E586" s="101" t="s">
        <v>215</v>
      </c>
      <c r="F586" s="39">
        <f>4888.4+14.8-301.9+64</f>
        <v>4665.3</v>
      </c>
      <c r="G586" s="39">
        <v>4438</v>
      </c>
      <c r="H586" s="39">
        <v>4675.2</v>
      </c>
    </row>
    <row r="587" spans="1:8" s="37" customFormat="1" ht="51" x14ac:dyDescent="0.2">
      <c r="A587" s="16" t="s">
        <v>103</v>
      </c>
      <c r="B587" s="16" t="s">
        <v>90</v>
      </c>
      <c r="C587" s="74">
        <v>210121100</v>
      </c>
      <c r="D587" s="16"/>
      <c r="E587" s="181" t="s">
        <v>175</v>
      </c>
      <c r="F587" s="39">
        <f>F588</f>
        <v>26410.7</v>
      </c>
      <c r="G587" s="39">
        <f>G588</f>
        <v>25794.799999999999</v>
      </c>
      <c r="H587" s="39">
        <f>H588</f>
        <v>26485.200000000001</v>
      </c>
    </row>
    <row r="588" spans="1:8" s="37" customFormat="1" ht="14.25" x14ac:dyDescent="0.2">
      <c r="A588" s="16" t="s">
        <v>103</v>
      </c>
      <c r="B588" s="16" t="s">
        <v>90</v>
      </c>
      <c r="C588" s="74">
        <v>210121100</v>
      </c>
      <c r="D588" s="21" t="s">
        <v>228</v>
      </c>
      <c r="E588" s="101" t="s">
        <v>227</v>
      </c>
      <c r="F588" s="39">
        <f>26548.3+236.7-102-240-32.3</f>
        <v>26410.7</v>
      </c>
      <c r="G588" s="148">
        <v>25794.799999999999</v>
      </c>
      <c r="H588" s="148">
        <v>26485.200000000001</v>
      </c>
    </row>
    <row r="589" spans="1:8" s="37" customFormat="1" ht="51" x14ac:dyDescent="0.2">
      <c r="A589" s="16" t="s">
        <v>103</v>
      </c>
      <c r="B589" s="16" t="s">
        <v>90</v>
      </c>
      <c r="C589" s="74" t="s">
        <v>467</v>
      </c>
      <c r="D589" s="84"/>
      <c r="E589" s="101" t="s">
        <v>324</v>
      </c>
      <c r="F589" s="39">
        <f>SUM(F590:F591)</f>
        <v>232.3</v>
      </c>
      <c r="G589" s="39">
        <f>SUM(G590:G591)</f>
        <v>200</v>
      </c>
      <c r="H589" s="39">
        <f>SUM(H590:H591)</f>
        <v>200</v>
      </c>
    </row>
    <row r="590" spans="1:8" s="37" customFormat="1" ht="25.5" x14ac:dyDescent="0.2">
      <c r="A590" s="16" t="s">
        <v>103</v>
      </c>
      <c r="B590" s="16" t="s">
        <v>90</v>
      </c>
      <c r="C590" s="74" t="s">
        <v>467</v>
      </c>
      <c r="D590" s="84" t="s">
        <v>66</v>
      </c>
      <c r="E590" s="55" t="s">
        <v>132</v>
      </c>
      <c r="F590" s="163">
        <v>50</v>
      </c>
      <c r="G590" s="163">
        <v>50</v>
      </c>
      <c r="H590" s="163">
        <v>50</v>
      </c>
    </row>
    <row r="591" spans="1:8" s="37" customFormat="1" ht="14.25" x14ac:dyDescent="0.2">
      <c r="A591" s="16" t="s">
        <v>103</v>
      </c>
      <c r="B591" s="16" t="s">
        <v>90</v>
      </c>
      <c r="C591" s="74" t="s">
        <v>467</v>
      </c>
      <c r="D591" s="21" t="s">
        <v>228</v>
      </c>
      <c r="E591" s="101" t="s">
        <v>227</v>
      </c>
      <c r="F591" s="39">
        <f>150+32.3</f>
        <v>182.3</v>
      </c>
      <c r="G591" s="39">
        <v>150</v>
      </c>
      <c r="H591" s="39">
        <v>150</v>
      </c>
    </row>
    <row r="592" spans="1:8" s="37" customFormat="1" ht="51" x14ac:dyDescent="0.2">
      <c r="A592" s="16" t="s">
        <v>103</v>
      </c>
      <c r="B592" s="16" t="s">
        <v>90</v>
      </c>
      <c r="C592" s="74">
        <v>210110680</v>
      </c>
      <c r="D592" s="84"/>
      <c r="E592" s="101" t="s">
        <v>364</v>
      </c>
      <c r="F592" s="39">
        <f>SUM(F593:F594)</f>
        <v>23004.6</v>
      </c>
      <c r="G592" s="39">
        <f t="shared" ref="G592:H592" si="189">SUM(G593:G594)</f>
        <v>18200.400000000001</v>
      </c>
      <c r="H592" s="39">
        <f t="shared" si="189"/>
        <v>18200.400000000001</v>
      </c>
    </row>
    <row r="593" spans="1:8" s="37" customFormat="1" ht="25.5" x14ac:dyDescent="0.2">
      <c r="A593" s="16" t="s">
        <v>103</v>
      </c>
      <c r="B593" s="16" t="s">
        <v>90</v>
      </c>
      <c r="C593" s="74">
        <v>210110680</v>
      </c>
      <c r="D593" s="84" t="s">
        <v>66</v>
      </c>
      <c r="E593" s="55" t="s">
        <v>132</v>
      </c>
      <c r="F593" s="163">
        <f>5432+1219.9</f>
        <v>6651.9</v>
      </c>
      <c r="G593" s="163">
        <v>5432</v>
      </c>
      <c r="H593" s="163">
        <v>5432</v>
      </c>
    </row>
    <row r="594" spans="1:8" s="37" customFormat="1" ht="14.25" x14ac:dyDescent="0.2">
      <c r="A594" s="16" t="s">
        <v>103</v>
      </c>
      <c r="B594" s="16" t="s">
        <v>90</v>
      </c>
      <c r="C594" s="74">
        <v>210110680</v>
      </c>
      <c r="D594" s="21" t="s">
        <v>228</v>
      </c>
      <c r="E594" s="101" t="s">
        <v>227</v>
      </c>
      <c r="F594" s="39">
        <f>12768.4+3584.3</f>
        <v>16352.7</v>
      </c>
      <c r="G594" s="39">
        <v>12768.4</v>
      </c>
      <c r="H594" s="39">
        <v>12768.4</v>
      </c>
    </row>
    <row r="595" spans="1:8" s="37" customFormat="1" ht="51" x14ac:dyDescent="0.2">
      <c r="A595" s="16" t="s">
        <v>103</v>
      </c>
      <c r="B595" s="16" t="s">
        <v>90</v>
      </c>
      <c r="C595" s="154" t="s">
        <v>470</v>
      </c>
      <c r="D595" s="84"/>
      <c r="E595" s="160" t="s">
        <v>382</v>
      </c>
      <c r="F595" s="39">
        <f>F596</f>
        <v>187.3</v>
      </c>
      <c r="G595" s="39">
        <f>G596</f>
        <v>35</v>
      </c>
      <c r="H595" s="39">
        <f>H596</f>
        <v>35</v>
      </c>
    </row>
    <row r="596" spans="1:8" s="37" customFormat="1" ht="14.25" x14ac:dyDescent="0.2">
      <c r="A596" s="16" t="s">
        <v>103</v>
      </c>
      <c r="B596" s="16" t="s">
        <v>90</v>
      </c>
      <c r="C596" s="154" t="s">
        <v>470</v>
      </c>
      <c r="D596" s="21" t="s">
        <v>228</v>
      </c>
      <c r="E596" s="101" t="s">
        <v>227</v>
      </c>
      <c r="F596" s="39">
        <f>35+180.3-28</f>
        <v>187.3</v>
      </c>
      <c r="G596" s="39">
        <v>35</v>
      </c>
      <c r="H596" s="39">
        <v>35</v>
      </c>
    </row>
    <row r="597" spans="1:8" s="37" customFormat="1" ht="43.5" customHeight="1" x14ac:dyDescent="0.2">
      <c r="A597" s="16" t="s">
        <v>103</v>
      </c>
      <c r="B597" s="16" t="s">
        <v>90</v>
      </c>
      <c r="C597" s="165" t="s">
        <v>472</v>
      </c>
      <c r="D597" s="21"/>
      <c r="E597" s="101" t="s">
        <v>471</v>
      </c>
      <c r="F597" s="39">
        <f>F598</f>
        <v>953</v>
      </c>
      <c r="G597" s="39">
        <f>G598</f>
        <v>0</v>
      </c>
      <c r="H597" s="39">
        <f>H598</f>
        <v>0</v>
      </c>
    </row>
    <row r="598" spans="1:8" s="37" customFormat="1" ht="14.25" x14ac:dyDescent="0.2">
      <c r="A598" s="16" t="s">
        <v>103</v>
      </c>
      <c r="B598" s="16" t="s">
        <v>90</v>
      </c>
      <c r="C598" s="165" t="s">
        <v>472</v>
      </c>
      <c r="D598" s="21" t="s">
        <v>228</v>
      </c>
      <c r="E598" s="101" t="s">
        <v>227</v>
      </c>
      <c r="F598" s="39">
        <f>223+800-70</f>
        <v>953</v>
      </c>
      <c r="G598" s="39">
        <v>0</v>
      </c>
      <c r="H598" s="39">
        <v>0</v>
      </c>
    </row>
    <row r="599" spans="1:8" s="37" customFormat="1" ht="51" x14ac:dyDescent="0.2">
      <c r="A599" s="16" t="s">
        <v>103</v>
      </c>
      <c r="B599" s="16" t="s">
        <v>90</v>
      </c>
      <c r="C599" s="165" t="s">
        <v>762</v>
      </c>
      <c r="D599" s="21"/>
      <c r="E599" s="101" t="s">
        <v>763</v>
      </c>
      <c r="F599" s="39">
        <f>F600</f>
        <v>740</v>
      </c>
      <c r="G599" s="39">
        <f t="shared" ref="G599:H601" si="190">G600</f>
        <v>0</v>
      </c>
      <c r="H599" s="39">
        <f t="shared" si="190"/>
        <v>0</v>
      </c>
    </row>
    <row r="600" spans="1:8" s="37" customFormat="1" ht="14.25" x14ac:dyDescent="0.2">
      <c r="A600" s="16" t="s">
        <v>103</v>
      </c>
      <c r="B600" s="16" t="s">
        <v>90</v>
      </c>
      <c r="C600" s="165" t="s">
        <v>762</v>
      </c>
      <c r="D600" s="21" t="s">
        <v>228</v>
      </c>
      <c r="E600" s="101" t="s">
        <v>227</v>
      </c>
      <c r="F600" s="39">
        <v>740</v>
      </c>
      <c r="G600" s="39">
        <v>0</v>
      </c>
      <c r="H600" s="39">
        <v>0</v>
      </c>
    </row>
    <row r="601" spans="1:8" s="37" customFormat="1" ht="51" x14ac:dyDescent="0.2">
      <c r="A601" s="16" t="s">
        <v>103</v>
      </c>
      <c r="B601" s="16" t="s">
        <v>90</v>
      </c>
      <c r="C601" s="165" t="s">
        <v>817</v>
      </c>
      <c r="D601" s="21"/>
      <c r="E601" s="101" t="s">
        <v>763</v>
      </c>
      <c r="F601" s="39">
        <f>F602</f>
        <v>6660</v>
      </c>
      <c r="G601" s="39">
        <f t="shared" si="190"/>
        <v>0</v>
      </c>
      <c r="H601" s="39">
        <f t="shared" si="190"/>
        <v>0</v>
      </c>
    </row>
    <row r="602" spans="1:8" s="37" customFormat="1" ht="14.25" x14ac:dyDescent="0.2">
      <c r="A602" s="16" t="s">
        <v>103</v>
      </c>
      <c r="B602" s="16" t="s">
        <v>90</v>
      </c>
      <c r="C602" s="165" t="s">
        <v>817</v>
      </c>
      <c r="D602" s="21" t="s">
        <v>228</v>
      </c>
      <c r="E602" s="101" t="s">
        <v>227</v>
      </c>
      <c r="F602" s="39">
        <v>6660</v>
      </c>
      <c r="G602" s="39">
        <v>0</v>
      </c>
      <c r="H602" s="39">
        <v>0</v>
      </c>
    </row>
    <row r="603" spans="1:8" s="37" customFormat="1" ht="25.5" x14ac:dyDescent="0.2">
      <c r="A603" s="16" t="s">
        <v>103</v>
      </c>
      <c r="B603" s="16" t="s">
        <v>90</v>
      </c>
      <c r="C603" s="165" t="s">
        <v>656</v>
      </c>
      <c r="D603" s="21"/>
      <c r="E603" s="101" t="s">
        <v>657</v>
      </c>
      <c r="F603" s="39">
        <f>F604</f>
        <v>10000</v>
      </c>
      <c r="G603" s="39">
        <f t="shared" ref="G603:H603" si="191">G604</f>
        <v>0</v>
      </c>
      <c r="H603" s="39">
        <f t="shared" si="191"/>
        <v>0</v>
      </c>
    </row>
    <row r="604" spans="1:8" s="37" customFormat="1" ht="38.25" x14ac:dyDescent="0.2">
      <c r="A604" s="16" t="s">
        <v>103</v>
      </c>
      <c r="B604" s="16" t="s">
        <v>90</v>
      </c>
      <c r="C604" s="165" t="s">
        <v>656</v>
      </c>
      <c r="D604" s="84" t="s">
        <v>214</v>
      </c>
      <c r="E604" s="101" t="s">
        <v>215</v>
      </c>
      <c r="F604" s="39">
        <v>10000</v>
      </c>
      <c r="G604" s="39">
        <v>0</v>
      </c>
      <c r="H604" s="39">
        <v>0</v>
      </c>
    </row>
    <row r="605" spans="1:8" s="37" customFormat="1" ht="63.75" x14ac:dyDescent="0.2">
      <c r="A605" s="16" t="s">
        <v>103</v>
      </c>
      <c r="B605" s="16" t="s">
        <v>90</v>
      </c>
      <c r="C605" s="165" t="s">
        <v>480</v>
      </c>
      <c r="D605" s="21"/>
      <c r="E605" s="101" t="s">
        <v>479</v>
      </c>
      <c r="F605" s="39">
        <f>F606</f>
        <v>67.599999999999994</v>
      </c>
      <c r="G605" s="39">
        <f>G606</f>
        <v>1</v>
      </c>
      <c r="H605" s="39">
        <f>H606</f>
        <v>1</v>
      </c>
    </row>
    <row r="606" spans="1:8" s="37" customFormat="1" ht="14.25" x14ac:dyDescent="0.2">
      <c r="A606" s="16" t="s">
        <v>103</v>
      </c>
      <c r="B606" s="16" t="s">
        <v>90</v>
      </c>
      <c r="C606" s="165" t="s">
        <v>480</v>
      </c>
      <c r="D606" s="21" t="s">
        <v>228</v>
      </c>
      <c r="E606" s="101" t="s">
        <v>227</v>
      </c>
      <c r="F606" s="39">
        <f>1+66.6</f>
        <v>67.599999999999994</v>
      </c>
      <c r="G606" s="39">
        <v>1</v>
      </c>
      <c r="H606" s="39">
        <v>1</v>
      </c>
    </row>
    <row r="607" spans="1:8" s="37" customFormat="1" ht="89.25" x14ac:dyDescent="0.2">
      <c r="A607" s="5" t="s">
        <v>103</v>
      </c>
      <c r="B607" s="5" t="s">
        <v>90</v>
      </c>
      <c r="C607" s="76">
        <v>1400000000</v>
      </c>
      <c r="D607" s="16"/>
      <c r="E607" s="185" t="s">
        <v>650</v>
      </c>
      <c r="F607" s="99">
        <f>F608</f>
        <v>75913</v>
      </c>
      <c r="G607" s="99">
        <f>G608</f>
        <v>0</v>
      </c>
      <c r="H607" s="99">
        <f>H608</f>
        <v>0</v>
      </c>
    </row>
    <row r="608" spans="1:8" s="37" customFormat="1" ht="89.25" x14ac:dyDescent="0.2">
      <c r="A608" s="47" t="s">
        <v>103</v>
      </c>
      <c r="B608" s="47" t="s">
        <v>90</v>
      </c>
      <c r="C608" s="75">
        <v>1410000000</v>
      </c>
      <c r="D608" s="16"/>
      <c r="E608" s="48" t="s">
        <v>219</v>
      </c>
      <c r="F608" s="96">
        <f>F609+F611</f>
        <v>75913</v>
      </c>
      <c r="G608" s="96">
        <f t="shared" ref="G608:H608" si="192">G609+G611</f>
        <v>0</v>
      </c>
      <c r="H608" s="96">
        <f t="shared" si="192"/>
        <v>0</v>
      </c>
    </row>
    <row r="609" spans="1:8" s="37" customFormat="1" ht="63.75" x14ac:dyDescent="0.2">
      <c r="A609" s="16" t="s">
        <v>103</v>
      </c>
      <c r="B609" s="16" t="s">
        <v>90</v>
      </c>
      <c r="C609" s="159" t="s">
        <v>366</v>
      </c>
      <c r="D609" s="16"/>
      <c r="E609" s="101" t="s">
        <v>367</v>
      </c>
      <c r="F609" s="41">
        <f>F610</f>
        <v>61913</v>
      </c>
      <c r="G609" s="41">
        <f>G610</f>
        <v>0</v>
      </c>
      <c r="H609" s="41">
        <f>H610</f>
        <v>0</v>
      </c>
    </row>
    <row r="610" spans="1:8" s="37" customFormat="1" ht="38.25" x14ac:dyDescent="0.2">
      <c r="A610" s="16" t="s">
        <v>103</v>
      </c>
      <c r="B610" s="16" t="s">
        <v>90</v>
      </c>
      <c r="C610" s="159" t="s">
        <v>366</v>
      </c>
      <c r="D610" s="84" t="s">
        <v>214</v>
      </c>
      <c r="E610" s="101" t="s">
        <v>215</v>
      </c>
      <c r="F610" s="41">
        <v>61913</v>
      </c>
      <c r="G610" s="41">
        <v>0</v>
      </c>
      <c r="H610" s="41">
        <v>0</v>
      </c>
    </row>
    <row r="611" spans="1:8" s="37" customFormat="1" ht="89.25" x14ac:dyDescent="0.2">
      <c r="A611" s="16" t="s">
        <v>103</v>
      </c>
      <c r="B611" s="16" t="s">
        <v>90</v>
      </c>
      <c r="C611" s="159" t="s">
        <v>754</v>
      </c>
      <c r="D611" s="84"/>
      <c r="E611" s="101" t="s">
        <v>756</v>
      </c>
      <c r="F611" s="41">
        <f>F612</f>
        <v>14000</v>
      </c>
      <c r="G611" s="41">
        <f t="shared" ref="G611:H611" si="193">G612</f>
        <v>0</v>
      </c>
      <c r="H611" s="41">
        <f t="shared" si="193"/>
        <v>0</v>
      </c>
    </row>
    <row r="612" spans="1:8" s="37" customFormat="1" ht="38.25" x14ac:dyDescent="0.2">
      <c r="A612" s="16" t="s">
        <v>103</v>
      </c>
      <c r="B612" s="16" t="s">
        <v>90</v>
      </c>
      <c r="C612" s="159" t="s">
        <v>754</v>
      </c>
      <c r="D612" s="84" t="s">
        <v>214</v>
      </c>
      <c r="E612" s="101" t="s">
        <v>215</v>
      </c>
      <c r="F612" s="41">
        <v>14000</v>
      </c>
      <c r="G612" s="41">
        <v>0</v>
      </c>
      <c r="H612" s="41">
        <v>0</v>
      </c>
    </row>
    <row r="613" spans="1:8" s="37" customFormat="1" ht="38.25" x14ac:dyDescent="0.2">
      <c r="A613" s="16" t="s">
        <v>103</v>
      </c>
      <c r="B613" s="16" t="s">
        <v>90</v>
      </c>
      <c r="C613" s="84" t="s">
        <v>26</v>
      </c>
      <c r="D613" s="84"/>
      <c r="E613" s="103" t="s">
        <v>40</v>
      </c>
      <c r="F613" s="41">
        <f>F614+F616</f>
        <v>175</v>
      </c>
      <c r="G613" s="41">
        <f t="shared" ref="G613:H613" si="194">G614+G616</f>
        <v>0</v>
      </c>
      <c r="H613" s="41">
        <f t="shared" si="194"/>
        <v>0</v>
      </c>
    </row>
    <row r="614" spans="1:8" s="37" customFormat="1" ht="52.5" customHeight="1" x14ac:dyDescent="0.2">
      <c r="A614" s="16" t="s">
        <v>103</v>
      </c>
      <c r="B614" s="16" t="s">
        <v>90</v>
      </c>
      <c r="C614" s="84" t="s">
        <v>629</v>
      </c>
      <c r="D614" s="16"/>
      <c r="E614" s="54" t="s">
        <v>634</v>
      </c>
      <c r="F614" s="41">
        <f>SUM(F615:F615)</f>
        <v>75</v>
      </c>
      <c r="G614" s="41">
        <f>SUM(G615:G615)</f>
        <v>0</v>
      </c>
      <c r="H614" s="41">
        <f>SUM(H615:H615)</f>
        <v>0</v>
      </c>
    </row>
    <row r="615" spans="1:8" s="37" customFormat="1" ht="14.25" x14ac:dyDescent="0.2">
      <c r="A615" s="16" t="s">
        <v>103</v>
      </c>
      <c r="B615" s="16" t="s">
        <v>90</v>
      </c>
      <c r="C615" s="84" t="s">
        <v>629</v>
      </c>
      <c r="D615" s="21" t="s">
        <v>228</v>
      </c>
      <c r="E615" s="101" t="s">
        <v>227</v>
      </c>
      <c r="F615" s="39">
        <v>75</v>
      </c>
      <c r="G615" s="39">
        <v>0</v>
      </c>
      <c r="H615" s="39">
        <v>0</v>
      </c>
    </row>
    <row r="616" spans="1:8" s="37" customFormat="1" ht="51" x14ac:dyDescent="0.2">
      <c r="A616" s="16" t="s">
        <v>103</v>
      </c>
      <c r="B616" s="16" t="s">
        <v>90</v>
      </c>
      <c r="C616" s="84" t="s">
        <v>628</v>
      </c>
      <c r="D616" s="21"/>
      <c r="E616" s="54" t="s">
        <v>627</v>
      </c>
      <c r="F616" s="39">
        <f>F617</f>
        <v>100</v>
      </c>
      <c r="G616" s="39">
        <f t="shared" ref="G616:H616" si="195">G617</f>
        <v>0</v>
      </c>
      <c r="H616" s="39">
        <f t="shared" si="195"/>
        <v>0</v>
      </c>
    </row>
    <row r="617" spans="1:8" s="37" customFormat="1" ht="38.25" x14ac:dyDescent="0.2">
      <c r="A617" s="16" t="s">
        <v>103</v>
      </c>
      <c r="B617" s="16" t="s">
        <v>90</v>
      </c>
      <c r="C617" s="84" t="s">
        <v>628</v>
      </c>
      <c r="D617" s="84" t="s">
        <v>214</v>
      </c>
      <c r="E617" s="101" t="s">
        <v>215</v>
      </c>
      <c r="F617" s="39">
        <v>100</v>
      </c>
      <c r="G617" s="39">
        <v>0</v>
      </c>
      <c r="H617" s="39">
        <v>0</v>
      </c>
    </row>
    <row r="618" spans="1:8" ht="25.5" x14ac:dyDescent="0.2">
      <c r="A618" s="35" t="s">
        <v>103</v>
      </c>
      <c r="B618" s="35" t="s">
        <v>96</v>
      </c>
      <c r="C618" s="35"/>
      <c r="D618" s="35"/>
      <c r="E618" s="46" t="s">
        <v>7</v>
      </c>
      <c r="F618" s="42">
        <f>F619</f>
        <v>3350.6000000000004</v>
      </c>
      <c r="G618" s="42">
        <f t="shared" ref="G618:H618" si="196">G619</f>
        <v>3150.4</v>
      </c>
      <c r="H618" s="42">
        <f t="shared" si="196"/>
        <v>3150.4</v>
      </c>
    </row>
    <row r="619" spans="1:8" ht="90" x14ac:dyDescent="0.25">
      <c r="A619" s="5" t="s">
        <v>103</v>
      </c>
      <c r="B619" s="5" t="s">
        <v>96</v>
      </c>
      <c r="C619" s="73" t="s">
        <v>61</v>
      </c>
      <c r="D619" s="35"/>
      <c r="E619" s="53" t="s">
        <v>636</v>
      </c>
      <c r="F619" s="65">
        <f>F620+F626</f>
        <v>3350.6000000000004</v>
      </c>
      <c r="G619" s="65">
        <f t="shared" ref="G619:H619" si="197">G620+G626</f>
        <v>3150.4</v>
      </c>
      <c r="H619" s="65">
        <f t="shared" si="197"/>
        <v>3150.4</v>
      </c>
    </row>
    <row r="620" spans="1:8" ht="25.5" x14ac:dyDescent="0.2">
      <c r="A620" s="16" t="s">
        <v>103</v>
      </c>
      <c r="B620" s="16" t="s">
        <v>96</v>
      </c>
      <c r="C620" s="21" t="s">
        <v>62</v>
      </c>
      <c r="D620" s="35"/>
      <c r="E620" s="48" t="s">
        <v>174</v>
      </c>
      <c r="F620" s="42">
        <f>F621</f>
        <v>390</v>
      </c>
      <c r="G620" s="42">
        <f t="shared" ref="G620:H620" si="198">G621</f>
        <v>300</v>
      </c>
      <c r="H620" s="42">
        <f t="shared" si="198"/>
        <v>300</v>
      </c>
    </row>
    <row r="621" spans="1:8" ht="38.25" x14ac:dyDescent="0.2">
      <c r="A621" s="16" t="s">
        <v>103</v>
      </c>
      <c r="B621" s="16" t="s">
        <v>96</v>
      </c>
      <c r="C621" s="21" t="s">
        <v>481</v>
      </c>
      <c r="D621" s="35"/>
      <c r="E621" s="105" t="s">
        <v>261</v>
      </c>
      <c r="F621" s="41">
        <f>F622+F624</f>
        <v>390</v>
      </c>
      <c r="G621" s="41">
        <f t="shared" ref="G621:H621" si="199">G622+G624</f>
        <v>300</v>
      </c>
      <c r="H621" s="41">
        <f t="shared" si="199"/>
        <v>300</v>
      </c>
    </row>
    <row r="622" spans="1:8" ht="51" x14ac:dyDescent="0.2">
      <c r="A622" s="16" t="s">
        <v>103</v>
      </c>
      <c r="B622" s="16" t="s">
        <v>96</v>
      </c>
      <c r="C622" s="21" t="s">
        <v>482</v>
      </c>
      <c r="D622" s="16"/>
      <c r="E622" s="101" t="s">
        <v>177</v>
      </c>
      <c r="F622" s="41">
        <f t="shared" ref="F622:H622" si="200">F623</f>
        <v>300</v>
      </c>
      <c r="G622" s="41">
        <f t="shared" si="200"/>
        <v>300</v>
      </c>
      <c r="H622" s="41">
        <f t="shared" si="200"/>
        <v>300</v>
      </c>
    </row>
    <row r="623" spans="1:8" ht="38.25" x14ac:dyDescent="0.2">
      <c r="A623" s="16" t="s">
        <v>103</v>
      </c>
      <c r="B623" s="16" t="s">
        <v>96</v>
      </c>
      <c r="C623" s="21" t="s">
        <v>482</v>
      </c>
      <c r="D623" s="84" t="s">
        <v>214</v>
      </c>
      <c r="E623" s="101" t="s">
        <v>215</v>
      </c>
      <c r="F623" s="41">
        <v>300</v>
      </c>
      <c r="G623" s="41">
        <v>300</v>
      </c>
      <c r="H623" s="41">
        <v>300</v>
      </c>
    </row>
    <row r="624" spans="1:8" ht="25.5" x14ac:dyDescent="0.2">
      <c r="A624" s="16" t="s">
        <v>103</v>
      </c>
      <c r="B624" s="16" t="s">
        <v>96</v>
      </c>
      <c r="C624" s="21" t="s">
        <v>726</v>
      </c>
      <c r="D624" s="84"/>
      <c r="E624" s="126" t="s">
        <v>727</v>
      </c>
      <c r="F624" s="41">
        <f>F625</f>
        <v>90</v>
      </c>
      <c r="G624" s="41">
        <f t="shared" ref="G624:H624" si="201">G625</f>
        <v>0</v>
      </c>
      <c r="H624" s="41">
        <f t="shared" si="201"/>
        <v>0</v>
      </c>
    </row>
    <row r="625" spans="1:8" ht="38.25" x14ac:dyDescent="0.2">
      <c r="A625" s="16" t="s">
        <v>103</v>
      </c>
      <c r="B625" s="16" t="s">
        <v>96</v>
      </c>
      <c r="C625" s="194" t="s">
        <v>726</v>
      </c>
      <c r="D625" s="84" t="s">
        <v>214</v>
      </c>
      <c r="E625" s="101" t="s">
        <v>215</v>
      </c>
      <c r="F625" s="41">
        <v>90</v>
      </c>
      <c r="G625" s="41">
        <v>0</v>
      </c>
      <c r="H625" s="41">
        <v>0</v>
      </c>
    </row>
    <row r="626" spans="1:8" x14ac:dyDescent="0.2">
      <c r="A626" s="16" t="s">
        <v>103</v>
      </c>
      <c r="B626" s="16" t="s">
        <v>96</v>
      </c>
      <c r="C626" s="52" t="s">
        <v>33</v>
      </c>
      <c r="D626" s="21"/>
      <c r="E626" s="66" t="s">
        <v>48</v>
      </c>
      <c r="F626" s="58">
        <f>F627</f>
        <v>2960.6000000000004</v>
      </c>
      <c r="G626" s="58">
        <f>G627</f>
        <v>2850.4</v>
      </c>
      <c r="H626" s="58">
        <f>H627</f>
        <v>2850.4</v>
      </c>
    </row>
    <row r="627" spans="1:8" ht="66" customHeight="1" x14ac:dyDescent="0.2">
      <c r="A627" s="16" t="s">
        <v>103</v>
      </c>
      <c r="B627" s="16" t="s">
        <v>96</v>
      </c>
      <c r="C627" s="81">
        <v>290022200</v>
      </c>
      <c r="D627" s="21"/>
      <c r="E627" s="101" t="s">
        <v>267</v>
      </c>
      <c r="F627" s="97">
        <f>SUM(F628:F629)</f>
        <v>2960.6000000000004</v>
      </c>
      <c r="G627" s="97">
        <f>SUM(G628:G629)</f>
        <v>2850.4</v>
      </c>
      <c r="H627" s="97">
        <f>SUM(H628:H629)</f>
        <v>2850.4</v>
      </c>
    </row>
    <row r="628" spans="1:8" ht="38.25" x14ac:dyDescent="0.2">
      <c r="A628" s="16" t="s">
        <v>103</v>
      </c>
      <c r="B628" s="16" t="s">
        <v>96</v>
      </c>
      <c r="C628" s="81">
        <v>290022200</v>
      </c>
      <c r="D628" s="16" t="s">
        <v>64</v>
      </c>
      <c r="E628" s="55" t="s">
        <v>65</v>
      </c>
      <c r="F628" s="97">
        <f>2788.9+116.4</f>
        <v>2905.3</v>
      </c>
      <c r="G628" s="97">
        <v>2788.9</v>
      </c>
      <c r="H628" s="97">
        <v>2788.9</v>
      </c>
    </row>
    <row r="629" spans="1:8" ht="38.25" x14ac:dyDescent="0.2">
      <c r="A629" s="16" t="s">
        <v>103</v>
      </c>
      <c r="B629" s="16" t="s">
        <v>96</v>
      </c>
      <c r="C629" s="81">
        <v>290022200</v>
      </c>
      <c r="D629" s="84" t="s">
        <v>214</v>
      </c>
      <c r="E629" s="101" t="s">
        <v>215</v>
      </c>
      <c r="F629" s="41">
        <f>61.5-6.2</f>
        <v>55.3</v>
      </c>
      <c r="G629" s="41">
        <v>61.5</v>
      </c>
      <c r="H629" s="41">
        <v>61.5</v>
      </c>
    </row>
    <row r="630" spans="1:8" ht="15.75" x14ac:dyDescent="0.25">
      <c r="A630" s="4" t="s">
        <v>112</v>
      </c>
      <c r="B630" s="3"/>
      <c r="C630" s="3"/>
      <c r="D630" s="3"/>
      <c r="E630" s="49" t="s">
        <v>113</v>
      </c>
      <c r="F630" s="99">
        <f>F631+F636+F649</f>
        <v>41806.400000000001</v>
      </c>
      <c r="G630" s="99">
        <f t="shared" ref="G630:H630" si="202">G631+G636+G649</f>
        <v>22412.399999999998</v>
      </c>
      <c r="H630" s="99">
        <f t="shared" si="202"/>
        <v>24870.3</v>
      </c>
    </row>
    <row r="631" spans="1:8" s="37" customFormat="1" ht="14.25" x14ac:dyDescent="0.2">
      <c r="A631" s="35" t="s">
        <v>112</v>
      </c>
      <c r="B631" s="35" t="s">
        <v>90</v>
      </c>
      <c r="C631" s="35"/>
      <c r="D631" s="35"/>
      <c r="E631" s="45" t="s">
        <v>114</v>
      </c>
      <c r="F631" s="42">
        <f t="shared" ref="F631:H634" si="203">F632</f>
        <v>1962.8000000000002</v>
      </c>
      <c r="G631" s="42">
        <f t="shared" si="203"/>
        <v>2310.8000000000002</v>
      </c>
      <c r="H631" s="42">
        <f t="shared" si="203"/>
        <v>2499.8000000000002</v>
      </c>
    </row>
    <row r="632" spans="1:8" ht="90" x14ac:dyDescent="0.25">
      <c r="A632" s="5" t="s">
        <v>112</v>
      </c>
      <c r="B632" s="5" t="s">
        <v>90</v>
      </c>
      <c r="C632" s="73" t="s">
        <v>37</v>
      </c>
      <c r="D632" s="3"/>
      <c r="E632" s="185" t="s">
        <v>649</v>
      </c>
      <c r="F632" s="99">
        <f t="shared" si="203"/>
        <v>1962.8000000000002</v>
      </c>
      <c r="G632" s="99">
        <f t="shared" si="203"/>
        <v>2310.8000000000002</v>
      </c>
      <c r="H632" s="99">
        <f t="shared" si="203"/>
        <v>2499.8000000000002</v>
      </c>
    </row>
    <row r="633" spans="1:8" ht="26.25" x14ac:dyDescent="0.25">
      <c r="A633" s="16" t="s">
        <v>112</v>
      </c>
      <c r="B633" s="16" t="s">
        <v>90</v>
      </c>
      <c r="C633" s="52" t="s">
        <v>39</v>
      </c>
      <c r="D633" s="3"/>
      <c r="E633" s="46" t="s">
        <v>82</v>
      </c>
      <c r="F633" s="96">
        <f t="shared" si="203"/>
        <v>1962.8000000000002</v>
      </c>
      <c r="G633" s="96">
        <f t="shared" si="203"/>
        <v>2310.8000000000002</v>
      </c>
      <c r="H633" s="96">
        <f t="shared" si="203"/>
        <v>2499.8000000000002</v>
      </c>
    </row>
    <row r="634" spans="1:8" ht="26.25" x14ac:dyDescent="0.25">
      <c r="A634" s="16" t="s">
        <v>112</v>
      </c>
      <c r="B634" s="16" t="s">
        <v>90</v>
      </c>
      <c r="C634" s="80">
        <v>1320225100</v>
      </c>
      <c r="D634" s="3"/>
      <c r="E634" s="168" t="s">
        <v>378</v>
      </c>
      <c r="F634" s="41">
        <f t="shared" si="203"/>
        <v>1962.8000000000002</v>
      </c>
      <c r="G634" s="41">
        <f t="shared" si="203"/>
        <v>2310.8000000000002</v>
      </c>
      <c r="H634" s="41">
        <f t="shared" si="203"/>
        <v>2499.8000000000002</v>
      </c>
    </row>
    <row r="635" spans="1:8" ht="25.5" x14ac:dyDescent="0.2">
      <c r="A635" s="16" t="s">
        <v>112</v>
      </c>
      <c r="B635" s="16" t="s">
        <v>90</v>
      </c>
      <c r="C635" s="80">
        <v>1320225100</v>
      </c>
      <c r="D635" s="84" t="s">
        <v>285</v>
      </c>
      <c r="E635" s="101" t="s">
        <v>286</v>
      </c>
      <c r="F635" s="39">
        <f>2710.8-801.4+53.4</f>
        <v>1962.8000000000002</v>
      </c>
      <c r="G635" s="39">
        <v>2310.8000000000002</v>
      </c>
      <c r="H635" s="39">
        <v>2499.8000000000002</v>
      </c>
    </row>
    <row r="636" spans="1:8" s="37" customFormat="1" ht="14.25" x14ac:dyDescent="0.2">
      <c r="A636" s="35" t="s">
        <v>112</v>
      </c>
      <c r="B636" s="35" t="s">
        <v>95</v>
      </c>
      <c r="C636" s="35"/>
      <c r="D636" s="35"/>
      <c r="E636" s="45" t="s">
        <v>118</v>
      </c>
      <c r="F636" s="42">
        <f>F637+F641+F645</f>
        <v>1764</v>
      </c>
      <c r="G636" s="42">
        <f t="shared" ref="G636:H636" si="204">G637+G641+G645</f>
        <v>1664</v>
      </c>
      <c r="H636" s="42">
        <f t="shared" si="204"/>
        <v>1664</v>
      </c>
    </row>
    <row r="637" spans="1:8" s="37" customFormat="1" ht="77.25" x14ac:dyDescent="0.25">
      <c r="A637" s="5" t="s">
        <v>112</v>
      </c>
      <c r="B637" s="5" t="s">
        <v>95</v>
      </c>
      <c r="C637" s="21" t="s">
        <v>75</v>
      </c>
      <c r="D637" s="35"/>
      <c r="E637" s="64" t="s">
        <v>635</v>
      </c>
      <c r="F637" s="65">
        <f t="shared" ref="F637:H638" si="205">F638</f>
        <v>1026</v>
      </c>
      <c r="G637" s="65">
        <f t="shared" si="205"/>
        <v>1026</v>
      </c>
      <c r="H637" s="65">
        <f t="shared" si="205"/>
        <v>1026</v>
      </c>
    </row>
    <row r="638" spans="1:8" s="37" customFormat="1" ht="26.25" customHeight="1" x14ac:dyDescent="0.2">
      <c r="A638" s="16" t="s">
        <v>112</v>
      </c>
      <c r="B638" s="16" t="s">
        <v>95</v>
      </c>
      <c r="C638" s="52" t="s">
        <v>456</v>
      </c>
      <c r="D638" s="84"/>
      <c r="E638" s="46" t="s">
        <v>455</v>
      </c>
      <c r="F638" s="58">
        <f t="shared" si="205"/>
        <v>1026</v>
      </c>
      <c r="G638" s="58">
        <f t="shared" si="205"/>
        <v>1026</v>
      </c>
      <c r="H638" s="58">
        <f t="shared" si="205"/>
        <v>1026</v>
      </c>
    </row>
    <row r="639" spans="1:8" s="37" customFormat="1" ht="103.5" customHeight="1" x14ac:dyDescent="0.2">
      <c r="A639" s="16" t="s">
        <v>112</v>
      </c>
      <c r="B639" s="16" t="s">
        <v>95</v>
      </c>
      <c r="C639" s="81">
        <v>140210560</v>
      </c>
      <c r="D639" s="84"/>
      <c r="E639" s="101" t="s">
        <v>185</v>
      </c>
      <c r="F639" s="41">
        <f>F640</f>
        <v>1026</v>
      </c>
      <c r="G639" s="41">
        <f>G640</f>
        <v>1026</v>
      </c>
      <c r="H639" s="41">
        <f>H640</f>
        <v>1026</v>
      </c>
    </row>
    <row r="640" spans="1:8" s="37" customFormat="1" ht="25.5" x14ac:dyDescent="0.2">
      <c r="A640" s="16" t="s">
        <v>112</v>
      </c>
      <c r="B640" s="16" t="s">
        <v>95</v>
      </c>
      <c r="C640" s="81">
        <v>140210560</v>
      </c>
      <c r="D640" s="83" t="s">
        <v>285</v>
      </c>
      <c r="E640" s="101" t="s">
        <v>286</v>
      </c>
      <c r="F640" s="163">
        <v>1026</v>
      </c>
      <c r="G640" s="163">
        <v>1026</v>
      </c>
      <c r="H640" s="163">
        <v>1026</v>
      </c>
    </row>
    <row r="641" spans="1:8" s="37" customFormat="1" ht="90" x14ac:dyDescent="0.25">
      <c r="A641" s="5" t="s">
        <v>112</v>
      </c>
      <c r="B641" s="5" t="s">
        <v>95</v>
      </c>
      <c r="C641" s="73" t="s">
        <v>37</v>
      </c>
      <c r="D641" s="3"/>
      <c r="E641" s="185" t="s">
        <v>649</v>
      </c>
      <c r="F641" s="59">
        <f t="shared" ref="F641:H642" si="206">F642</f>
        <v>688</v>
      </c>
      <c r="G641" s="59">
        <f t="shared" si="206"/>
        <v>638</v>
      </c>
      <c r="H641" s="59">
        <f t="shared" si="206"/>
        <v>638</v>
      </c>
    </row>
    <row r="642" spans="1:8" s="37" customFormat="1" ht="25.5" x14ac:dyDescent="0.2">
      <c r="A642" s="47" t="s">
        <v>112</v>
      </c>
      <c r="B642" s="47" t="s">
        <v>95</v>
      </c>
      <c r="C642" s="52" t="s">
        <v>39</v>
      </c>
      <c r="D642" s="16"/>
      <c r="E642" s="46" t="s">
        <v>82</v>
      </c>
      <c r="F642" s="96">
        <f>F643</f>
        <v>688</v>
      </c>
      <c r="G642" s="96">
        <f t="shared" si="206"/>
        <v>638</v>
      </c>
      <c r="H642" s="96">
        <f t="shared" si="206"/>
        <v>638</v>
      </c>
    </row>
    <row r="643" spans="1:8" s="37" customFormat="1" ht="63.75" x14ac:dyDescent="0.2">
      <c r="A643" s="16" t="s">
        <v>112</v>
      </c>
      <c r="B643" s="16" t="s">
        <v>95</v>
      </c>
      <c r="C643" s="80">
        <v>1320127100</v>
      </c>
      <c r="D643" s="16"/>
      <c r="E643" s="101" t="s">
        <v>3</v>
      </c>
      <c r="F643" s="41">
        <f t="shared" ref="F643:H643" si="207">F644</f>
        <v>688</v>
      </c>
      <c r="G643" s="41">
        <f t="shared" si="207"/>
        <v>638</v>
      </c>
      <c r="H643" s="41">
        <f t="shared" si="207"/>
        <v>638</v>
      </c>
    </row>
    <row r="644" spans="1:8" s="37" customFormat="1" ht="76.5" x14ac:dyDescent="0.2">
      <c r="A644" s="16" t="s">
        <v>112</v>
      </c>
      <c r="B644" s="16" t="s">
        <v>95</v>
      </c>
      <c r="C644" s="80">
        <v>1320127100</v>
      </c>
      <c r="D644" s="16" t="s">
        <v>20</v>
      </c>
      <c r="E644" s="103" t="s">
        <v>376</v>
      </c>
      <c r="F644" s="41">
        <f>638+50</f>
        <v>688</v>
      </c>
      <c r="G644" s="41">
        <v>638</v>
      </c>
      <c r="H644" s="41">
        <v>638</v>
      </c>
    </row>
    <row r="645" spans="1:8" s="37" customFormat="1" ht="25.5" x14ac:dyDescent="0.2">
      <c r="A645" s="5" t="s">
        <v>112</v>
      </c>
      <c r="B645" s="5" t="s">
        <v>95</v>
      </c>
      <c r="C645" s="85">
        <v>9900000000</v>
      </c>
      <c r="D645" s="5"/>
      <c r="E645" s="86" t="s">
        <v>146</v>
      </c>
      <c r="F645" s="62">
        <f>F646</f>
        <v>50</v>
      </c>
      <c r="G645" s="62">
        <f t="shared" ref="G645:H645" si="208">G646</f>
        <v>0</v>
      </c>
      <c r="H645" s="62">
        <f t="shared" si="208"/>
        <v>0</v>
      </c>
    </row>
    <row r="646" spans="1:8" s="37" customFormat="1" ht="14.25" x14ac:dyDescent="0.2">
      <c r="A646" s="16" t="s">
        <v>112</v>
      </c>
      <c r="B646" s="16" t="s">
        <v>95</v>
      </c>
      <c r="C646" s="80">
        <v>9920000000</v>
      </c>
      <c r="D646" s="35"/>
      <c r="E646" s="156" t="s">
        <v>5</v>
      </c>
      <c r="F646" s="97">
        <f t="shared" ref="F646:H647" si="209">F647</f>
        <v>50</v>
      </c>
      <c r="G646" s="97">
        <f t="shared" si="209"/>
        <v>0</v>
      </c>
      <c r="H646" s="97">
        <f t="shared" si="209"/>
        <v>0</v>
      </c>
    </row>
    <row r="647" spans="1:8" s="37" customFormat="1" ht="25.5" x14ac:dyDescent="0.2">
      <c r="A647" s="16" t="s">
        <v>112</v>
      </c>
      <c r="B647" s="16" t="s">
        <v>95</v>
      </c>
      <c r="C647" s="80">
        <v>9920026100</v>
      </c>
      <c r="D647" s="21"/>
      <c r="E647" s="22" t="s">
        <v>11</v>
      </c>
      <c r="F647" s="39">
        <f t="shared" si="209"/>
        <v>50</v>
      </c>
      <c r="G647" s="39">
        <f t="shared" si="209"/>
        <v>0</v>
      </c>
      <c r="H647" s="39">
        <f t="shared" si="209"/>
        <v>0</v>
      </c>
    </row>
    <row r="648" spans="1:8" s="37" customFormat="1" ht="14.25" x14ac:dyDescent="0.2">
      <c r="A648" s="16" t="s">
        <v>112</v>
      </c>
      <c r="B648" s="16" t="s">
        <v>95</v>
      </c>
      <c r="C648" s="80">
        <v>9920026100</v>
      </c>
      <c r="D648" s="84" t="s">
        <v>83</v>
      </c>
      <c r="E648" s="101" t="s">
        <v>84</v>
      </c>
      <c r="F648" s="39">
        <v>50</v>
      </c>
      <c r="G648" s="39">
        <v>0</v>
      </c>
      <c r="H648" s="39">
        <v>0</v>
      </c>
    </row>
    <row r="649" spans="1:8" ht="14.25" x14ac:dyDescent="0.2">
      <c r="A649" s="35" t="s">
        <v>112</v>
      </c>
      <c r="B649" s="35" t="s">
        <v>96</v>
      </c>
      <c r="C649" s="35"/>
      <c r="D649" s="38"/>
      <c r="E649" s="50" t="s">
        <v>14</v>
      </c>
      <c r="F649" s="42">
        <f t="shared" ref="F649:G649" si="210">F650+F655</f>
        <v>38079.599999999999</v>
      </c>
      <c r="G649" s="42">
        <f t="shared" si="210"/>
        <v>18437.599999999999</v>
      </c>
      <c r="H649" s="42">
        <f t="shared" ref="H649" si="211">H650+H655</f>
        <v>20706.5</v>
      </c>
    </row>
    <row r="650" spans="1:8" ht="76.5" x14ac:dyDescent="0.2">
      <c r="A650" s="16" t="s">
        <v>112</v>
      </c>
      <c r="B650" s="16" t="s">
        <v>96</v>
      </c>
      <c r="C650" s="21" t="s">
        <v>75</v>
      </c>
      <c r="D650" s="35"/>
      <c r="E650" s="64" t="s">
        <v>635</v>
      </c>
      <c r="F650" s="99">
        <f t="shared" ref="F650:H651" si="212">F651</f>
        <v>10538.5</v>
      </c>
      <c r="G650" s="99">
        <f t="shared" si="212"/>
        <v>10538.5</v>
      </c>
      <c r="H650" s="99">
        <f t="shared" si="212"/>
        <v>10538.5</v>
      </c>
    </row>
    <row r="651" spans="1:8" ht="25.5" x14ac:dyDescent="0.2">
      <c r="A651" s="16" t="s">
        <v>112</v>
      </c>
      <c r="B651" s="16" t="s">
        <v>96</v>
      </c>
      <c r="C651" s="52" t="s">
        <v>76</v>
      </c>
      <c r="D651" s="35"/>
      <c r="E651" s="46" t="s">
        <v>411</v>
      </c>
      <c r="F651" s="96">
        <f t="shared" si="212"/>
        <v>10538.5</v>
      </c>
      <c r="G651" s="96">
        <f t="shared" si="212"/>
        <v>10538.5</v>
      </c>
      <c r="H651" s="96">
        <f t="shared" si="212"/>
        <v>10538.5</v>
      </c>
    </row>
    <row r="652" spans="1:8" ht="76.5" x14ac:dyDescent="0.2">
      <c r="A652" s="16" t="s">
        <v>112</v>
      </c>
      <c r="B652" s="16" t="s">
        <v>96</v>
      </c>
      <c r="C652" s="57" t="s">
        <v>410</v>
      </c>
      <c r="D652" s="21"/>
      <c r="E652" s="101" t="s">
        <v>409</v>
      </c>
      <c r="F652" s="97">
        <f>F653+F654</f>
        <v>10538.5</v>
      </c>
      <c r="G652" s="97">
        <f>G653+G654</f>
        <v>10538.5</v>
      </c>
      <c r="H652" s="97">
        <f>H653+H654</f>
        <v>10538.5</v>
      </c>
    </row>
    <row r="653" spans="1:8" ht="38.25" x14ac:dyDescent="0.2">
      <c r="A653" s="16" t="s">
        <v>112</v>
      </c>
      <c r="B653" s="16" t="s">
        <v>96</v>
      </c>
      <c r="C653" s="57" t="s">
        <v>410</v>
      </c>
      <c r="D653" s="84" t="s">
        <v>214</v>
      </c>
      <c r="E653" s="101" t="s">
        <v>215</v>
      </c>
      <c r="F653" s="97">
        <v>260</v>
      </c>
      <c r="G653" s="97">
        <v>260</v>
      </c>
      <c r="H653" s="97">
        <v>260</v>
      </c>
    </row>
    <row r="654" spans="1:8" ht="38.25" x14ac:dyDescent="0.2">
      <c r="A654" s="16" t="s">
        <v>112</v>
      </c>
      <c r="B654" s="16" t="s">
        <v>96</v>
      </c>
      <c r="C654" s="57" t="s">
        <v>410</v>
      </c>
      <c r="D654" s="84" t="s">
        <v>266</v>
      </c>
      <c r="E654" s="101" t="s">
        <v>254</v>
      </c>
      <c r="F654" s="97">
        <v>10278.5</v>
      </c>
      <c r="G654" s="97">
        <v>10278.5</v>
      </c>
      <c r="H654" s="97">
        <v>10278.5</v>
      </c>
    </row>
    <row r="655" spans="1:8" ht="90" x14ac:dyDescent="0.25">
      <c r="A655" s="5" t="s">
        <v>112</v>
      </c>
      <c r="B655" s="5" t="s">
        <v>96</v>
      </c>
      <c r="C655" s="73" t="s">
        <v>37</v>
      </c>
      <c r="D655" s="3"/>
      <c r="E655" s="185" t="s">
        <v>649</v>
      </c>
      <c r="F655" s="59">
        <f t="shared" ref="F655:H655" si="213">F656</f>
        <v>27541.1</v>
      </c>
      <c r="G655" s="59">
        <f t="shared" si="213"/>
        <v>7899.0999999999995</v>
      </c>
      <c r="H655" s="59">
        <f t="shared" si="213"/>
        <v>10168</v>
      </c>
    </row>
    <row r="656" spans="1:8" ht="25.5" x14ac:dyDescent="0.2">
      <c r="A656" s="47" t="s">
        <v>112</v>
      </c>
      <c r="B656" s="47" t="s">
        <v>96</v>
      </c>
      <c r="C656" s="52" t="s">
        <v>38</v>
      </c>
      <c r="D656" s="35"/>
      <c r="E656" s="46" t="s">
        <v>85</v>
      </c>
      <c r="F656" s="96">
        <f>F657+F659+F661+F663+F665</f>
        <v>27541.1</v>
      </c>
      <c r="G656" s="96">
        <f t="shared" ref="G656:H656" si="214">G657+G659+G661+G663+G665</f>
        <v>7899.0999999999995</v>
      </c>
      <c r="H656" s="96">
        <f t="shared" si="214"/>
        <v>10168</v>
      </c>
    </row>
    <row r="657" spans="1:8" ht="39" x14ac:dyDescent="0.25">
      <c r="A657" s="16" t="s">
        <v>112</v>
      </c>
      <c r="B657" s="16" t="s">
        <v>96</v>
      </c>
      <c r="C657" s="21" t="s">
        <v>314</v>
      </c>
      <c r="D657" s="3"/>
      <c r="E657" s="180" t="s">
        <v>205</v>
      </c>
      <c r="F657" s="41">
        <f t="shared" ref="F657:H657" si="215">F658</f>
        <v>629.20000000000005</v>
      </c>
      <c r="G657" s="41">
        <f t="shared" si="215"/>
        <v>419.5</v>
      </c>
      <c r="H657" s="41">
        <f t="shared" si="215"/>
        <v>419.5</v>
      </c>
    </row>
    <row r="658" spans="1:8" x14ac:dyDescent="0.2">
      <c r="A658" s="16" t="s">
        <v>112</v>
      </c>
      <c r="B658" s="16" t="s">
        <v>96</v>
      </c>
      <c r="C658" s="21" t="s">
        <v>314</v>
      </c>
      <c r="D658" s="84" t="s">
        <v>253</v>
      </c>
      <c r="E658" s="106" t="s">
        <v>252</v>
      </c>
      <c r="F658" s="41">
        <v>629.20000000000005</v>
      </c>
      <c r="G658" s="41">
        <v>419.5</v>
      </c>
      <c r="H658" s="41">
        <v>419.5</v>
      </c>
    </row>
    <row r="659" spans="1:8" ht="38.25" x14ac:dyDescent="0.2">
      <c r="A659" s="16" t="s">
        <v>112</v>
      </c>
      <c r="B659" s="16" t="s">
        <v>96</v>
      </c>
      <c r="C659" s="21" t="s">
        <v>715</v>
      </c>
      <c r="D659" s="84"/>
      <c r="E659" s="54" t="s">
        <v>716</v>
      </c>
      <c r="F659" s="41">
        <f>F660</f>
        <v>2516.8000000000002</v>
      </c>
      <c r="G659" s="41">
        <f t="shared" ref="G659:H659" si="216">G660</f>
        <v>0</v>
      </c>
      <c r="H659" s="41">
        <f t="shared" si="216"/>
        <v>0</v>
      </c>
    </row>
    <row r="660" spans="1:8" x14ac:dyDescent="0.2">
      <c r="A660" s="16" t="s">
        <v>112</v>
      </c>
      <c r="B660" s="16" t="s">
        <v>96</v>
      </c>
      <c r="C660" s="21" t="s">
        <v>715</v>
      </c>
      <c r="D660" s="84" t="s">
        <v>253</v>
      </c>
      <c r="E660" s="106" t="s">
        <v>252</v>
      </c>
      <c r="F660" s="41">
        <v>2516.8000000000002</v>
      </c>
      <c r="G660" s="41">
        <v>0</v>
      </c>
      <c r="H660" s="41">
        <v>0</v>
      </c>
    </row>
    <row r="661" spans="1:8" ht="51" x14ac:dyDescent="0.2">
      <c r="A661" s="16" t="s">
        <v>112</v>
      </c>
      <c r="B661" s="16" t="s">
        <v>96</v>
      </c>
      <c r="C661" s="80">
        <v>1310210820</v>
      </c>
      <c r="D661" s="16"/>
      <c r="E661" s="101" t="s">
        <v>170</v>
      </c>
      <c r="F661" s="39">
        <f>F662</f>
        <v>1375.2999999999997</v>
      </c>
      <c r="G661" s="39">
        <f>G662</f>
        <v>2312.6999999999998</v>
      </c>
      <c r="H661" s="39">
        <f>H662</f>
        <v>3469.1</v>
      </c>
    </row>
    <row r="662" spans="1:8" x14ac:dyDescent="0.2">
      <c r="A662" s="16" t="s">
        <v>112</v>
      </c>
      <c r="B662" s="16" t="s">
        <v>96</v>
      </c>
      <c r="C662" s="80">
        <v>1310210820</v>
      </c>
      <c r="D662" s="84" t="s">
        <v>253</v>
      </c>
      <c r="E662" s="106" t="s">
        <v>252</v>
      </c>
      <c r="F662" s="39">
        <f>3469.1-2093.8</f>
        <v>1375.2999999999997</v>
      </c>
      <c r="G662" s="39">
        <v>2312.6999999999998</v>
      </c>
      <c r="H662" s="39">
        <v>3469.1</v>
      </c>
    </row>
    <row r="663" spans="1:8" ht="38.25" x14ac:dyDescent="0.2">
      <c r="A663" s="16" t="s">
        <v>112</v>
      </c>
      <c r="B663" s="16" t="s">
        <v>96</v>
      </c>
      <c r="C663" s="80" t="s">
        <v>348</v>
      </c>
      <c r="D663" s="16"/>
      <c r="E663" s="101" t="s">
        <v>321</v>
      </c>
      <c r="F663" s="39">
        <f>F664</f>
        <v>9626.9</v>
      </c>
      <c r="G663" s="39">
        <f>G664</f>
        <v>2312.6999999999998</v>
      </c>
      <c r="H663" s="39">
        <f>H664</f>
        <v>3469.1</v>
      </c>
    </row>
    <row r="664" spans="1:8" x14ac:dyDescent="0.2">
      <c r="A664" s="16" t="s">
        <v>112</v>
      </c>
      <c r="B664" s="16" t="s">
        <v>96</v>
      </c>
      <c r="C664" s="80" t="s">
        <v>348</v>
      </c>
      <c r="D664" s="84" t="s">
        <v>253</v>
      </c>
      <c r="E664" s="106" t="s">
        <v>252</v>
      </c>
      <c r="F664" s="39">
        <f>11563.4-1936.5</f>
        <v>9626.9</v>
      </c>
      <c r="G664" s="39">
        <v>2312.6999999999998</v>
      </c>
      <c r="H664" s="39">
        <v>3469.1</v>
      </c>
    </row>
    <row r="665" spans="1:8" ht="51" x14ac:dyDescent="0.2">
      <c r="A665" s="16" t="s">
        <v>112</v>
      </c>
      <c r="B665" s="16" t="s">
        <v>96</v>
      </c>
      <c r="C665" s="74" t="s">
        <v>342</v>
      </c>
      <c r="D665" s="16"/>
      <c r="E665" s="101" t="s">
        <v>328</v>
      </c>
      <c r="F665" s="97">
        <f t="shared" ref="F665:H665" si="217">F666</f>
        <v>13392.9</v>
      </c>
      <c r="G665" s="97">
        <f t="shared" si="217"/>
        <v>2854.2</v>
      </c>
      <c r="H665" s="97">
        <f t="shared" si="217"/>
        <v>2810.3</v>
      </c>
    </row>
    <row r="666" spans="1:8" ht="38.25" x14ac:dyDescent="0.2">
      <c r="A666" s="16" t="s">
        <v>112</v>
      </c>
      <c r="B666" s="16" t="s">
        <v>96</v>
      </c>
      <c r="C666" s="74" t="s">
        <v>342</v>
      </c>
      <c r="D666" s="84" t="s">
        <v>266</v>
      </c>
      <c r="E666" s="101" t="s">
        <v>254</v>
      </c>
      <c r="F666" s="97">
        <f>2854.2+10714.3-175.6</f>
        <v>13392.9</v>
      </c>
      <c r="G666" s="97">
        <v>2854.2</v>
      </c>
      <c r="H666" s="97">
        <v>2810.3</v>
      </c>
    </row>
    <row r="667" spans="1:8" ht="15.75" x14ac:dyDescent="0.25">
      <c r="A667" s="4" t="s">
        <v>104</v>
      </c>
      <c r="B667" s="3"/>
      <c r="C667" s="3"/>
      <c r="D667" s="3"/>
      <c r="E667" s="49" t="s">
        <v>125</v>
      </c>
      <c r="F667" s="95">
        <f t="shared" ref="F667:H669" si="218">F668</f>
        <v>15796.3</v>
      </c>
      <c r="G667" s="95">
        <f t="shared" si="218"/>
        <v>496.29999999999995</v>
      </c>
      <c r="H667" s="95">
        <f t="shared" si="218"/>
        <v>496.29999999999995</v>
      </c>
    </row>
    <row r="668" spans="1:8" s="37" customFormat="1" ht="14.25" x14ac:dyDescent="0.2">
      <c r="A668" s="35" t="s">
        <v>104</v>
      </c>
      <c r="B668" s="35" t="s">
        <v>91</v>
      </c>
      <c r="C668" s="35"/>
      <c r="D668" s="35"/>
      <c r="E668" s="46" t="s">
        <v>6</v>
      </c>
      <c r="F668" s="42">
        <f t="shared" si="218"/>
        <v>15796.3</v>
      </c>
      <c r="G668" s="42">
        <f t="shared" si="218"/>
        <v>496.29999999999995</v>
      </c>
      <c r="H668" s="42">
        <f t="shared" si="218"/>
        <v>496.29999999999995</v>
      </c>
    </row>
    <row r="669" spans="1:8" s="37" customFormat="1" ht="89.25" x14ac:dyDescent="0.2">
      <c r="A669" s="16" t="s">
        <v>104</v>
      </c>
      <c r="B669" s="16" t="s">
        <v>91</v>
      </c>
      <c r="C669" s="73" t="s">
        <v>61</v>
      </c>
      <c r="D669" s="35"/>
      <c r="E669" s="53" t="s">
        <v>636</v>
      </c>
      <c r="F669" s="62">
        <f t="shared" si="218"/>
        <v>15796.3</v>
      </c>
      <c r="G669" s="62">
        <f t="shared" si="218"/>
        <v>496.29999999999995</v>
      </c>
      <c r="H669" s="62">
        <f t="shared" si="218"/>
        <v>496.29999999999995</v>
      </c>
    </row>
    <row r="670" spans="1:8" s="37" customFormat="1" ht="38.25" x14ac:dyDescent="0.2">
      <c r="A670" s="47" t="s">
        <v>104</v>
      </c>
      <c r="B670" s="47" t="s">
        <v>91</v>
      </c>
      <c r="C670" s="52" t="s">
        <v>45</v>
      </c>
      <c r="D670" s="35"/>
      <c r="E670" s="48" t="s">
        <v>204</v>
      </c>
      <c r="F670" s="58">
        <f>F671+F673+F676</f>
        <v>15796.3</v>
      </c>
      <c r="G670" s="58">
        <f t="shared" ref="G670:H670" si="219">G671+G673+G676</f>
        <v>496.29999999999995</v>
      </c>
      <c r="H670" s="58">
        <f t="shared" si="219"/>
        <v>496.29999999999995</v>
      </c>
    </row>
    <row r="671" spans="1:8" s="37" customFormat="1" ht="89.25" x14ac:dyDescent="0.2">
      <c r="A671" s="16" t="s">
        <v>104</v>
      </c>
      <c r="B671" s="16" t="s">
        <v>91</v>
      </c>
      <c r="C671" s="21" t="s">
        <v>483</v>
      </c>
      <c r="D671" s="21"/>
      <c r="E671" s="103" t="s">
        <v>179</v>
      </c>
      <c r="F671" s="39">
        <f>F672</f>
        <v>415.7</v>
      </c>
      <c r="G671" s="39">
        <f>G672</f>
        <v>415.7</v>
      </c>
      <c r="H671" s="39">
        <f>H672</f>
        <v>415.7</v>
      </c>
    </row>
    <row r="672" spans="1:8" s="37" customFormat="1" ht="38.25" x14ac:dyDescent="0.2">
      <c r="A672" s="16" t="s">
        <v>104</v>
      </c>
      <c r="B672" s="16" t="s">
        <v>91</v>
      </c>
      <c r="C672" s="21" t="s">
        <v>483</v>
      </c>
      <c r="D672" s="84" t="s">
        <v>214</v>
      </c>
      <c r="E672" s="101" t="s">
        <v>215</v>
      </c>
      <c r="F672" s="39">
        <v>415.7</v>
      </c>
      <c r="G672" s="39">
        <v>415.7</v>
      </c>
      <c r="H672" s="39">
        <v>415.7</v>
      </c>
    </row>
    <row r="673" spans="1:8" s="37" customFormat="1" ht="63.75" x14ac:dyDescent="0.2">
      <c r="A673" s="16" t="s">
        <v>104</v>
      </c>
      <c r="B673" s="16" t="s">
        <v>91</v>
      </c>
      <c r="C673" s="21" t="s">
        <v>484</v>
      </c>
      <c r="D673" s="21"/>
      <c r="E673" s="103" t="s">
        <v>63</v>
      </c>
      <c r="F673" s="39">
        <f>SUM(F674:F675)</f>
        <v>80.599999999999994</v>
      </c>
      <c r="G673" s="39">
        <f>SUM(G674:G675)</f>
        <v>80.599999999999994</v>
      </c>
      <c r="H673" s="39">
        <f>SUM(H674:H675)</f>
        <v>80.599999999999994</v>
      </c>
    </row>
    <row r="674" spans="1:8" s="37" customFormat="1" ht="25.5" x14ac:dyDescent="0.2">
      <c r="A674" s="16" t="s">
        <v>104</v>
      </c>
      <c r="B674" s="16" t="s">
        <v>91</v>
      </c>
      <c r="C674" s="21" t="s">
        <v>484</v>
      </c>
      <c r="D674" s="84" t="s">
        <v>66</v>
      </c>
      <c r="E674" s="55" t="s">
        <v>132</v>
      </c>
      <c r="F674" s="39">
        <v>44.6</v>
      </c>
      <c r="G674" s="39">
        <v>44.6</v>
      </c>
      <c r="H674" s="39">
        <v>44.6</v>
      </c>
    </row>
    <row r="675" spans="1:8" ht="38.25" x14ac:dyDescent="0.2">
      <c r="A675" s="16" t="s">
        <v>104</v>
      </c>
      <c r="B675" s="16" t="s">
        <v>91</v>
      </c>
      <c r="C675" s="21" t="s">
        <v>484</v>
      </c>
      <c r="D675" s="84" t="s">
        <v>214</v>
      </c>
      <c r="E675" s="101" t="s">
        <v>215</v>
      </c>
      <c r="F675" s="39">
        <v>36</v>
      </c>
      <c r="G675" s="39">
        <v>36</v>
      </c>
      <c r="H675" s="39">
        <v>36</v>
      </c>
    </row>
    <row r="676" spans="1:8" ht="25.5" x14ac:dyDescent="0.2">
      <c r="A676" s="16" t="s">
        <v>104</v>
      </c>
      <c r="B676" s="16" t="s">
        <v>91</v>
      </c>
      <c r="C676" s="21" t="s">
        <v>717</v>
      </c>
      <c r="D676" s="84"/>
      <c r="E676" s="101" t="s">
        <v>718</v>
      </c>
      <c r="F676" s="39">
        <f>F677</f>
        <v>15300</v>
      </c>
      <c r="G676" s="39">
        <f t="shared" ref="G676:H676" si="220">G677</f>
        <v>0</v>
      </c>
      <c r="H676" s="39">
        <f t="shared" si="220"/>
        <v>0</v>
      </c>
    </row>
    <row r="677" spans="1:8" ht="38.25" x14ac:dyDescent="0.2">
      <c r="A677" s="16" t="s">
        <v>104</v>
      </c>
      <c r="B677" s="16" t="s">
        <v>91</v>
      </c>
      <c r="C677" s="21" t="s">
        <v>717</v>
      </c>
      <c r="D677" s="84" t="s">
        <v>214</v>
      </c>
      <c r="E677" s="101" t="s">
        <v>215</v>
      </c>
      <c r="F677" s="39">
        <f>100+28+172+15000</f>
        <v>15300</v>
      </c>
      <c r="G677" s="39">
        <v>0</v>
      </c>
      <c r="H677" s="39">
        <v>0</v>
      </c>
    </row>
    <row r="678" spans="1:8" ht="30" x14ac:dyDescent="0.25">
      <c r="A678" s="4" t="s">
        <v>124</v>
      </c>
      <c r="B678" s="3"/>
      <c r="C678" s="3"/>
      <c r="D678" s="3"/>
      <c r="E678" s="49" t="s">
        <v>8</v>
      </c>
      <c r="F678" s="95">
        <f t="shared" ref="F678:H680" si="221">F679</f>
        <v>3808.5</v>
      </c>
      <c r="G678" s="95">
        <f t="shared" si="221"/>
        <v>3508.5</v>
      </c>
      <c r="H678" s="95">
        <f t="shared" si="221"/>
        <v>3508.5</v>
      </c>
    </row>
    <row r="679" spans="1:8" ht="28.5" x14ac:dyDescent="0.2">
      <c r="A679" s="35" t="s">
        <v>124</v>
      </c>
      <c r="B679" s="35" t="s">
        <v>96</v>
      </c>
      <c r="C679" s="35"/>
      <c r="D679" s="35"/>
      <c r="E679" s="50" t="s">
        <v>15</v>
      </c>
      <c r="F679" s="40">
        <f t="shared" si="221"/>
        <v>3808.5</v>
      </c>
      <c r="G679" s="40">
        <f t="shared" si="221"/>
        <v>3508.5</v>
      </c>
      <c r="H679" s="40">
        <f t="shared" si="221"/>
        <v>3508.5</v>
      </c>
    </row>
    <row r="680" spans="1:8" s="20" customFormat="1" ht="90" x14ac:dyDescent="0.25">
      <c r="A680" s="16" t="s">
        <v>124</v>
      </c>
      <c r="B680" s="16" t="s">
        <v>96</v>
      </c>
      <c r="C680" s="74">
        <v>400000000</v>
      </c>
      <c r="D680" s="30"/>
      <c r="E680" s="185" t="s">
        <v>639</v>
      </c>
      <c r="F680" s="99">
        <f t="shared" si="221"/>
        <v>3808.5</v>
      </c>
      <c r="G680" s="99">
        <f t="shared" si="221"/>
        <v>3508.5</v>
      </c>
      <c r="H680" s="99">
        <f t="shared" si="221"/>
        <v>3508.5</v>
      </c>
    </row>
    <row r="681" spans="1:8" s="20" customFormat="1" ht="51.75" x14ac:dyDescent="0.25">
      <c r="A681" s="16" t="s">
        <v>124</v>
      </c>
      <c r="B681" s="16" t="s">
        <v>96</v>
      </c>
      <c r="C681" s="75">
        <v>420000000</v>
      </c>
      <c r="D681" s="30"/>
      <c r="E681" s="46" t="s">
        <v>168</v>
      </c>
      <c r="F681" s="96">
        <f>F682+F684+F686+F688+F690</f>
        <v>3808.5</v>
      </c>
      <c r="G681" s="96">
        <f t="shared" ref="G681:H681" si="222">G682+G684+G686+G688+G690</f>
        <v>3508.5</v>
      </c>
      <c r="H681" s="96">
        <f t="shared" si="222"/>
        <v>3508.5</v>
      </c>
    </row>
    <row r="682" spans="1:8" s="20" customFormat="1" ht="51" x14ac:dyDescent="0.25">
      <c r="A682" s="16" t="s">
        <v>124</v>
      </c>
      <c r="B682" s="16" t="s">
        <v>96</v>
      </c>
      <c r="C682" s="74" t="s">
        <v>515</v>
      </c>
      <c r="D682" s="16"/>
      <c r="E682" s="101" t="s">
        <v>365</v>
      </c>
      <c r="F682" s="41">
        <f>F683</f>
        <v>600</v>
      </c>
      <c r="G682" s="41">
        <f t="shared" ref="G682:H682" si="223">G683</f>
        <v>300</v>
      </c>
      <c r="H682" s="41">
        <f t="shared" si="223"/>
        <v>300</v>
      </c>
    </row>
    <row r="683" spans="1:8" s="20" customFormat="1" ht="77.25" x14ac:dyDescent="0.25">
      <c r="A683" s="16" t="s">
        <v>124</v>
      </c>
      <c r="B683" s="16" t="s">
        <v>96</v>
      </c>
      <c r="C683" s="74" t="s">
        <v>515</v>
      </c>
      <c r="D683" s="16" t="s">
        <v>20</v>
      </c>
      <c r="E683" s="103" t="s">
        <v>376</v>
      </c>
      <c r="F683" s="41">
        <f>300+300</f>
        <v>600</v>
      </c>
      <c r="G683" s="41">
        <v>300</v>
      </c>
      <c r="H683" s="41">
        <v>300</v>
      </c>
    </row>
    <row r="684" spans="1:8" s="20" customFormat="1" ht="65.25" customHeight="1" x14ac:dyDescent="0.25">
      <c r="A684" s="16" t="s">
        <v>124</v>
      </c>
      <c r="B684" s="16" t="s">
        <v>96</v>
      </c>
      <c r="C684" s="74">
        <v>420123230</v>
      </c>
      <c r="D684" s="16"/>
      <c r="E684" s="103" t="s">
        <v>748</v>
      </c>
      <c r="F684" s="41">
        <f>F685</f>
        <v>1300</v>
      </c>
      <c r="G684" s="41">
        <f t="shared" ref="G684:H684" si="224">G685</f>
        <v>1300</v>
      </c>
      <c r="H684" s="41">
        <f t="shared" si="224"/>
        <v>1300</v>
      </c>
    </row>
    <row r="685" spans="1:8" s="20" customFormat="1" ht="38.25" x14ac:dyDescent="0.25">
      <c r="A685" s="16" t="s">
        <v>124</v>
      </c>
      <c r="B685" s="16" t="s">
        <v>96</v>
      </c>
      <c r="C685" s="74">
        <v>420123230</v>
      </c>
      <c r="D685" s="84" t="s">
        <v>214</v>
      </c>
      <c r="E685" s="101" t="s">
        <v>215</v>
      </c>
      <c r="F685" s="41">
        <f>1290+10</f>
        <v>1300</v>
      </c>
      <c r="G685" s="41">
        <v>1300</v>
      </c>
      <c r="H685" s="41">
        <v>1300</v>
      </c>
    </row>
    <row r="686" spans="1:8" s="20" customFormat="1" ht="39" x14ac:dyDescent="0.25">
      <c r="A686" s="16" t="s">
        <v>124</v>
      </c>
      <c r="B686" s="16" t="s">
        <v>96</v>
      </c>
      <c r="C686" s="74">
        <v>420110320</v>
      </c>
      <c r="D686" s="148"/>
      <c r="E686" s="179" t="s">
        <v>516</v>
      </c>
      <c r="F686" s="41">
        <f>F687</f>
        <v>896.4</v>
      </c>
      <c r="G686" s="41">
        <f t="shared" ref="G686:H686" si="225">G687</f>
        <v>896.4</v>
      </c>
      <c r="H686" s="41">
        <f t="shared" si="225"/>
        <v>896.4</v>
      </c>
    </row>
    <row r="687" spans="1:8" s="20" customFormat="1" ht="77.25" x14ac:dyDescent="0.25">
      <c r="A687" s="16" t="s">
        <v>124</v>
      </c>
      <c r="B687" s="16" t="s">
        <v>96</v>
      </c>
      <c r="C687" s="74">
        <v>420110320</v>
      </c>
      <c r="D687" s="16" t="s">
        <v>20</v>
      </c>
      <c r="E687" s="103" t="s">
        <v>376</v>
      </c>
      <c r="F687" s="41">
        <v>896.4</v>
      </c>
      <c r="G687" s="41">
        <v>896.4</v>
      </c>
      <c r="H687" s="41">
        <v>896.4</v>
      </c>
    </row>
    <row r="688" spans="1:8" s="20" customFormat="1" ht="76.5" x14ac:dyDescent="0.25">
      <c r="A688" s="16" t="s">
        <v>124</v>
      </c>
      <c r="B688" s="16" t="s">
        <v>96</v>
      </c>
      <c r="C688" s="74">
        <v>420223235</v>
      </c>
      <c r="D688" s="30"/>
      <c r="E688" s="101" t="s">
        <v>749</v>
      </c>
      <c r="F688" s="41">
        <f>F689</f>
        <v>575.29999999999995</v>
      </c>
      <c r="G688" s="41">
        <f>G689</f>
        <v>575.29999999999995</v>
      </c>
      <c r="H688" s="41">
        <f>H689</f>
        <v>575.29999999999995</v>
      </c>
    </row>
    <row r="689" spans="1:8" s="20" customFormat="1" ht="38.25" x14ac:dyDescent="0.25">
      <c r="A689" s="16" t="s">
        <v>124</v>
      </c>
      <c r="B689" s="16" t="s">
        <v>96</v>
      </c>
      <c r="C689" s="74">
        <v>420223235</v>
      </c>
      <c r="D689" s="84" t="s">
        <v>214</v>
      </c>
      <c r="E689" s="101" t="s">
        <v>215</v>
      </c>
      <c r="F689" s="41">
        <v>575.29999999999995</v>
      </c>
      <c r="G689" s="41">
        <v>575.29999999999995</v>
      </c>
      <c r="H689" s="41">
        <v>575.29999999999995</v>
      </c>
    </row>
    <row r="690" spans="1:8" ht="68.25" customHeight="1" x14ac:dyDescent="0.2">
      <c r="A690" s="16" t="s">
        <v>124</v>
      </c>
      <c r="B690" s="16" t="s">
        <v>96</v>
      </c>
      <c r="C690" s="74">
        <v>420223240</v>
      </c>
      <c r="D690" s="84"/>
      <c r="E690" s="101" t="s">
        <v>750</v>
      </c>
      <c r="F690" s="41">
        <f>F691</f>
        <v>436.8</v>
      </c>
      <c r="G690" s="41">
        <f t="shared" ref="G690:H690" si="226">G691</f>
        <v>436.8</v>
      </c>
      <c r="H690" s="41">
        <f t="shared" si="226"/>
        <v>436.8</v>
      </c>
    </row>
    <row r="691" spans="1:8" ht="38.25" x14ac:dyDescent="0.2">
      <c r="A691" s="16" t="s">
        <v>124</v>
      </c>
      <c r="B691" s="16" t="s">
        <v>96</v>
      </c>
      <c r="C691" s="74">
        <v>420223240</v>
      </c>
      <c r="D691" s="84" t="s">
        <v>214</v>
      </c>
      <c r="E691" s="101" t="s">
        <v>215</v>
      </c>
      <c r="F691" s="41">
        <v>436.8</v>
      </c>
      <c r="G691" s="41">
        <v>436.8</v>
      </c>
      <c r="H691" s="41">
        <v>436.8</v>
      </c>
    </row>
    <row r="692" spans="1:8" ht="47.25" x14ac:dyDescent="0.25">
      <c r="A692" s="4" t="s">
        <v>9</v>
      </c>
      <c r="B692" s="5"/>
      <c r="C692" s="148"/>
      <c r="D692" s="148"/>
      <c r="E692" s="10" t="s">
        <v>757</v>
      </c>
      <c r="F692" s="99">
        <f>F693</f>
        <v>3</v>
      </c>
      <c r="G692" s="99">
        <f t="shared" ref="G692:H692" si="227">G693</f>
        <v>25</v>
      </c>
      <c r="H692" s="99">
        <f t="shared" si="227"/>
        <v>25</v>
      </c>
    </row>
    <row r="693" spans="1:8" ht="25.5" x14ac:dyDescent="0.2">
      <c r="A693" s="47" t="s">
        <v>9</v>
      </c>
      <c r="B693" s="47" t="s">
        <v>90</v>
      </c>
      <c r="C693" s="23"/>
      <c r="D693" s="23"/>
      <c r="E693" s="48" t="s">
        <v>758</v>
      </c>
      <c r="F693" s="96">
        <f>F694</f>
        <v>3</v>
      </c>
      <c r="G693" s="96">
        <f t="shared" ref="G693:H693" si="228">G694</f>
        <v>25</v>
      </c>
      <c r="H693" s="96">
        <f t="shared" si="228"/>
        <v>25</v>
      </c>
    </row>
    <row r="694" spans="1:8" ht="38.25" x14ac:dyDescent="0.2">
      <c r="A694" s="84" t="s">
        <v>9</v>
      </c>
      <c r="B694" s="84" t="s">
        <v>90</v>
      </c>
      <c r="C694" s="84" t="s">
        <v>26</v>
      </c>
      <c r="D694" s="84"/>
      <c r="E694" s="103" t="s">
        <v>40</v>
      </c>
      <c r="F694" s="39">
        <f>F695</f>
        <v>3</v>
      </c>
      <c r="G694" s="39">
        <f t="shared" ref="G694:H694" si="229">G695</f>
        <v>25</v>
      </c>
      <c r="H694" s="39">
        <f t="shared" si="229"/>
        <v>25</v>
      </c>
    </row>
    <row r="695" spans="1:8" ht="25.5" x14ac:dyDescent="0.2">
      <c r="A695" s="84" t="s">
        <v>9</v>
      </c>
      <c r="B695" s="84" t="s">
        <v>90</v>
      </c>
      <c r="C695" s="148">
        <v>9940026500</v>
      </c>
      <c r="D695" s="148"/>
      <c r="E695" s="198" t="s">
        <v>759</v>
      </c>
      <c r="F695" s="39">
        <f>F696</f>
        <v>3</v>
      </c>
      <c r="G695" s="39">
        <f t="shared" ref="G695:H695" si="230">G696</f>
        <v>25</v>
      </c>
      <c r="H695" s="39">
        <f t="shared" si="230"/>
        <v>25</v>
      </c>
    </row>
    <row r="696" spans="1:8" x14ac:dyDescent="0.2">
      <c r="A696" s="84" t="s">
        <v>9</v>
      </c>
      <c r="B696" s="84" t="s">
        <v>90</v>
      </c>
      <c r="C696" s="148">
        <v>9940026500</v>
      </c>
      <c r="D696" s="84" t="s">
        <v>760</v>
      </c>
      <c r="E696" s="148" t="s">
        <v>761</v>
      </c>
      <c r="F696" s="39">
        <f>4.2-1.2</f>
        <v>3</v>
      </c>
      <c r="G696" s="39">
        <f>20.8+4.2</f>
        <v>25</v>
      </c>
      <c r="H696" s="39">
        <f>20.8+4.2</f>
        <v>25</v>
      </c>
    </row>
  </sheetData>
  <mergeCells count="9">
    <mergeCell ref="A16:H16"/>
    <mergeCell ref="A19:A21"/>
    <mergeCell ref="B19:B21"/>
    <mergeCell ref="C19:C21"/>
    <mergeCell ref="D19:D21"/>
    <mergeCell ref="E19:E21"/>
    <mergeCell ref="F19:H19"/>
    <mergeCell ref="F20:F21"/>
    <mergeCell ref="G20:H20"/>
  </mergeCells>
  <pageMargins left="0.7" right="0.7" top="0.75" bottom="0.75" header="0.3" footer="0.3"/>
  <pageSetup paperSize="9" orientation="portrait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M800"/>
  <sheetViews>
    <sheetView view="pageBreakPreview" topLeftCell="B496" zoomScale="200" zoomScaleNormal="100" zoomScaleSheetLayoutView="200" workbookViewId="0">
      <selection activeCell="G78" sqref="G78"/>
    </sheetView>
  </sheetViews>
  <sheetFormatPr defaultColWidth="9.140625" defaultRowHeight="12.75" x14ac:dyDescent="0.2"/>
  <cols>
    <col min="1" max="1" width="2.28515625" style="93" hidden="1" customWidth="1"/>
    <col min="2" max="2" width="3.7109375" style="68" customWidth="1"/>
    <col min="3" max="3" width="2.85546875" style="93" customWidth="1"/>
    <col min="4" max="4" width="2.5703125" style="93" customWidth="1"/>
    <col min="5" max="5" width="11.7109375" style="93" customWidth="1"/>
    <col min="6" max="6" width="3.42578125" style="93" customWidth="1"/>
    <col min="7" max="7" width="37.28515625" style="93" customWidth="1"/>
    <col min="8" max="8" width="10.85546875" style="93" customWidth="1"/>
    <col min="9" max="9" width="9.85546875" style="93" customWidth="1"/>
    <col min="10" max="10" width="10.140625" style="93" customWidth="1"/>
    <col min="11" max="12" width="9.140625" style="93"/>
    <col min="13" max="13" width="10.140625" style="93" bestFit="1" customWidth="1"/>
    <col min="14" max="16384" width="9.140625" style="93"/>
  </cols>
  <sheetData>
    <row r="1" spans="1:10" x14ac:dyDescent="0.2">
      <c r="G1" s="87" t="s">
        <v>626</v>
      </c>
    </row>
    <row r="2" spans="1:10" x14ac:dyDescent="0.2">
      <c r="G2" s="87" t="s">
        <v>683</v>
      </c>
    </row>
    <row r="3" spans="1:10" x14ac:dyDescent="0.2">
      <c r="G3" s="87" t="s">
        <v>878</v>
      </c>
    </row>
    <row r="4" spans="1:10" x14ac:dyDescent="0.2">
      <c r="G4" s="87" t="s">
        <v>684</v>
      </c>
    </row>
    <row r="5" spans="1:10" x14ac:dyDescent="0.2">
      <c r="G5" s="87" t="s">
        <v>685</v>
      </c>
    </row>
    <row r="6" spans="1:10" x14ac:dyDescent="0.2">
      <c r="G6" s="87" t="s">
        <v>145</v>
      </c>
    </row>
    <row r="7" spans="1:10" x14ac:dyDescent="0.2">
      <c r="G7" s="87" t="s">
        <v>501</v>
      </c>
    </row>
    <row r="8" spans="1:10" s="133" customFormat="1" x14ac:dyDescent="0.2">
      <c r="B8" s="278" t="s">
        <v>88</v>
      </c>
      <c r="C8" s="278"/>
      <c r="G8" s="87"/>
      <c r="H8" s="88"/>
      <c r="I8" s="88"/>
      <c r="J8" s="88"/>
    </row>
    <row r="9" spans="1:10" s="133" customFormat="1" x14ac:dyDescent="0.2">
      <c r="B9" s="279" t="s">
        <v>138</v>
      </c>
      <c r="C9" s="279"/>
      <c r="G9" s="87" t="s">
        <v>626</v>
      </c>
      <c r="H9" s="87"/>
      <c r="I9" s="88"/>
      <c r="J9" s="88"/>
    </row>
    <row r="10" spans="1:10" s="133" customFormat="1" x14ac:dyDescent="0.2">
      <c r="B10" s="278" t="s">
        <v>131</v>
      </c>
      <c r="C10" s="278"/>
      <c r="G10" s="87" t="s">
        <v>390</v>
      </c>
      <c r="H10" s="87"/>
      <c r="I10" s="88"/>
      <c r="J10" s="88"/>
    </row>
    <row r="11" spans="1:10" x14ac:dyDescent="0.2">
      <c r="G11" s="87" t="s">
        <v>686</v>
      </c>
      <c r="H11" s="87"/>
      <c r="I11" s="88"/>
      <c r="J11" s="88"/>
    </row>
    <row r="12" spans="1:10" x14ac:dyDescent="0.2">
      <c r="G12" s="87" t="s">
        <v>145</v>
      </c>
      <c r="H12" s="87"/>
      <c r="I12" s="88"/>
      <c r="J12" s="88"/>
    </row>
    <row r="13" spans="1:10" x14ac:dyDescent="0.2">
      <c r="G13" s="87" t="s">
        <v>501</v>
      </c>
      <c r="H13" s="87"/>
      <c r="I13" s="88"/>
      <c r="J13" s="88"/>
    </row>
    <row r="14" spans="1:10" x14ac:dyDescent="0.2">
      <c r="G14" s="7"/>
      <c r="H14" s="7"/>
    </row>
    <row r="15" spans="1:10" ht="81.75" customHeight="1" x14ac:dyDescent="0.2">
      <c r="A15" s="257" t="s">
        <v>596</v>
      </c>
      <c r="B15" s="276"/>
      <c r="C15" s="276"/>
      <c r="D15" s="276"/>
      <c r="E15" s="276"/>
      <c r="F15" s="276"/>
      <c r="G15" s="276"/>
      <c r="H15" s="276"/>
      <c r="I15" s="277"/>
      <c r="J15" s="277"/>
    </row>
    <row r="16" spans="1:10" ht="15" x14ac:dyDescent="0.2">
      <c r="A16" s="128"/>
      <c r="B16" s="131"/>
      <c r="C16" s="131"/>
      <c r="D16" s="131"/>
      <c r="E16" s="131"/>
      <c r="F16" s="131"/>
      <c r="G16" s="131"/>
      <c r="H16" s="131"/>
    </row>
    <row r="17" spans="1:13" x14ac:dyDescent="0.2">
      <c r="B17" s="282" t="s">
        <v>130</v>
      </c>
      <c r="C17" s="263" t="s">
        <v>119</v>
      </c>
      <c r="D17" s="263" t="s">
        <v>120</v>
      </c>
      <c r="E17" s="263" t="s">
        <v>121</v>
      </c>
      <c r="F17" s="263" t="s">
        <v>115</v>
      </c>
      <c r="G17" s="263" t="s">
        <v>92</v>
      </c>
      <c r="H17" s="269" t="s">
        <v>29</v>
      </c>
      <c r="I17" s="256"/>
      <c r="J17" s="256"/>
    </row>
    <row r="18" spans="1:13" x14ac:dyDescent="0.2">
      <c r="A18" s="280" t="s">
        <v>89</v>
      </c>
      <c r="B18" s="256"/>
      <c r="C18" s="264"/>
      <c r="D18" s="264"/>
      <c r="E18" s="264"/>
      <c r="F18" s="264"/>
      <c r="G18" s="264"/>
      <c r="H18" s="273" t="s">
        <v>372</v>
      </c>
      <c r="I18" s="256" t="s">
        <v>142</v>
      </c>
      <c r="J18" s="256"/>
    </row>
    <row r="19" spans="1:13" x14ac:dyDescent="0.2">
      <c r="A19" s="281"/>
      <c r="B19" s="256"/>
      <c r="C19" s="265"/>
      <c r="D19" s="265"/>
      <c r="E19" s="265"/>
      <c r="F19" s="265"/>
      <c r="G19" s="265"/>
      <c r="H19" s="275"/>
      <c r="I19" s="1" t="s">
        <v>392</v>
      </c>
      <c r="J19" s="1" t="s">
        <v>499</v>
      </c>
    </row>
    <row r="20" spans="1:13" x14ac:dyDescent="0.2">
      <c r="A20" s="2">
        <v>1</v>
      </c>
      <c r="B20" s="69">
        <v>1</v>
      </c>
      <c r="C20" s="69">
        <v>2</v>
      </c>
      <c r="D20" s="69">
        <v>3</v>
      </c>
      <c r="E20" s="69">
        <v>4</v>
      </c>
      <c r="F20" s="69">
        <v>5</v>
      </c>
      <c r="G20" s="69">
        <v>6</v>
      </c>
      <c r="H20" s="69">
        <v>7</v>
      </c>
      <c r="I20" s="69">
        <v>8</v>
      </c>
      <c r="J20" s="69">
        <v>9</v>
      </c>
    </row>
    <row r="21" spans="1:13" ht="18" x14ac:dyDescent="0.25">
      <c r="A21" s="12"/>
      <c r="B21" s="25"/>
      <c r="C21" s="12"/>
      <c r="D21" s="12"/>
      <c r="E21" s="12"/>
      <c r="F21" s="12"/>
      <c r="G21" s="9" t="s">
        <v>94</v>
      </c>
      <c r="H21" s="59">
        <f>H22+H32+H39+H494+H653+H783</f>
        <v>1262150.0000000002</v>
      </c>
      <c r="I21" s="59">
        <f>I22+I32+I39+I494+I653+I783</f>
        <v>925010.20000000007</v>
      </c>
      <c r="J21" s="59">
        <f>J22+J32+J39+J494+J653+J783</f>
        <v>882160.8</v>
      </c>
    </row>
    <row r="22" spans="1:13" ht="36" x14ac:dyDescent="0.25">
      <c r="A22" s="3">
        <v>1</v>
      </c>
      <c r="B22" s="94">
        <v>936</v>
      </c>
      <c r="C22" s="13"/>
      <c r="D22" s="13"/>
      <c r="E22" s="13"/>
      <c r="F22" s="13"/>
      <c r="G22" s="14" t="s">
        <v>140</v>
      </c>
      <c r="H22" s="95">
        <f t="shared" ref="H22:J25" si="0">H23</f>
        <v>3590.5</v>
      </c>
      <c r="I22" s="95">
        <f t="shared" si="0"/>
        <v>3552.7000000000003</v>
      </c>
      <c r="J22" s="95">
        <f t="shared" si="0"/>
        <v>3552.7000000000003</v>
      </c>
    </row>
    <row r="23" spans="1:13" ht="15.75" x14ac:dyDescent="0.25">
      <c r="A23" s="3"/>
      <c r="B23" s="94"/>
      <c r="C23" s="4" t="s">
        <v>90</v>
      </c>
      <c r="D23" s="11"/>
      <c r="E23" s="11"/>
      <c r="F23" s="11"/>
      <c r="G23" s="49" t="s">
        <v>93</v>
      </c>
      <c r="H23" s="95">
        <f t="shared" si="0"/>
        <v>3590.5</v>
      </c>
      <c r="I23" s="95">
        <f t="shared" si="0"/>
        <v>3552.7000000000003</v>
      </c>
      <c r="J23" s="95">
        <f t="shared" si="0"/>
        <v>3552.7000000000003</v>
      </c>
    </row>
    <row r="24" spans="1:13" ht="64.5" x14ac:dyDescent="0.25">
      <c r="A24" s="29"/>
      <c r="B24" s="24"/>
      <c r="C24" s="30" t="s">
        <v>90</v>
      </c>
      <c r="D24" s="30" t="s">
        <v>95</v>
      </c>
      <c r="E24" s="31"/>
      <c r="F24" s="31"/>
      <c r="G24" s="48" t="s">
        <v>129</v>
      </c>
      <c r="H24" s="43">
        <f t="shared" si="0"/>
        <v>3590.5</v>
      </c>
      <c r="I24" s="43">
        <f t="shared" si="0"/>
        <v>3552.7000000000003</v>
      </c>
      <c r="J24" s="43">
        <f t="shared" si="0"/>
        <v>3552.7000000000003</v>
      </c>
      <c r="M24" s="107"/>
    </row>
    <row r="25" spans="1:13" ht="25.5" x14ac:dyDescent="0.2">
      <c r="A25" s="1"/>
      <c r="B25" s="25"/>
      <c r="C25" s="16" t="s">
        <v>90</v>
      </c>
      <c r="D25" s="16" t="s">
        <v>95</v>
      </c>
      <c r="E25" s="80">
        <v>9900000000</v>
      </c>
      <c r="F25" s="21"/>
      <c r="G25" s="55" t="s">
        <v>147</v>
      </c>
      <c r="H25" s="41">
        <f t="shared" si="0"/>
        <v>3590.5</v>
      </c>
      <c r="I25" s="41">
        <f t="shared" si="0"/>
        <v>3552.7000000000003</v>
      </c>
      <c r="J25" s="41">
        <f t="shared" si="0"/>
        <v>3552.7000000000003</v>
      </c>
    </row>
    <row r="26" spans="1:13" ht="38.25" x14ac:dyDescent="0.2">
      <c r="A26" s="1"/>
      <c r="B26" s="25"/>
      <c r="C26" s="16" t="s">
        <v>90</v>
      </c>
      <c r="D26" s="16" t="s">
        <v>95</v>
      </c>
      <c r="E26" s="80">
        <v>9990000000</v>
      </c>
      <c r="F26" s="16"/>
      <c r="G26" s="54" t="s">
        <v>30</v>
      </c>
      <c r="H26" s="41">
        <f t="shared" ref="H26" si="1">H27+H29</f>
        <v>3590.5</v>
      </c>
      <c r="I26" s="41">
        <f t="shared" ref="I26:J26" si="2">I27+I29</f>
        <v>3552.7000000000003</v>
      </c>
      <c r="J26" s="41">
        <f t="shared" si="2"/>
        <v>3552.7000000000003</v>
      </c>
    </row>
    <row r="27" spans="1:13" x14ac:dyDescent="0.2">
      <c r="A27" s="1"/>
      <c r="B27" s="25"/>
      <c r="C27" s="16" t="s">
        <v>90</v>
      </c>
      <c r="D27" s="16" t="s">
        <v>95</v>
      </c>
      <c r="E27" s="80">
        <v>9990022400</v>
      </c>
      <c r="F27" s="16"/>
      <c r="G27" s="101" t="s">
        <v>141</v>
      </c>
      <c r="H27" s="41">
        <f t="shared" ref="H27:J27" si="3">H28</f>
        <v>1270.5</v>
      </c>
      <c r="I27" s="41">
        <f t="shared" si="3"/>
        <v>1270.5</v>
      </c>
      <c r="J27" s="41">
        <f t="shared" si="3"/>
        <v>1270.5</v>
      </c>
    </row>
    <row r="28" spans="1:13" ht="38.25" x14ac:dyDescent="0.2">
      <c r="A28" s="1"/>
      <c r="B28" s="25"/>
      <c r="C28" s="16" t="s">
        <v>90</v>
      </c>
      <c r="D28" s="16" t="s">
        <v>95</v>
      </c>
      <c r="E28" s="80">
        <v>9990022400</v>
      </c>
      <c r="F28" s="16" t="s">
        <v>64</v>
      </c>
      <c r="G28" s="55" t="s">
        <v>65</v>
      </c>
      <c r="H28" s="39">
        <v>1270.5</v>
      </c>
      <c r="I28" s="39">
        <v>1270.5</v>
      </c>
      <c r="J28" s="39">
        <v>1270.5</v>
      </c>
    </row>
    <row r="29" spans="1:13" ht="25.5" x14ac:dyDescent="0.2">
      <c r="A29" s="1"/>
      <c r="B29" s="25"/>
      <c r="C29" s="16" t="s">
        <v>90</v>
      </c>
      <c r="D29" s="16" t="s">
        <v>95</v>
      </c>
      <c r="E29" s="80">
        <v>9990022500</v>
      </c>
      <c r="F29" s="21"/>
      <c r="G29" s="103" t="s">
        <v>653</v>
      </c>
      <c r="H29" s="41">
        <f>SUM(H30:H31)</f>
        <v>2320</v>
      </c>
      <c r="I29" s="41">
        <f t="shared" ref="I29:J29" si="4">SUM(I30:I31)</f>
        <v>2282.2000000000003</v>
      </c>
      <c r="J29" s="41">
        <f t="shared" si="4"/>
        <v>2282.2000000000003</v>
      </c>
    </row>
    <row r="30" spans="1:13" ht="38.25" x14ac:dyDescent="0.2">
      <c r="A30" s="1"/>
      <c r="B30" s="25"/>
      <c r="C30" s="16" t="s">
        <v>90</v>
      </c>
      <c r="D30" s="16" t="s">
        <v>95</v>
      </c>
      <c r="E30" s="80">
        <v>9990022500</v>
      </c>
      <c r="F30" s="16" t="s">
        <v>64</v>
      </c>
      <c r="G30" s="55" t="s">
        <v>65</v>
      </c>
      <c r="H30" s="39">
        <f>2168.1-18.2+48.6</f>
        <v>2198.5</v>
      </c>
      <c r="I30" s="39">
        <v>2178.9</v>
      </c>
      <c r="J30" s="39">
        <v>2178.9</v>
      </c>
    </row>
    <row r="31" spans="1:13" ht="38.25" x14ac:dyDescent="0.2">
      <c r="A31" s="1"/>
      <c r="B31" s="25"/>
      <c r="C31" s="16" t="s">
        <v>90</v>
      </c>
      <c r="D31" s="16" t="s">
        <v>95</v>
      </c>
      <c r="E31" s="80">
        <v>9990022500</v>
      </c>
      <c r="F31" s="84" t="s">
        <v>214</v>
      </c>
      <c r="G31" s="101" t="s">
        <v>215</v>
      </c>
      <c r="H31" s="39">
        <f>103.3+18.2</f>
        <v>121.5</v>
      </c>
      <c r="I31" s="39">
        <v>103.3</v>
      </c>
      <c r="J31" s="39">
        <v>103.3</v>
      </c>
    </row>
    <row r="32" spans="1:13" ht="47.25" x14ac:dyDescent="0.25">
      <c r="A32" s="148"/>
      <c r="B32" s="94">
        <v>939</v>
      </c>
      <c r="C32" s="13"/>
      <c r="D32" s="13"/>
      <c r="E32" s="13"/>
      <c r="F32" s="13"/>
      <c r="G32" s="10" t="s">
        <v>203</v>
      </c>
      <c r="H32" s="95">
        <f t="shared" ref="H32:J32" si="5">H33</f>
        <v>1574.3999999999999</v>
      </c>
      <c r="I32" s="95">
        <f t="shared" si="5"/>
        <v>1557.6</v>
      </c>
      <c r="J32" s="95">
        <f t="shared" si="5"/>
        <v>1557.6</v>
      </c>
    </row>
    <row r="33" spans="1:10" ht="15.75" x14ac:dyDescent="0.25">
      <c r="A33" s="148"/>
      <c r="B33" s="94"/>
      <c r="C33" s="4" t="s">
        <v>90</v>
      </c>
      <c r="D33" s="11"/>
      <c r="E33" s="11"/>
      <c r="F33" s="11"/>
      <c r="G33" s="49" t="s">
        <v>93</v>
      </c>
      <c r="H33" s="95">
        <f t="shared" ref="H33:J33" si="6">H34</f>
        <v>1574.3999999999999</v>
      </c>
      <c r="I33" s="95">
        <f t="shared" si="6"/>
        <v>1557.6</v>
      </c>
      <c r="J33" s="95">
        <f t="shared" si="6"/>
        <v>1557.6</v>
      </c>
    </row>
    <row r="34" spans="1:10" ht="51" x14ac:dyDescent="0.2">
      <c r="A34" s="148"/>
      <c r="B34" s="24"/>
      <c r="C34" s="30" t="s">
        <v>90</v>
      </c>
      <c r="D34" s="30" t="s">
        <v>98</v>
      </c>
      <c r="E34" s="31"/>
      <c r="F34" s="31"/>
      <c r="G34" s="46" t="s">
        <v>127</v>
      </c>
      <c r="H34" s="96">
        <f t="shared" ref="H34:J34" si="7">H35</f>
        <v>1574.3999999999999</v>
      </c>
      <c r="I34" s="96">
        <f t="shared" si="7"/>
        <v>1557.6</v>
      </c>
      <c r="J34" s="96">
        <f t="shared" si="7"/>
        <v>1557.6</v>
      </c>
    </row>
    <row r="35" spans="1:10" ht="38.25" x14ac:dyDescent="0.2">
      <c r="A35" s="148"/>
      <c r="B35" s="24"/>
      <c r="C35" s="16" t="s">
        <v>90</v>
      </c>
      <c r="D35" s="84" t="s">
        <v>98</v>
      </c>
      <c r="E35" s="80">
        <v>9990000000</v>
      </c>
      <c r="F35" s="16"/>
      <c r="G35" s="54" t="s">
        <v>30</v>
      </c>
      <c r="H35" s="39">
        <f t="shared" ref="H35:J35" si="8">H36</f>
        <v>1574.3999999999999</v>
      </c>
      <c r="I35" s="39">
        <f t="shared" si="8"/>
        <v>1557.6</v>
      </c>
      <c r="J35" s="39">
        <f t="shared" si="8"/>
        <v>1557.6</v>
      </c>
    </row>
    <row r="36" spans="1:10" ht="25.5" x14ac:dyDescent="0.2">
      <c r="A36" s="1"/>
      <c r="B36" s="25"/>
      <c r="C36" s="16" t="s">
        <v>90</v>
      </c>
      <c r="D36" s="84" t="s">
        <v>98</v>
      </c>
      <c r="E36" s="80">
        <v>9990022300</v>
      </c>
      <c r="F36" s="21"/>
      <c r="G36" s="129" t="s">
        <v>203</v>
      </c>
      <c r="H36" s="41">
        <f>H37+H38</f>
        <v>1574.3999999999999</v>
      </c>
      <c r="I36" s="41">
        <f>I37+I38</f>
        <v>1557.6</v>
      </c>
      <c r="J36" s="41">
        <f>J37+J38</f>
        <v>1557.6</v>
      </c>
    </row>
    <row r="37" spans="1:10" ht="38.25" x14ac:dyDescent="0.2">
      <c r="A37" s="1"/>
      <c r="B37" s="25"/>
      <c r="C37" s="16" t="s">
        <v>90</v>
      </c>
      <c r="D37" s="84" t="s">
        <v>98</v>
      </c>
      <c r="E37" s="80">
        <v>9990022300</v>
      </c>
      <c r="F37" s="16" t="s">
        <v>64</v>
      </c>
      <c r="G37" s="129" t="s">
        <v>80</v>
      </c>
      <c r="H37" s="39">
        <f>1554.1-3.1-14.7+16.8</f>
        <v>1553.1</v>
      </c>
      <c r="I37" s="39">
        <v>1554.1</v>
      </c>
      <c r="J37" s="39">
        <v>1554.1</v>
      </c>
    </row>
    <row r="38" spans="1:10" ht="38.25" x14ac:dyDescent="0.2">
      <c r="A38" s="1"/>
      <c r="B38" s="25"/>
      <c r="C38" s="16" t="s">
        <v>90</v>
      </c>
      <c r="D38" s="84" t="s">
        <v>98</v>
      </c>
      <c r="E38" s="80">
        <v>9990022300</v>
      </c>
      <c r="F38" s="84" t="s">
        <v>214</v>
      </c>
      <c r="G38" s="101" t="s">
        <v>215</v>
      </c>
      <c r="H38" s="39">
        <f>3.5+3.1+14.7</f>
        <v>21.299999999999997</v>
      </c>
      <c r="I38" s="39">
        <v>3.5</v>
      </c>
      <c r="J38" s="39">
        <v>3.5</v>
      </c>
    </row>
    <row r="39" spans="1:10" s="8" customFormat="1" ht="54" x14ac:dyDescent="0.25">
      <c r="A39" s="3">
        <v>2</v>
      </c>
      <c r="B39" s="94">
        <v>937</v>
      </c>
      <c r="C39" s="13"/>
      <c r="D39" s="13"/>
      <c r="E39" s="13"/>
      <c r="F39" s="13"/>
      <c r="G39" s="14" t="s">
        <v>199</v>
      </c>
      <c r="H39" s="59">
        <f>H40+H98+H143+H255+H445+H478</f>
        <v>475456.3</v>
      </c>
      <c r="I39" s="59">
        <f>I40+I98+I143+I255+I445+I478</f>
        <v>283287.8</v>
      </c>
      <c r="J39" s="59">
        <f>J40+J98+J143+J255+J445+J478</f>
        <v>239779.69999999998</v>
      </c>
    </row>
    <row r="40" spans="1:10" ht="15.75" x14ac:dyDescent="0.25">
      <c r="A40" s="3"/>
      <c r="B40" s="94"/>
      <c r="C40" s="4" t="s">
        <v>90</v>
      </c>
      <c r="D40" s="11"/>
      <c r="E40" s="11"/>
      <c r="F40" s="11"/>
      <c r="G40" s="15" t="s">
        <v>93</v>
      </c>
      <c r="H40" s="95">
        <f>H41+H46+H57+H62</f>
        <v>118251</v>
      </c>
      <c r="I40" s="95">
        <f t="shared" ref="I40:J40" si="9">I41+I46+I57+I62</f>
        <v>87848.9</v>
      </c>
      <c r="J40" s="95">
        <f t="shared" si="9"/>
        <v>87980.2</v>
      </c>
    </row>
    <row r="41" spans="1:10" ht="51.75" x14ac:dyDescent="0.25">
      <c r="A41" s="3"/>
      <c r="B41" s="94"/>
      <c r="C41" s="30" t="s">
        <v>90</v>
      </c>
      <c r="D41" s="30" t="s">
        <v>91</v>
      </c>
      <c r="E41" s="30"/>
      <c r="F41" s="30"/>
      <c r="G41" s="46" t="s">
        <v>18</v>
      </c>
      <c r="H41" s="40">
        <f t="shared" ref="H41:J41" si="10">H42</f>
        <v>1580</v>
      </c>
      <c r="I41" s="40">
        <f t="shared" si="10"/>
        <v>1580</v>
      </c>
      <c r="J41" s="40">
        <f t="shared" si="10"/>
        <v>1580</v>
      </c>
    </row>
    <row r="42" spans="1:10" ht="25.5" x14ac:dyDescent="0.25">
      <c r="A42" s="3"/>
      <c r="B42" s="94"/>
      <c r="C42" s="16" t="s">
        <v>90</v>
      </c>
      <c r="D42" s="16" t="s">
        <v>91</v>
      </c>
      <c r="E42" s="80">
        <v>9900000000</v>
      </c>
      <c r="F42" s="16"/>
      <c r="G42" s="55" t="s">
        <v>146</v>
      </c>
      <c r="H42" s="41">
        <f t="shared" ref="H42" si="11">H44</f>
        <v>1580</v>
      </c>
      <c r="I42" s="41">
        <f t="shared" ref="I42:J42" si="12">I44</f>
        <v>1580</v>
      </c>
      <c r="J42" s="41">
        <f t="shared" si="12"/>
        <v>1580</v>
      </c>
    </row>
    <row r="43" spans="1:10" ht="38.25" x14ac:dyDescent="0.25">
      <c r="A43" s="3"/>
      <c r="B43" s="94"/>
      <c r="C43" s="16" t="s">
        <v>90</v>
      </c>
      <c r="D43" s="16" t="s">
        <v>91</v>
      </c>
      <c r="E43" s="80">
        <v>9980000000</v>
      </c>
      <c r="F43" s="16"/>
      <c r="G43" s="54" t="s">
        <v>31</v>
      </c>
      <c r="H43" s="41">
        <f t="shared" ref="H43:J44" si="13">H44</f>
        <v>1580</v>
      </c>
      <c r="I43" s="41">
        <f t="shared" si="13"/>
        <v>1580</v>
      </c>
      <c r="J43" s="41">
        <f t="shared" si="13"/>
        <v>1580</v>
      </c>
    </row>
    <row r="44" spans="1:10" ht="15.75" x14ac:dyDescent="0.25">
      <c r="A44" s="3"/>
      <c r="B44" s="94"/>
      <c r="C44" s="16" t="s">
        <v>90</v>
      </c>
      <c r="D44" s="16" t="s">
        <v>91</v>
      </c>
      <c r="E44" s="80">
        <v>9980022100</v>
      </c>
      <c r="F44" s="16"/>
      <c r="G44" s="103" t="s">
        <v>116</v>
      </c>
      <c r="H44" s="39">
        <f t="shared" si="13"/>
        <v>1580</v>
      </c>
      <c r="I44" s="39">
        <f t="shared" si="13"/>
        <v>1580</v>
      </c>
      <c r="J44" s="39">
        <f t="shared" si="13"/>
        <v>1580</v>
      </c>
    </row>
    <row r="45" spans="1:10" ht="39" x14ac:dyDescent="0.25">
      <c r="A45" s="3"/>
      <c r="B45" s="94"/>
      <c r="C45" s="16" t="s">
        <v>90</v>
      </c>
      <c r="D45" s="16" t="s">
        <v>91</v>
      </c>
      <c r="E45" s="80">
        <v>9980022100</v>
      </c>
      <c r="F45" s="16" t="s">
        <v>64</v>
      </c>
      <c r="G45" s="129" t="s">
        <v>80</v>
      </c>
      <c r="H45" s="39">
        <v>1580</v>
      </c>
      <c r="I45" s="39">
        <v>1580</v>
      </c>
      <c r="J45" s="39">
        <v>1580</v>
      </c>
    </row>
    <row r="46" spans="1:10" s="26" customFormat="1" ht="76.5" x14ac:dyDescent="0.2">
      <c r="A46" s="23"/>
      <c r="B46" s="24"/>
      <c r="C46" s="30" t="s">
        <v>90</v>
      </c>
      <c r="D46" s="30" t="s">
        <v>96</v>
      </c>
      <c r="E46" s="30"/>
      <c r="F46" s="30"/>
      <c r="G46" s="46" t="s">
        <v>126</v>
      </c>
      <c r="H46" s="40">
        <f t="shared" ref="H46:J46" si="14">H47</f>
        <v>46735.7</v>
      </c>
      <c r="I46" s="40">
        <f t="shared" si="14"/>
        <v>45241</v>
      </c>
      <c r="J46" s="40">
        <f t="shared" si="14"/>
        <v>45245</v>
      </c>
    </row>
    <row r="47" spans="1:10" ht="25.5" x14ac:dyDescent="0.2">
      <c r="A47" s="1"/>
      <c r="B47" s="25"/>
      <c r="C47" s="16" t="s">
        <v>90</v>
      </c>
      <c r="D47" s="16" t="s">
        <v>96</v>
      </c>
      <c r="E47" s="80">
        <v>9900000000</v>
      </c>
      <c r="F47" s="16"/>
      <c r="G47" s="55" t="s">
        <v>146</v>
      </c>
      <c r="H47" s="39">
        <f>H48+H52</f>
        <v>46735.7</v>
      </c>
      <c r="I47" s="39">
        <f t="shared" ref="I47:J47" si="15">I48+I52</f>
        <v>45241</v>
      </c>
      <c r="J47" s="39">
        <f t="shared" si="15"/>
        <v>45245</v>
      </c>
    </row>
    <row r="48" spans="1:10" ht="25.5" x14ac:dyDescent="0.2">
      <c r="A48" s="1"/>
      <c r="B48" s="25"/>
      <c r="C48" s="16" t="s">
        <v>90</v>
      </c>
      <c r="D48" s="16" t="s">
        <v>96</v>
      </c>
      <c r="E48" s="80">
        <v>9930000000</v>
      </c>
      <c r="F48" s="16"/>
      <c r="G48" s="22" t="s">
        <v>42</v>
      </c>
      <c r="H48" s="39">
        <f t="shared" ref="H48:J48" si="16">H49</f>
        <v>398</v>
      </c>
      <c r="I48" s="39">
        <f t="shared" si="16"/>
        <v>401</v>
      </c>
      <c r="J48" s="39">
        <f t="shared" si="16"/>
        <v>405</v>
      </c>
    </row>
    <row r="49" spans="1:13" ht="63.75" x14ac:dyDescent="0.2">
      <c r="A49" s="1"/>
      <c r="B49" s="25"/>
      <c r="C49" s="16" t="s">
        <v>90</v>
      </c>
      <c r="D49" s="16" t="s">
        <v>96</v>
      </c>
      <c r="E49" s="80">
        <v>9930010510</v>
      </c>
      <c r="F49" s="16"/>
      <c r="G49" s="22" t="s">
        <v>16</v>
      </c>
      <c r="H49" s="39">
        <f>H50+H51</f>
        <v>398</v>
      </c>
      <c r="I49" s="39">
        <f t="shared" ref="I49:J49" si="17">I50+I51</f>
        <v>401</v>
      </c>
      <c r="J49" s="39">
        <f t="shared" si="17"/>
        <v>405</v>
      </c>
    </row>
    <row r="50" spans="1:13" ht="38.25" x14ac:dyDescent="0.2">
      <c r="A50" s="1"/>
      <c r="B50" s="25"/>
      <c r="C50" s="16" t="s">
        <v>90</v>
      </c>
      <c r="D50" s="16" t="s">
        <v>96</v>
      </c>
      <c r="E50" s="80">
        <v>9930010510</v>
      </c>
      <c r="F50" s="16" t="s">
        <v>64</v>
      </c>
      <c r="G50" s="106" t="s">
        <v>65</v>
      </c>
      <c r="H50" s="39">
        <v>357.6</v>
      </c>
      <c r="I50" s="39">
        <v>357.6</v>
      </c>
      <c r="J50" s="39">
        <v>357.6</v>
      </c>
    </row>
    <row r="51" spans="1:13" ht="38.25" x14ac:dyDescent="0.2">
      <c r="A51" s="1"/>
      <c r="B51" s="25"/>
      <c r="C51" s="16" t="s">
        <v>90</v>
      </c>
      <c r="D51" s="16" t="s">
        <v>96</v>
      </c>
      <c r="E51" s="80">
        <v>9930010510</v>
      </c>
      <c r="F51" s="84" t="s">
        <v>214</v>
      </c>
      <c r="G51" s="101" t="s">
        <v>215</v>
      </c>
      <c r="H51" s="39">
        <v>40.4</v>
      </c>
      <c r="I51" s="39">
        <v>43.4</v>
      </c>
      <c r="J51" s="39">
        <v>47.4</v>
      </c>
    </row>
    <row r="52" spans="1:13" ht="38.25" x14ac:dyDescent="0.2">
      <c r="A52" s="1"/>
      <c r="B52" s="25"/>
      <c r="C52" s="16" t="s">
        <v>90</v>
      </c>
      <c r="D52" s="16" t="s">
        <v>96</v>
      </c>
      <c r="E52" s="80">
        <v>9980000000</v>
      </c>
      <c r="F52" s="16"/>
      <c r="G52" s="54" t="s">
        <v>31</v>
      </c>
      <c r="H52" s="39">
        <f t="shared" ref="H52:J52" si="18">H53</f>
        <v>46337.7</v>
      </c>
      <c r="I52" s="39">
        <f t="shared" si="18"/>
        <v>44840</v>
      </c>
      <c r="J52" s="39">
        <f t="shared" si="18"/>
        <v>44840</v>
      </c>
    </row>
    <row r="53" spans="1:13" x14ac:dyDescent="0.2">
      <c r="A53" s="1"/>
      <c r="B53" s="25"/>
      <c r="C53" s="16" t="s">
        <v>90</v>
      </c>
      <c r="D53" s="16" t="s">
        <v>96</v>
      </c>
      <c r="E53" s="172">
        <v>9980022200</v>
      </c>
      <c r="F53" s="21"/>
      <c r="G53" s="103" t="s">
        <v>117</v>
      </c>
      <c r="H53" s="39">
        <f>SUM(H54:H56)</f>
        <v>46337.7</v>
      </c>
      <c r="I53" s="39">
        <f>SUM(I54:I56)</f>
        <v>44840</v>
      </c>
      <c r="J53" s="39">
        <f>SUM(J54:J56)</f>
        <v>44840</v>
      </c>
    </row>
    <row r="54" spans="1:13" ht="38.25" x14ac:dyDescent="0.2">
      <c r="A54" s="1"/>
      <c r="B54" s="25"/>
      <c r="C54" s="16" t="s">
        <v>90</v>
      </c>
      <c r="D54" s="16" t="s">
        <v>96</v>
      </c>
      <c r="E54" s="172">
        <v>9980022200</v>
      </c>
      <c r="F54" s="16" t="s">
        <v>64</v>
      </c>
      <c r="G54" s="55" t="s">
        <v>65</v>
      </c>
      <c r="H54" s="39">
        <f>42052.6-96.1-206.9+1453.1+0.1</f>
        <v>43202.799999999996</v>
      </c>
      <c r="I54" s="39">
        <v>42052.6</v>
      </c>
      <c r="J54" s="39">
        <v>42052.6</v>
      </c>
    </row>
    <row r="55" spans="1:13" ht="38.25" x14ac:dyDescent="0.2">
      <c r="A55" s="1"/>
      <c r="B55" s="25"/>
      <c r="C55" s="16" t="s">
        <v>90</v>
      </c>
      <c r="D55" s="16" t="s">
        <v>96</v>
      </c>
      <c r="E55" s="172">
        <v>9980022200</v>
      </c>
      <c r="F55" s="84" t="s">
        <v>214</v>
      </c>
      <c r="G55" s="101" t="s">
        <v>215</v>
      </c>
      <c r="H55" s="39">
        <f>2743+44.5+96.1+211.7</f>
        <v>3095.2999999999997</v>
      </c>
      <c r="I55" s="39">
        <v>2743</v>
      </c>
      <c r="J55" s="39">
        <v>2743</v>
      </c>
    </row>
    <row r="56" spans="1:13" x14ac:dyDescent="0.2">
      <c r="A56" s="1"/>
      <c r="B56" s="25"/>
      <c r="C56" s="16" t="s">
        <v>90</v>
      </c>
      <c r="D56" s="16" t="s">
        <v>96</v>
      </c>
      <c r="E56" s="172">
        <v>9980022200</v>
      </c>
      <c r="F56" s="84" t="s">
        <v>133</v>
      </c>
      <c r="G56" s="101" t="s">
        <v>134</v>
      </c>
      <c r="H56" s="41">
        <f>44.4-4.8</f>
        <v>39.6</v>
      </c>
      <c r="I56" s="41">
        <v>44.4</v>
      </c>
      <c r="J56" s="41">
        <v>44.4</v>
      </c>
    </row>
    <row r="57" spans="1:13" ht="14.25" x14ac:dyDescent="0.2">
      <c r="A57" s="1"/>
      <c r="B57" s="25"/>
      <c r="C57" s="35" t="s">
        <v>90</v>
      </c>
      <c r="D57" s="35" t="s">
        <v>97</v>
      </c>
      <c r="E57" s="35"/>
      <c r="F57" s="35"/>
      <c r="G57" s="46" t="s">
        <v>295</v>
      </c>
      <c r="H57" s="42">
        <f t="shared" ref="H57:J57" si="19">SUM(H58)</f>
        <v>96.3</v>
      </c>
      <c r="I57" s="42">
        <f t="shared" si="19"/>
        <v>6.6</v>
      </c>
      <c r="J57" s="42">
        <f t="shared" si="19"/>
        <v>5.9</v>
      </c>
    </row>
    <row r="58" spans="1:13" ht="25.5" x14ac:dyDescent="0.2">
      <c r="A58" s="1"/>
      <c r="B58" s="25"/>
      <c r="C58" s="16" t="s">
        <v>90</v>
      </c>
      <c r="D58" s="84" t="s">
        <v>97</v>
      </c>
      <c r="E58" s="80">
        <v>9900000000</v>
      </c>
      <c r="F58" s="16"/>
      <c r="G58" s="55" t="s">
        <v>147</v>
      </c>
      <c r="H58" s="39">
        <f t="shared" ref="H58:J60" si="20">H59</f>
        <v>96.3</v>
      </c>
      <c r="I58" s="39">
        <f t="shared" si="20"/>
        <v>6.6</v>
      </c>
      <c r="J58" s="39">
        <f t="shared" si="20"/>
        <v>5.9</v>
      </c>
    </row>
    <row r="59" spans="1:13" ht="25.5" x14ac:dyDescent="0.2">
      <c r="A59" s="1"/>
      <c r="B59" s="25"/>
      <c r="C59" s="16" t="s">
        <v>90</v>
      </c>
      <c r="D59" s="84" t="s">
        <v>97</v>
      </c>
      <c r="E59" s="80">
        <v>9930000000</v>
      </c>
      <c r="F59" s="16"/>
      <c r="G59" s="22" t="s">
        <v>42</v>
      </c>
      <c r="H59" s="39">
        <f t="shared" si="20"/>
        <v>96.3</v>
      </c>
      <c r="I59" s="39">
        <f t="shared" si="20"/>
        <v>6.6</v>
      </c>
      <c r="J59" s="39">
        <f t="shared" si="20"/>
        <v>5.9</v>
      </c>
    </row>
    <row r="60" spans="1:13" ht="63.75" x14ac:dyDescent="0.2">
      <c r="A60" s="1"/>
      <c r="B60" s="25"/>
      <c r="C60" s="16" t="s">
        <v>90</v>
      </c>
      <c r="D60" s="84" t="s">
        <v>97</v>
      </c>
      <c r="E60" s="80">
        <v>9930051200</v>
      </c>
      <c r="F60" s="16"/>
      <c r="G60" s="54" t="s">
        <v>288</v>
      </c>
      <c r="H60" s="39">
        <f t="shared" si="20"/>
        <v>96.3</v>
      </c>
      <c r="I60" s="39">
        <f t="shared" si="20"/>
        <v>6.6</v>
      </c>
      <c r="J60" s="39">
        <f t="shared" si="20"/>
        <v>5.9</v>
      </c>
    </row>
    <row r="61" spans="1:13" ht="38.25" x14ac:dyDescent="0.2">
      <c r="A61" s="1"/>
      <c r="B61" s="25"/>
      <c r="C61" s="16" t="s">
        <v>90</v>
      </c>
      <c r="D61" s="84" t="s">
        <v>97</v>
      </c>
      <c r="E61" s="80">
        <v>9930051200</v>
      </c>
      <c r="F61" s="84" t="s">
        <v>214</v>
      </c>
      <c r="G61" s="101" t="s">
        <v>215</v>
      </c>
      <c r="H61" s="116">
        <v>96.3</v>
      </c>
      <c r="I61" s="116">
        <v>6.6</v>
      </c>
      <c r="J61" s="116">
        <v>5.9</v>
      </c>
    </row>
    <row r="62" spans="1:13" s="26" customFormat="1" ht="14.25" x14ac:dyDescent="0.2">
      <c r="A62" s="23"/>
      <c r="B62" s="24"/>
      <c r="C62" s="30" t="s">
        <v>90</v>
      </c>
      <c r="D62" s="30" t="s">
        <v>9</v>
      </c>
      <c r="E62" s="33"/>
      <c r="F62" s="33"/>
      <c r="G62" s="46" t="s">
        <v>99</v>
      </c>
      <c r="H62" s="40">
        <f>H63+H79</f>
        <v>69839</v>
      </c>
      <c r="I62" s="40">
        <f t="shared" ref="I62:J62" si="21">I63+I79</f>
        <v>41021.299999999996</v>
      </c>
      <c r="J62" s="40">
        <f t="shared" si="21"/>
        <v>41149.299999999996</v>
      </c>
    </row>
    <row r="63" spans="1:13" ht="89.25" customHeight="1" x14ac:dyDescent="0.2">
      <c r="A63" s="1"/>
      <c r="B63" s="25"/>
      <c r="C63" s="16" t="s">
        <v>90</v>
      </c>
      <c r="D63" s="16" t="s">
        <v>9</v>
      </c>
      <c r="E63" s="73" t="s">
        <v>71</v>
      </c>
      <c r="F63" s="16"/>
      <c r="G63" s="186" t="s">
        <v>640</v>
      </c>
      <c r="H63" s="99">
        <f t="shared" ref="H63:J63" si="22">H64</f>
        <v>32080.899999999998</v>
      </c>
      <c r="I63" s="99">
        <f t="shared" si="22"/>
        <v>7814</v>
      </c>
      <c r="J63" s="99">
        <f t="shared" si="22"/>
        <v>7940</v>
      </c>
      <c r="M63" s="107"/>
    </row>
    <row r="64" spans="1:13" ht="41.25" customHeight="1" x14ac:dyDescent="0.2">
      <c r="A64" s="1"/>
      <c r="B64" s="25"/>
      <c r="C64" s="16" t="s">
        <v>90</v>
      </c>
      <c r="D64" s="16" t="s">
        <v>9</v>
      </c>
      <c r="E64" s="52" t="s">
        <v>72</v>
      </c>
      <c r="F64" s="16"/>
      <c r="G64" s="48" t="s">
        <v>159</v>
      </c>
      <c r="H64" s="96">
        <f>H65+H68</f>
        <v>32080.899999999998</v>
      </c>
      <c r="I64" s="96">
        <f t="shared" ref="I64:J64" si="23">I65+I68</f>
        <v>7814</v>
      </c>
      <c r="J64" s="96">
        <f t="shared" si="23"/>
        <v>7940</v>
      </c>
    </row>
    <row r="65" spans="1:10" ht="38.25" x14ac:dyDescent="0.2">
      <c r="A65" s="1"/>
      <c r="B65" s="25"/>
      <c r="C65" s="16" t="s">
        <v>90</v>
      </c>
      <c r="D65" s="16" t="s">
        <v>9</v>
      </c>
      <c r="E65" s="21" t="s">
        <v>247</v>
      </c>
      <c r="F65" s="16"/>
      <c r="G65" s="103" t="s">
        <v>248</v>
      </c>
      <c r="H65" s="102">
        <f t="shared" ref="H65:J66" si="24">H66</f>
        <v>349</v>
      </c>
      <c r="I65" s="102">
        <f t="shared" si="24"/>
        <v>250</v>
      </c>
      <c r="J65" s="102">
        <f t="shared" si="24"/>
        <v>250</v>
      </c>
    </row>
    <row r="66" spans="1:10" ht="38.25" x14ac:dyDescent="0.2">
      <c r="A66" s="1"/>
      <c r="B66" s="25"/>
      <c r="C66" s="16" t="s">
        <v>90</v>
      </c>
      <c r="D66" s="16" t="s">
        <v>9</v>
      </c>
      <c r="E66" s="84" t="s">
        <v>492</v>
      </c>
      <c r="F66" s="16"/>
      <c r="G66" s="100" t="s">
        <v>160</v>
      </c>
      <c r="H66" s="41">
        <f t="shared" si="24"/>
        <v>349</v>
      </c>
      <c r="I66" s="41">
        <f t="shared" si="24"/>
        <v>250</v>
      </c>
      <c r="J66" s="41">
        <f t="shared" si="24"/>
        <v>250</v>
      </c>
    </row>
    <row r="67" spans="1:10" ht="38.25" x14ac:dyDescent="0.2">
      <c r="A67" s="1"/>
      <c r="B67" s="25"/>
      <c r="C67" s="16" t="s">
        <v>90</v>
      </c>
      <c r="D67" s="16" t="s">
        <v>9</v>
      </c>
      <c r="E67" s="84" t="s">
        <v>492</v>
      </c>
      <c r="F67" s="84" t="s">
        <v>214</v>
      </c>
      <c r="G67" s="101" t="s">
        <v>215</v>
      </c>
      <c r="H67" s="41">
        <f>250+100-1</f>
        <v>349</v>
      </c>
      <c r="I67" s="41">
        <v>250</v>
      </c>
      <c r="J67" s="41">
        <v>250</v>
      </c>
    </row>
    <row r="68" spans="1:10" ht="63.75" x14ac:dyDescent="0.2">
      <c r="A68" s="1"/>
      <c r="B68" s="25"/>
      <c r="C68" s="16" t="s">
        <v>90</v>
      </c>
      <c r="D68" s="16" t="s">
        <v>9</v>
      </c>
      <c r="E68" s="21" t="s">
        <v>249</v>
      </c>
      <c r="F68" s="84"/>
      <c r="G68" s="103" t="s">
        <v>250</v>
      </c>
      <c r="H68" s="41">
        <f>H69+H71+H73+H77</f>
        <v>31731.899999999998</v>
      </c>
      <c r="I68" s="41">
        <f>I69+I71+I73</f>
        <v>7564</v>
      </c>
      <c r="J68" s="41">
        <f>J69+J71+J73</f>
        <v>7690</v>
      </c>
    </row>
    <row r="69" spans="1:10" ht="51" x14ac:dyDescent="0.2">
      <c r="A69" s="1"/>
      <c r="B69" s="25"/>
      <c r="C69" s="16" t="s">
        <v>90</v>
      </c>
      <c r="D69" s="16" t="s">
        <v>9</v>
      </c>
      <c r="E69" s="167" t="s">
        <v>493</v>
      </c>
      <c r="F69" s="16"/>
      <c r="G69" s="100" t="s">
        <v>161</v>
      </c>
      <c r="H69" s="41">
        <f>H70</f>
        <v>237</v>
      </c>
      <c r="I69" s="41">
        <f>I70</f>
        <v>100</v>
      </c>
      <c r="J69" s="41">
        <f>J70</f>
        <v>100</v>
      </c>
    </row>
    <row r="70" spans="1:10" ht="38.25" x14ac:dyDescent="0.2">
      <c r="A70" s="1"/>
      <c r="B70" s="25"/>
      <c r="C70" s="16" t="s">
        <v>90</v>
      </c>
      <c r="D70" s="16" t="s">
        <v>9</v>
      </c>
      <c r="E70" s="167" t="s">
        <v>493</v>
      </c>
      <c r="F70" s="84" t="s">
        <v>214</v>
      </c>
      <c r="G70" s="101" t="s">
        <v>215</v>
      </c>
      <c r="H70" s="41">
        <f>100+50+50+36+1</f>
        <v>237</v>
      </c>
      <c r="I70" s="41">
        <v>100</v>
      </c>
      <c r="J70" s="41">
        <v>100</v>
      </c>
    </row>
    <row r="71" spans="1:10" ht="76.5" x14ac:dyDescent="0.2">
      <c r="A71" s="1"/>
      <c r="B71" s="25"/>
      <c r="C71" s="16" t="s">
        <v>90</v>
      </c>
      <c r="D71" s="16" t="s">
        <v>9</v>
      </c>
      <c r="E71" s="167" t="s">
        <v>494</v>
      </c>
      <c r="F71" s="16"/>
      <c r="G71" s="100" t="s">
        <v>162</v>
      </c>
      <c r="H71" s="41">
        <f>H72</f>
        <v>209</v>
      </c>
      <c r="I71" s="41">
        <f>I72</f>
        <v>100</v>
      </c>
      <c r="J71" s="41">
        <f>J72</f>
        <v>100</v>
      </c>
    </row>
    <row r="72" spans="1:10" ht="38.25" x14ac:dyDescent="0.2">
      <c r="A72" s="1"/>
      <c r="B72" s="25"/>
      <c r="C72" s="16" t="s">
        <v>90</v>
      </c>
      <c r="D72" s="16" t="s">
        <v>9</v>
      </c>
      <c r="E72" s="167" t="s">
        <v>494</v>
      </c>
      <c r="F72" s="84" t="s">
        <v>214</v>
      </c>
      <c r="G72" s="101" t="s">
        <v>215</v>
      </c>
      <c r="H72" s="41">
        <f>110+99</f>
        <v>209</v>
      </c>
      <c r="I72" s="41">
        <v>100</v>
      </c>
      <c r="J72" s="41">
        <v>100</v>
      </c>
    </row>
    <row r="73" spans="1:10" ht="38.25" x14ac:dyDescent="0.2">
      <c r="A73" s="1"/>
      <c r="B73" s="25"/>
      <c r="C73" s="16" t="s">
        <v>90</v>
      </c>
      <c r="D73" s="16" t="s">
        <v>9</v>
      </c>
      <c r="E73" s="167" t="s">
        <v>702</v>
      </c>
      <c r="F73" s="16"/>
      <c r="G73" s="100" t="s">
        <v>163</v>
      </c>
      <c r="H73" s="41">
        <f>SUM(H74:H76)</f>
        <v>29285.899999999998</v>
      </c>
      <c r="I73" s="41">
        <f t="shared" ref="I73:J73" si="25">SUM(I74:I76)</f>
        <v>7364</v>
      </c>
      <c r="J73" s="41">
        <f t="shared" si="25"/>
        <v>7490</v>
      </c>
    </row>
    <row r="74" spans="1:10" ht="38.25" x14ac:dyDescent="0.2">
      <c r="A74" s="1"/>
      <c r="B74" s="25"/>
      <c r="C74" s="16" t="s">
        <v>90</v>
      </c>
      <c r="D74" s="16" t="s">
        <v>9</v>
      </c>
      <c r="E74" s="167" t="s">
        <v>702</v>
      </c>
      <c r="F74" s="84" t="s">
        <v>214</v>
      </c>
      <c r="G74" s="101" t="s">
        <v>215</v>
      </c>
      <c r="H74" s="110">
        <f>7420.6+1496+2743.1+363.3-50-100-692.1+200+1800-50-36+180+1497.8+15650+13.8-1497.8</f>
        <v>28938.699999999997</v>
      </c>
      <c r="I74" s="41">
        <f>7016.6+347.4</f>
        <v>7364</v>
      </c>
      <c r="J74" s="41">
        <f>7142.6+347.4</f>
        <v>7490</v>
      </c>
    </row>
    <row r="75" spans="1:10" x14ac:dyDescent="0.2">
      <c r="A75" s="148"/>
      <c r="B75" s="25"/>
      <c r="C75" s="16" t="s">
        <v>90</v>
      </c>
      <c r="D75" s="16" t="s">
        <v>9</v>
      </c>
      <c r="E75" s="167" t="s">
        <v>702</v>
      </c>
      <c r="F75" s="84" t="s">
        <v>693</v>
      </c>
      <c r="G75" s="54" t="s">
        <v>694</v>
      </c>
      <c r="H75" s="41">
        <f>0.2+286.2</f>
        <v>286.39999999999998</v>
      </c>
      <c r="I75" s="41">
        <v>0</v>
      </c>
      <c r="J75" s="41">
        <v>0</v>
      </c>
    </row>
    <row r="76" spans="1:10" x14ac:dyDescent="0.2">
      <c r="A76" s="148"/>
      <c r="B76" s="25"/>
      <c r="C76" s="16" t="s">
        <v>90</v>
      </c>
      <c r="D76" s="16" t="s">
        <v>9</v>
      </c>
      <c r="E76" s="167" t="s">
        <v>702</v>
      </c>
      <c r="F76" s="84" t="s">
        <v>133</v>
      </c>
      <c r="G76" s="101" t="s">
        <v>134</v>
      </c>
      <c r="H76" s="41">
        <v>60.8</v>
      </c>
      <c r="I76" s="41">
        <v>0</v>
      </c>
      <c r="J76" s="41">
        <v>0</v>
      </c>
    </row>
    <row r="77" spans="1:10" ht="38.25" x14ac:dyDescent="0.2">
      <c r="A77" s="148"/>
      <c r="B77" s="25"/>
      <c r="C77" s="16" t="s">
        <v>90</v>
      </c>
      <c r="D77" s="16" t="s">
        <v>9</v>
      </c>
      <c r="E77" s="167" t="s">
        <v>738</v>
      </c>
      <c r="F77" s="84"/>
      <c r="G77" s="101" t="s">
        <v>880</v>
      </c>
      <c r="H77" s="41">
        <f>H78</f>
        <v>2000</v>
      </c>
      <c r="I77" s="41">
        <f t="shared" ref="I77:J77" si="26">I78</f>
        <v>0</v>
      </c>
      <c r="J77" s="41">
        <f t="shared" si="26"/>
        <v>0</v>
      </c>
    </row>
    <row r="78" spans="1:10" ht="66" customHeight="1" x14ac:dyDescent="0.2">
      <c r="A78" s="148"/>
      <c r="B78" s="25"/>
      <c r="C78" s="16" t="s">
        <v>90</v>
      </c>
      <c r="D78" s="16" t="s">
        <v>9</v>
      </c>
      <c r="E78" s="167" t="s">
        <v>738</v>
      </c>
      <c r="F78" s="83" t="s">
        <v>13</v>
      </c>
      <c r="G78" s="101" t="s">
        <v>381</v>
      </c>
      <c r="H78" s="41">
        <v>2000</v>
      </c>
      <c r="I78" s="41">
        <v>0</v>
      </c>
      <c r="J78" s="41">
        <v>0</v>
      </c>
    </row>
    <row r="79" spans="1:10" ht="25.5" x14ac:dyDescent="0.2">
      <c r="A79" s="1"/>
      <c r="B79" s="25"/>
      <c r="C79" s="5" t="s">
        <v>90</v>
      </c>
      <c r="D79" s="5" t="s">
        <v>9</v>
      </c>
      <c r="E79" s="85">
        <v>9900000000</v>
      </c>
      <c r="F79" s="5"/>
      <c r="G79" s="86" t="s">
        <v>146</v>
      </c>
      <c r="H79" s="99">
        <f>H80+H84+H89</f>
        <v>37758.1</v>
      </c>
      <c r="I79" s="99">
        <f t="shared" ref="I79:J79" si="27">I80+I84+I89</f>
        <v>33207.299999999996</v>
      </c>
      <c r="J79" s="99">
        <f t="shared" si="27"/>
        <v>33209.299999999996</v>
      </c>
    </row>
    <row r="80" spans="1:10" ht="25.5" x14ac:dyDescent="0.2">
      <c r="A80" s="1"/>
      <c r="B80" s="25"/>
      <c r="C80" s="16" t="s">
        <v>90</v>
      </c>
      <c r="D80" s="16" t="s">
        <v>9</v>
      </c>
      <c r="E80" s="80">
        <v>9930000000</v>
      </c>
      <c r="F80" s="16"/>
      <c r="G80" s="22" t="s">
        <v>42</v>
      </c>
      <c r="H80" s="39">
        <f>H81</f>
        <v>217</v>
      </c>
      <c r="I80" s="39">
        <f>I81</f>
        <v>219</v>
      </c>
      <c r="J80" s="39">
        <f t="shared" ref="J80" si="28">J81</f>
        <v>221</v>
      </c>
    </row>
    <row r="81" spans="1:10" ht="38.25" x14ac:dyDescent="0.2">
      <c r="A81" s="1"/>
      <c r="B81" s="25"/>
      <c r="C81" s="16" t="s">
        <v>90</v>
      </c>
      <c r="D81" s="16" t="s">
        <v>9</v>
      </c>
      <c r="E81" s="80">
        <v>9930010540</v>
      </c>
      <c r="F81" s="16"/>
      <c r="G81" s="22" t="s">
        <v>17</v>
      </c>
      <c r="H81" s="39">
        <f>H82+H83</f>
        <v>217</v>
      </c>
      <c r="I81" s="39">
        <f>I82+I83</f>
        <v>219</v>
      </c>
      <c r="J81" s="39">
        <f t="shared" ref="J81" si="29">J82+J83</f>
        <v>221</v>
      </c>
    </row>
    <row r="82" spans="1:10" ht="38.25" x14ac:dyDescent="0.2">
      <c r="A82" s="1"/>
      <c r="B82" s="25"/>
      <c r="C82" s="16" t="s">
        <v>90</v>
      </c>
      <c r="D82" s="16" t="s">
        <v>9</v>
      </c>
      <c r="E82" s="80">
        <v>9930010540</v>
      </c>
      <c r="F82" s="16" t="s">
        <v>64</v>
      </c>
      <c r="G82" s="106" t="s">
        <v>65</v>
      </c>
      <c r="H82" s="39">
        <v>191.9</v>
      </c>
      <c r="I82" s="39">
        <v>191.9</v>
      </c>
      <c r="J82" s="39">
        <v>191.9</v>
      </c>
    </row>
    <row r="83" spans="1:10" ht="38.25" x14ac:dyDescent="0.2">
      <c r="A83" s="1"/>
      <c r="B83" s="25"/>
      <c r="C83" s="16" t="s">
        <v>90</v>
      </c>
      <c r="D83" s="16" t="s">
        <v>9</v>
      </c>
      <c r="E83" s="80">
        <v>9930010540</v>
      </c>
      <c r="F83" s="84" t="s">
        <v>214</v>
      </c>
      <c r="G83" s="101" t="s">
        <v>215</v>
      </c>
      <c r="H83" s="39">
        <v>25.1</v>
      </c>
      <c r="I83" s="39">
        <v>27.1</v>
      </c>
      <c r="J83" s="39">
        <v>29.1</v>
      </c>
    </row>
    <row r="84" spans="1:10" ht="39.75" customHeight="1" x14ac:dyDescent="0.2">
      <c r="A84" s="1"/>
      <c r="B84" s="25"/>
      <c r="C84" s="16" t="s">
        <v>90</v>
      </c>
      <c r="D84" s="16" t="s">
        <v>9</v>
      </c>
      <c r="E84" s="16" t="s">
        <v>26</v>
      </c>
      <c r="F84" s="16"/>
      <c r="G84" s="103" t="s">
        <v>40</v>
      </c>
      <c r="H84" s="39">
        <f>H85</f>
        <v>5596.8</v>
      </c>
      <c r="I84" s="39">
        <f t="shared" ref="I84:J84" si="30">I85</f>
        <v>1270</v>
      </c>
      <c r="J84" s="39">
        <f t="shared" si="30"/>
        <v>1270</v>
      </c>
    </row>
    <row r="85" spans="1:10" ht="25.5" x14ac:dyDescent="0.2">
      <c r="A85" s="1"/>
      <c r="B85" s="25"/>
      <c r="C85" s="16" t="s">
        <v>90</v>
      </c>
      <c r="D85" s="16" t="s">
        <v>9</v>
      </c>
      <c r="E85" s="83" t="s">
        <v>590</v>
      </c>
      <c r="F85" s="16"/>
      <c r="G85" s="103" t="s">
        <v>41</v>
      </c>
      <c r="H85" s="39">
        <f>SUM(H86:H88)</f>
        <v>5596.8</v>
      </c>
      <c r="I85" s="39">
        <f>SUM(I86:I88)</f>
        <v>1270</v>
      </c>
      <c r="J85" s="39">
        <f>SUM(J86:J88)</f>
        <v>1270</v>
      </c>
    </row>
    <row r="86" spans="1:10" ht="38.25" x14ac:dyDescent="0.2">
      <c r="A86" s="1"/>
      <c r="B86" s="25"/>
      <c r="C86" s="16" t="s">
        <v>90</v>
      </c>
      <c r="D86" s="16" t="s">
        <v>9</v>
      </c>
      <c r="E86" s="83" t="s">
        <v>590</v>
      </c>
      <c r="F86" s="84" t="s">
        <v>214</v>
      </c>
      <c r="G86" s="101" t="s">
        <v>215</v>
      </c>
      <c r="H86" s="39">
        <f>242-7.7</f>
        <v>234.3</v>
      </c>
      <c r="I86" s="39">
        <v>242</v>
      </c>
      <c r="J86" s="39">
        <v>242</v>
      </c>
    </row>
    <row r="87" spans="1:10" x14ac:dyDescent="0.2">
      <c r="A87" s="1"/>
      <c r="B87" s="25"/>
      <c r="C87" s="16" t="s">
        <v>90</v>
      </c>
      <c r="D87" s="16" t="s">
        <v>9</v>
      </c>
      <c r="E87" s="83" t="s">
        <v>590</v>
      </c>
      <c r="F87" s="16" t="s">
        <v>83</v>
      </c>
      <c r="G87" s="101" t="s">
        <v>84</v>
      </c>
      <c r="H87" s="39">
        <f>426-196.1</f>
        <v>229.9</v>
      </c>
      <c r="I87" s="39">
        <v>426</v>
      </c>
      <c r="J87" s="39">
        <v>426</v>
      </c>
    </row>
    <row r="88" spans="1:10" x14ac:dyDescent="0.2">
      <c r="A88" s="1"/>
      <c r="B88" s="25"/>
      <c r="C88" s="16" t="s">
        <v>90</v>
      </c>
      <c r="D88" s="16" t="s">
        <v>9</v>
      </c>
      <c r="E88" s="83" t="s">
        <v>590</v>
      </c>
      <c r="F88" s="83" t="s">
        <v>133</v>
      </c>
      <c r="G88" s="101" t="s">
        <v>134</v>
      </c>
      <c r="H88" s="39">
        <f>602-1+1000+2886+441.8+203.8</f>
        <v>5132.6000000000004</v>
      </c>
      <c r="I88" s="39">
        <v>602</v>
      </c>
      <c r="J88" s="39">
        <v>602</v>
      </c>
    </row>
    <row r="89" spans="1:10" ht="25.5" x14ac:dyDescent="0.2">
      <c r="A89" s="1"/>
      <c r="B89" s="25"/>
      <c r="C89" s="16" t="s">
        <v>90</v>
      </c>
      <c r="D89" s="16" t="s">
        <v>9</v>
      </c>
      <c r="E89" s="84" t="s">
        <v>197</v>
      </c>
      <c r="F89" s="16"/>
      <c r="G89" s="103" t="s">
        <v>198</v>
      </c>
      <c r="H89" s="39">
        <f>H90+H93</f>
        <v>31944.299999999996</v>
      </c>
      <c r="I89" s="39">
        <f>I90+I93</f>
        <v>31718.299999999996</v>
      </c>
      <c r="J89" s="39">
        <f>J90+J93</f>
        <v>31718.299999999996</v>
      </c>
    </row>
    <row r="90" spans="1:10" ht="38.25" x14ac:dyDescent="0.2">
      <c r="A90" s="1"/>
      <c r="B90" s="25"/>
      <c r="C90" s="16" t="s">
        <v>90</v>
      </c>
      <c r="D90" s="16" t="s">
        <v>9</v>
      </c>
      <c r="E90" s="21" t="s">
        <v>592</v>
      </c>
      <c r="F90" s="47"/>
      <c r="G90" s="54" t="s">
        <v>291</v>
      </c>
      <c r="H90" s="41">
        <f>SUM(H91:H92)</f>
        <v>8859.7999999999993</v>
      </c>
      <c r="I90" s="41">
        <f>SUM(I91:I92)</f>
        <v>8889.5999999999985</v>
      </c>
      <c r="J90" s="41">
        <f>SUM(J91:J92)</f>
        <v>8889.5999999999985</v>
      </c>
    </row>
    <row r="91" spans="1:10" ht="25.5" x14ac:dyDescent="0.2">
      <c r="A91" s="1"/>
      <c r="B91" s="25"/>
      <c r="C91" s="16" t="s">
        <v>90</v>
      </c>
      <c r="D91" s="16" t="s">
        <v>9</v>
      </c>
      <c r="E91" s="21" t="s">
        <v>592</v>
      </c>
      <c r="F91" s="16" t="s">
        <v>66</v>
      </c>
      <c r="G91" s="106" t="s">
        <v>132</v>
      </c>
      <c r="H91" s="41">
        <f>8093.2+15.4-175.2+145.4</f>
        <v>8078.7999999999993</v>
      </c>
      <c r="I91" s="41">
        <f>8093.2+15.4</f>
        <v>8108.5999999999995</v>
      </c>
      <c r="J91" s="41">
        <f>8093.2+15.4</f>
        <v>8108.5999999999995</v>
      </c>
    </row>
    <row r="92" spans="1:10" ht="38.25" x14ac:dyDescent="0.2">
      <c r="A92" s="1"/>
      <c r="B92" s="25"/>
      <c r="C92" s="16" t="s">
        <v>90</v>
      </c>
      <c r="D92" s="16" t="s">
        <v>9</v>
      </c>
      <c r="E92" s="21" t="s">
        <v>592</v>
      </c>
      <c r="F92" s="84" t="s">
        <v>214</v>
      </c>
      <c r="G92" s="101" t="s">
        <v>215</v>
      </c>
      <c r="H92" s="41">
        <f>796.4-15.4</f>
        <v>781</v>
      </c>
      <c r="I92" s="41">
        <f>796.4-15.4</f>
        <v>781</v>
      </c>
      <c r="J92" s="41">
        <f>796.4-15.4</f>
        <v>781</v>
      </c>
    </row>
    <row r="93" spans="1:10" ht="51" x14ac:dyDescent="0.2">
      <c r="A93" s="1"/>
      <c r="B93" s="25"/>
      <c r="C93" s="16" t="s">
        <v>90</v>
      </c>
      <c r="D93" s="16" t="s">
        <v>9</v>
      </c>
      <c r="E93" s="21" t="s">
        <v>594</v>
      </c>
      <c r="F93" s="47"/>
      <c r="G93" s="54" t="s">
        <v>593</v>
      </c>
      <c r="H93" s="41">
        <f>SUM(H94:H97)</f>
        <v>23084.499999999996</v>
      </c>
      <c r="I93" s="41">
        <f>SUM(I94:I97)</f>
        <v>22828.699999999997</v>
      </c>
      <c r="J93" s="41">
        <f>SUM(J94:J97)</f>
        <v>22828.699999999997</v>
      </c>
    </row>
    <row r="94" spans="1:10" ht="25.5" x14ac:dyDescent="0.2">
      <c r="A94" s="1"/>
      <c r="B94" s="25"/>
      <c r="C94" s="16" t="s">
        <v>90</v>
      </c>
      <c r="D94" s="16" t="s">
        <v>9</v>
      </c>
      <c r="E94" s="21" t="s">
        <v>594</v>
      </c>
      <c r="F94" s="16" t="s">
        <v>66</v>
      </c>
      <c r="G94" s="106" t="s">
        <v>132</v>
      </c>
      <c r="H94" s="41">
        <f>9083.3+429.9+366.5</f>
        <v>9879.6999999999989</v>
      </c>
      <c r="I94" s="41">
        <v>9083.2999999999993</v>
      </c>
      <c r="J94" s="41">
        <v>9083.2999999999993</v>
      </c>
    </row>
    <row r="95" spans="1:10" ht="38.25" x14ac:dyDescent="0.2">
      <c r="A95" s="1"/>
      <c r="B95" s="25"/>
      <c r="C95" s="16" t="s">
        <v>90</v>
      </c>
      <c r="D95" s="16" t="s">
        <v>9</v>
      </c>
      <c r="E95" s="21" t="s">
        <v>594</v>
      </c>
      <c r="F95" s="84" t="s">
        <v>214</v>
      </c>
      <c r="G95" s="101" t="s">
        <v>215</v>
      </c>
      <c r="H95" s="41">
        <f>13621.8-110.7-429.9</f>
        <v>13081.199999999999</v>
      </c>
      <c r="I95" s="41">
        <v>13621.8</v>
      </c>
      <c r="J95" s="41">
        <v>13621.8</v>
      </c>
    </row>
    <row r="96" spans="1:10" x14ac:dyDescent="0.2">
      <c r="A96" s="148"/>
      <c r="B96" s="25"/>
      <c r="C96" s="16" t="s">
        <v>90</v>
      </c>
      <c r="D96" s="16" t="s">
        <v>9</v>
      </c>
      <c r="E96" s="21" t="s">
        <v>594</v>
      </c>
      <c r="F96" s="84" t="s">
        <v>693</v>
      </c>
      <c r="G96" s="101" t="s">
        <v>694</v>
      </c>
      <c r="H96" s="116">
        <v>0.1</v>
      </c>
      <c r="I96" s="116">
        <v>0</v>
      </c>
      <c r="J96" s="116">
        <v>0</v>
      </c>
    </row>
    <row r="97" spans="1:10" x14ac:dyDescent="0.2">
      <c r="A97" s="148"/>
      <c r="B97" s="25"/>
      <c r="C97" s="16" t="s">
        <v>90</v>
      </c>
      <c r="D97" s="16" t="s">
        <v>9</v>
      </c>
      <c r="E97" s="21" t="s">
        <v>594</v>
      </c>
      <c r="F97" s="84" t="s">
        <v>133</v>
      </c>
      <c r="G97" s="101" t="s">
        <v>134</v>
      </c>
      <c r="H97" s="116">
        <f>123.6-0.1</f>
        <v>123.5</v>
      </c>
      <c r="I97" s="116">
        <v>123.6</v>
      </c>
      <c r="J97" s="116">
        <v>123.6</v>
      </c>
    </row>
    <row r="98" spans="1:10" ht="45" x14ac:dyDescent="0.25">
      <c r="A98" s="3"/>
      <c r="B98" s="94"/>
      <c r="C98" s="4" t="s">
        <v>95</v>
      </c>
      <c r="D98" s="3"/>
      <c r="E98" s="3"/>
      <c r="F98" s="3"/>
      <c r="G98" s="49" t="s">
        <v>100</v>
      </c>
      <c r="H98" s="95">
        <f>H99+H105+H135</f>
        <v>8993.2000000000007</v>
      </c>
      <c r="I98" s="95">
        <f t="shared" ref="I98:J98" si="31">I99+I105+I135</f>
        <v>7828.7000000000007</v>
      </c>
      <c r="J98" s="95">
        <f t="shared" si="31"/>
        <v>7799.3000000000011</v>
      </c>
    </row>
    <row r="99" spans="1:10" ht="15.75" x14ac:dyDescent="0.25">
      <c r="A99" s="3"/>
      <c r="B99" s="94"/>
      <c r="C99" s="28" t="s">
        <v>95</v>
      </c>
      <c r="D99" s="28" t="s">
        <v>96</v>
      </c>
      <c r="E99" s="28"/>
      <c r="F99" s="34"/>
      <c r="G99" s="46" t="s">
        <v>19</v>
      </c>
      <c r="H99" s="40">
        <f t="shared" ref="H99" si="32">H102</f>
        <v>1196.7</v>
      </c>
      <c r="I99" s="40">
        <f t="shared" ref="I99" si="33">I102</f>
        <v>1128.6000000000001</v>
      </c>
      <c r="J99" s="40">
        <f t="shared" ref="J99" si="34">J102</f>
        <v>1128.6000000000001</v>
      </c>
    </row>
    <row r="100" spans="1:10" ht="25.5" x14ac:dyDescent="0.25">
      <c r="A100" s="3"/>
      <c r="B100" s="94"/>
      <c r="C100" s="16" t="s">
        <v>95</v>
      </c>
      <c r="D100" s="16" t="s">
        <v>96</v>
      </c>
      <c r="E100" s="80">
        <v>9900000000</v>
      </c>
      <c r="F100" s="34"/>
      <c r="G100" s="55" t="s">
        <v>146</v>
      </c>
      <c r="H100" s="41">
        <f t="shared" ref="H100:J101" si="35">H101</f>
        <v>1196.7</v>
      </c>
      <c r="I100" s="41">
        <f t="shared" si="35"/>
        <v>1128.6000000000001</v>
      </c>
      <c r="J100" s="41">
        <f t="shared" si="35"/>
        <v>1128.6000000000001</v>
      </c>
    </row>
    <row r="101" spans="1:10" ht="26.25" x14ac:dyDescent="0.25">
      <c r="A101" s="3"/>
      <c r="B101" s="94"/>
      <c r="C101" s="16" t="s">
        <v>95</v>
      </c>
      <c r="D101" s="16" t="s">
        <v>96</v>
      </c>
      <c r="E101" s="80">
        <v>9930000000</v>
      </c>
      <c r="F101" s="16"/>
      <c r="G101" s="22" t="s">
        <v>42</v>
      </c>
      <c r="H101" s="41">
        <f t="shared" si="35"/>
        <v>1196.7</v>
      </c>
      <c r="I101" s="41">
        <f t="shared" si="35"/>
        <v>1128.6000000000001</v>
      </c>
      <c r="J101" s="41">
        <f t="shared" si="35"/>
        <v>1128.6000000000001</v>
      </c>
    </row>
    <row r="102" spans="1:10" ht="51.75" x14ac:dyDescent="0.25">
      <c r="A102" s="3"/>
      <c r="B102" s="94"/>
      <c r="C102" s="16" t="s">
        <v>95</v>
      </c>
      <c r="D102" s="16" t="s">
        <v>96</v>
      </c>
      <c r="E102" s="80">
        <v>9930059302</v>
      </c>
      <c r="F102" s="16"/>
      <c r="G102" s="176" t="s">
        <v>380</v>
      </c>
      <c r="H102" s="39">
        <f t="shared" ref="H102" si="36">SUM(H103:H104)</f>
        <v>1196.7</v>
      </c>
      <c r="I102" s="39">
        <f t="shared" ref="I102" si="37">SUM(I103:I104)</f>
        <v>1128.6000000000001</v>
      </c>
      <c r="J102" s="39">
        <f t="shared" ref="J102" si="38">SUM(J103:J104)</f>
        <v>1128.6000000000001</v>
      </c>
    </row>
    <row r="103" spans="1:10" ht="38.25" x14ac:dyDescent="0.25">
      <c r="A103" s="3"/>
      <c r="B103" s="94"/>
      <c r="C103" s="16" t="s">
        <v>95</v>
      </c>
      <c r="D103" s="16" t="s">
        <v>96</v>
      </c>
      <c r="E103" s="80">
        <v>9930059302</v>
      </c>
      <c r="F103" s="16" t="s">
        <v>64</v>
      </c>
      <c r="G103" s="55" t="s">
        <v>65</v>
      </c>
      <c r="H103" s="39">
        <v>1057.4000000000001</v>
      </c>
      <c r="I103" s="39">
        <v>1057.4000000000001</v>
      </c>
      <c r="J103" s="39">
        <v>1057.4000000000001</v>
      </c>
    </row>
    <row r="104" spans="1:10" ht="38.25" x14ac:dyDescent="0.25">
      <c r="A104" s="3"/>
      <c r="B104" s="94"/>
      <c r="C104" s="16" t="s">
        <v>95</v>
      </c>
      <c r="D104" s="16" t="s">
        <v>96</v>
      </c>
      <c r="E104" s="80">
        <v>9930059302</v>
      </c>
      <c r="F104" s="84" t="s">
        <v>214</v>
      </c>
      <c r="G104" s="101" t="s">
        <v>215</v>
      </c>
      <c r="H104" s="39">
        <v>139.30000000000001</v>
      </c>
      <c r="I104" s="39">
        <v>71.2</v>
      </c>
      <c r="J104" s="39">
        <v>71.2</v>
      </c>
    </row>
    <row r="105" spans="1:10" ht="51.75" x14ac:dyDescent="0.25">
      <c r="A105" s="3"/>
      <c r="B105" s="94"/>
      <c r="C105" s="28" t="s">
        <v>95</v>
      </c>
      <c r="D105" s="28" t="s">
        <v>112</v>
      </c>
      <c r="E105" s="28"/>
      <c r="F105" s="34"/>
      <c r="G105" s="46" t="s">
        <v>128</v>
      </c>
      <c r="H105" s="40">
        <f>H106+H130</f>
        <v>7796.5000000000009</v>
      </c>
      <c r="I105" s="40">
        <f>I106+I130</f>
        <v>6670.7000000000007</v>
      </c>
      <c r="J105" s="40">
        <f>J106+J130</f>
        <v>6670.7000000000007</v>
      </c>
    </row>
    <row r="106" spans="1:10" ht="90" x14ac:dyDescent="0.25">
      <c r="A106" s="3"/>
      <c r="B106" s="94"/>
      <c r="C106" s="21" t="s">
        <v>95</v>
      </c>
      <c r="D106" s="21" t="s">
        <v>112</v>
      </c>
      <c r="E106" s="73" t="s">
        <v>52</v>
      </c>
      <c r="F106" s="16"/>
      <c r="G106" s="64" t="s">
        <v>647</v>
      </c>
      <c r="H106" s="59">
        <f>H107+H113+H118+H124</f>
        <v>2599.8000000000002</v>
      </c>
      <c r="I106" s="59">
        <f t="shared" ref="I106:J106" si="39">I107+I113+I118+I124</f>
        <v>1500</v>
      </c>
      <c r="J106" s="59">
        <f t="shared" si="39"/>
        <v>1500</v>
      </c>
    </row>
    <row r="107" spans="1:10" ht="51.75" x14ac:dyDescent="0.25">
      <c r="A107" s="3"/>
      <c r="B107" s="94"/>
      <c r="C107" s="21" t="s">
        <v>95</v>
      </c>
      <c r="D107" s="21" t="s">
        <v>112</v>
      </c>
      <c r="E107" s="52" t="s">
        <v>53</v>
      </c>
      <c r="F107" s="16"/>
      <c r="G107" s="48" t="s">
        <v>206</v>
      </c>
      <c r="H107" s="96">
        <f>H109+H111</f>
        <v>85</v>
      </c>
      <c r="I107" s="96">
        <f t="shared" ref="I107:J107" si="40">I109+I111</f>
        <v>80</v>
      </c>
      <c r="J107" s="96">
        <f t="shared" si="40"/>
        <v>80</v>
      </c>
    </row>
    <row r="108" spans="1:10" ht="64.5" x14ac:dyDescent="0.25">
      <c r="A108" s="3"/>
      <c r="B108" s="94"/>
      <c r="C108" s="21" t="s">
        <v>95</v>
      </c>
      <c r="D108" s="21" t="s">
        <v>112</v>
      </c>
      <c r="E108" s="21" t="s">
        <v>221</v>
      </c>
      <c r="F108" s="16"/>
      <c r="G108" s="103" t="s">
        <v>299</v>
      </c>
      <c r="H108" s="102">
        <f>H109+H111</f>
        <v>85</v>
      </c>
      <c r="I108" s="102">
        <f t="shared" ref="I108:J108" si="41">I109+I111</f>
        <v>80</v>
      </c>
      <c r="J108" s="102">
        <f t="shared" si="41"/>
        <v>80</v>
      </c>
    </row>
    <row r="109" spans="1:10" ht="39" x14ac:dyDescent="0.25">
      <c r="A109" s="3"/>
      <c r="B109" s="94"/>
      <c r="C109" s="21" t="s">
        <v>95</v>
      </c>
      <c r="D109" s="21" t="s">
        <v>112</v>
      </c>
      <c r="E109" s="74">
        <v>1110123305</v>
      </c>
      <c r="F109" s="16"/>
      <c r="G109" s="103" t="s">
        <v>220</v>
      </c>
      <c r="H109" s="39">
        <f>H110</f>
        <v>60</v>
      </c>
      <c r="I109" s="39">
        <f t="shared" ref="I109:J109" si="42">I110</f>
        <v>40</v>
      </c>
      <c r="J109" s="39">
        <f t="shared" si="42"/>
        <v>40</v>
      </c>
    </row>
    <row r="110" spans="1:10" ht="38.25" x14ac:dyDescent="0.25">
      <c r="A110" s="3"/>
      <c r="B110" s="94"/>
      <c r="C110" s="21" t="s">
        <v>95</v>
      </c>
      <c r="D110" s="21" t="s">
        <v>112</v>
      </c>
      <c r="E110" s="74">
        <v>1110123305</v>
      </c>
      <c r="F110" s="84" t="s">
        <v>214</v>
      </c>
      <c r="G110" s="101" t="s">
        <v>215</v>
      </c>
      <c r="H110" s="39">
        <v>60</v>
      </c>
      <c r="I110" s="39">
        <v>40</v>
      </c>
      <c r="J110" s="39">
        <v>40</v>
      </c>
    </row>
    <row r="111" spans="1:10" ht="51.75" x14ac:dyDescent="0.25">
      <c r="A111" s="3"/>
      <c r="B111" s="94"/>
      <c r="C111" s="21" t="s">
        <v>95</v>
      </c>
      <c r="D111" s="21" t="s">
        <v>112</v>
      </c>
      <c r="E111" s="74">
        <v>1110123310</v>
      </c>
      <c r="F111" s="16"/>
      <c r="G111" s="103" t="s">
        <v>208</v>
      </c>
      <c r="H111" s="41">
        <f>H112</f>
        <v>25</v>
      </c>
      <c r="I111" s="41">
        <f>I112</f>
        <v>40</v>
      </c>
      <c r="J111" s="41">
        <f>J112</f>
        <v>40</v>
      </c>
    </row>
    <row r="112" spans="1:10" ht="38.25" x14ac:dyDescent="0.25">
      <c r="A112" s="3"/>
      <c r="B112" s="94"/>
      <c r="C112" s="21" t="s">
        <v>95</v>
      </c>
      <c r="D112" s="21" t="s">
        <v>112</v>
      </c>
      <c r="E112" s="74">
        <v>1110123310</v>
      </c>
      <c r="F112" s="84" t="s">
        <v>214</v>
      </c>
      <c r="G112" s="101" t="s">
        <v>215</v>
      </c>
      <c r="H112" s="41">
        <v>25</v>
      </c>
      <c r="I112" s="41">
        <v>40</v>
      </c>
      <c r="J112" s="41">
        <v>40</v>
      </c>
    </row>
    <row r="113" spans="1:10" ht="39" x14ac:dyDescent="0.25">
      <c r="A113" s="3"/>
      <c r="B113" s="94"/>
      <c r="C113" s="21" t="s">
        <v>95</v>
      </c>
      <c r="D113" s="21" t="s">
        <v>112</v>
      </c>
      <c r="E113" s="52" t="s">
        <v>54</v>
      </c>
      <c r="F113" s="84"/>
      <c r="G113" s="48" t="s">
        <v>202</v>
      </c>
      <c r="H113" s="41">
        <f t="shared" ref="H113:J114" si="43">H114</f>
        <v>2494.8000000000002</v>
      </c>
      <c r="I113" s="41">
        <f t="shared" si="43"/>
        <v>1400</v>
      </c>
      <c r="J113" s="41">
        <f t="shared" si="43"/>
        <v>1400</v>
      </c>
    </row>
    <row r="114" spans="1:10" ht="51.75" x14ac:dyDescent="0.25">
      <c r="A114" s="3"/>
      <c r="B114" s="94"/>
      <c r="C114" s="21" t="s">
        <v>95</v>
      </c>
      <c r="D114" s="21" t="s">
        <v>112</v>
      </c>
      <c r="E114" s="21" t="s">
        <v>222</v>
      </c>
      <c r="F114" s="84"/>
      <c r="G114" s="103" t="s">
        <v>311</v>
      </c>
      <c r="H114" s="41">
        <f t="shared" si="43"/>
        <v>2494.8000000000002</v>
      </c>
      <c r="I114" s="41">
        <f t="shared" si="43"/>
        <v>1400</v>
      </c>
      <c r="J114" s="41">
        <f t="shared" si="43"/>
        <v>1400</v>
      </c>
    </row>
    <row r="115" spans="1:10" ht="38.25" x14ac:dyDescent="0.25">
      <c r="A115" s="3"/>
      <c r="B115" s="94"/>
      <c r="C115" s="21" t="s">
        <v>95</v>
      </c>
      <c r="D115" s="21" t="s">
        <v>112</v>
      </c>
      <c r="E115" s="74">
        <v>1120123315</v>
      </c>
      <c r="F115" s="16"/>
      <c r="G115" s="101" t="s">
        <v>558</v>
      </c>
      <c r="H115" s="41">
        <f>SUM(H116:H117)</f>
        <v>2494.8000000000002</v>
      </c>
      <c r="I115" s="41">
        <f>SUM(I116:I117)</f>
        <v>1400</v>
      </c>
      <c r="J115" s="41">
        <f>SUM(J116:J117)</f>
        <v>1400</v>
      </c>
    </row>
    <row r="116" spans="1:10" ht="25.5" x14ac:dyDescent="0.25">
      <c r="A116" s="3"/>
      <c r="B116" s="94"/>
      <c r="C116" s="21" t="s">
        <v>95</v>
      </c>
      <c r="D116" s="21" t="s">
        <v>112</v>
      </c>
      <c r="E116" s="74">
        <v>1120123315</v>
      </c>
      <c r="F116" s="84" t="s">
        <v>66</v>
      </c>
      <c r="G116" s="55" t="s">
        <v>132</v>
      </c>
      <c r="H116" s="41">
        <f>51.2+12.8</f>
        <v>64</v>
      </c>
      <c r="I116" s="41">
        <v>51.2</v>
      </c>
      <c r="J116" s="41">
        <v>51.2</v>
      </c>
    </row>
    <row r="117" spans="1:10" ht="38.25" x14ac:dyDescent="0.25">
      <c r="A117" s="3"/>
      <c r="B117" s="94"/>
      <c r="C117" s="21" t="s">
        <v>95</v>
      </c>
      <c r="D117" s="21" t="s">
        <v>112</v>
      </c>
      <c r="E117" s="74">
        <v>1120123315</v>
      </c>
      <c r="F117" s="84" t="s">
        <v>214</v>
      </c>
      <c r="G117" s="101" t="s">
        <v>215</v>
      </c>
      <c r="H117" s="41">
        <f>2408.3+46.3-11-12.8</f>
        <v>2430.8000000000002</v>
      </c>
      <c r="I117" s="41">
        <v>1348.8</v>
      </c>
      <c r="J117" s="41">
        <v>1348.8</v>
      </c>
    </row>
    <row r="118" spans="1:10" ht="51.75" x14ac:dyDescent="0.25">
      <c r="A118" s="3"/>
      <c r="B118" s="94"/>
      <c r="C118" s="21" t="s">
        <v>95</v>
      </c>
      <c r="D118" s="21" t="s">
        <v>112</v>
      </c>
      <c r="E118" s="52" t="s">
        <v>55</v>
      </c>
      <c r="F118" s="16"/>
      <c r="G118" s="48" t="s">
        <v>255</v>
      </c>
      <c r="H118" s="96">
        <f>H119</f>
        <v>5</v>
      </c>
      <c r="I118" s="96">
        <f>I119</f>
        <v>5</v>
      </c>
      <c r="J118" s="96">
        <f>J119</f>
        <v>5</v>
      </c>
    </row>
    <row r="119" spans="1:10" ht="64.5" x14ac:dyDescent="0.25">
      <c r="A119" s="3"/>
      <c r="B119" s="94"/>
      <c r="C119" s="21" t="s">
        <v>95</v>
      </c>
      <c r="D119" s="21" t="s">
        <v>112</v>
      </c>
      <c r="E119" s="21" t="s">
        <v>223</v>
      </c>
      <c r="F119" s="16"/>
      <c r="G119" s="103" t="s">
        <v>320</v>
      </c>
      <c r="H119" s="102">
        <f>H120+H122</f>
        <v>5</v>
      </c>
      <c r="I119" s="102">
        <f>I120+I122</f>
        <v>5</v>
      </c>
      <c r="J119" s="102">
        <f>J120+J122</f>
        <v>5</v>
      </c>
    </row>
    <row r="120" spans="1:10" ht="25.5" x14ac:dyDescent="0.25">
      <c r="A120" s="3"/>
      <c r="B120" s="94"/>
      <c r="C120" s="21" t="s">
        <v>95</v>
      </c>
      <c r="D120" s="21" t="s">
        <v>112</v>
      </c>
      <c r="E120" s="74">
        <v>1130123320</v>
      </c>
      <c r="F120" s="16"/>
      <c r="G120" s="101" t="s">
        <v>256</v>
      </c>
      <c r="H120" s="41">
        <f>H121</f>
        <v>4</v>
      </c>
      <c r="I120" s="41">
        <f>I121</f>
        <v>4</v>
      </c>
      <c r="J120" s="41">
        <f>J121</f>
        <v>4</v>
      </c>
    </row>
    <row r="121" spans="1:10" ht="38.25" x14ac:dyDescent="0.25">
      <c r="A121" s="3"/>
      <c r="B121" s="94"/>
      <c r="C121" s="21" t="s">
        <v>95</v>
      </c>
      <c r="D121" s="21" t="s">
        <v>112</v>
      </c>
      <c r="E121" s="74">
        <v>1130123320</v>
      </c>
      <c r="F121" s="84" t="s">
        <v>214</v>
      </c>
      <c r="G121" s="101" t="s">
        <v>215</v>
      </c>
      <c r="H121" s="41">
        <v>4</v>
      </c>
      <c r="I121" s="41">
        <v>4</v>
      </c>
      <c r="J121" s="41">
        <v>4</v>
      </c>
    </row>
    <row r="122" spans="1:10" ht="38.25" x14ac:dyDescent="0.25">
      <c r="A122" s="3"/>
      <c r="B122" s="94"/>
      <c r="C122" s="21" t="s">
        <v>95</v>
      </c>
      <c r="D122" s="21" t="s">
        <v>112</v>
      </c>
      <c r="E122" s="74">
        <v>1130123325</v>
      </c>
      <c r="F122" s="16"/>
      <c r="G122" s="101" t="s">
        <v>224</v>
      </c>
      <c r="H122" s="41">
        <f>H123</f>
        <v>1</v>
      </c>
      <c r="I122" s="41">
        <f>I123</f>
        <v>1</v>
      </c>
      <c r="J122" s="41">
        <f>J123</f>
        <v>1</v>
      </c>
    </row>
    <row r="123" spans="1:10" ht="38.25" x14ac:dyDescent="0.25">
      <c r="A123" s="3"/>
      <c r="B123" s="94"/>
      <c r="C123" s="21" t="s">
        <v>95</v>
      </c>
      <c r="D123" s="21" t="s">
        <v>112</v>
      </c>
      <c r="E123" s="74">
        <v>1130123325</v>
      </c>
      <c r="F123" s="84" t="s">
        <v>214</v>
      </c>
      <c r="G123" s="101" t="s">
        <v>215</v>
      </c>
      <c r="H123" s="41">
        <v>1</v>
      </c>
      <c r="I123" s="41">
        <v>1</v>
      </c>
      <c r="J123" s="41">
        <v>1</v>
      </c>
    </row>
    <row r="124" spans="1:10" ht="64.5" x14ac:dyDescent="0.25">
      <c r="A124" s="3"/>
      <c r="B124" s="94"/>
      <c r="C124" s="21" t="s">
        <v>95</v>
      </c>
      <c r="D124" s="21" t="s">
        <v>112</v>
      </c>
      <c r="E124" s="52" t="s">
        <v>56</v>
      </c>
      <c r="F124" s="16"/>
      <c r="G124" s="48" t="s">
        <v>207</v>
      </c>
      <c r="H124" s="96">
        <f>H125</f>
        <v>15</v>
      </c>
      <c r="I124" s="96">
        <f t="shared" ref="I124:J124" si="44">I125</f>
        <v>15</v>
      </c>
      <c r="J124" s="96">
        <f t="shared" si="44"/>
        <v>15</v>
      </c>
    </row>
    <row r="125" spans="1:10" ht="51" x14ac:dyDescent="0.25">
      <c r="A125" s="3"/>
      <c r="B125" s="94"/>
      <c r="C125" s="21" t="s">
        <v>95</v>
      </c>
      <c r="D125" s="21" t="s">
        <v>112</v>
      </c>
      <c r="E125" s="21" t="s">
        <v>298</v>
      </c>
      <c r="F125" s="84"/>
      <c r="G125" s="101" t="s">
        <v>225</v>
      </c>
      <c r="H125" s="41">
        <f>H126+H128</f>
        <v>15</v>
      </c>
      <c r="I125" s="41">
        <f t="shared" ref="I125:J125" si="45">I126+I128</f>
        <v>15</v>
      </c>
      <c r="J125" s="41">
        <f t="shared" si="45"/>
        <v>15</v>
      </c>
    </row>
    <row r="126" spans="1:10" ht="25.5" x14ac:dyDescent="0.25">
      <c r="A126" s="3"/>
      <c r="B126" s="94"/>
      <c r="C126" s="21" t="s">
        <v>95</v>
      </c>
      <c r="D126" s="21" t="s">
        <v>112</v>
      </c>
      <c r="E126" s="74">
        <v>1140123330</v>
      </c>
      <c r="F126" s="16"/>
      <c r="G126" s="101" t="s">
        <v>196</v>
      </c>
      <c r="H126" s="41">
        <f>H127</f>
        <v>12</v>
      </c>
      <c r="I126" s="41">
        <f>I127</f>
        <v>12</v>
      </c>
      <c r="J126" s="41">
        <f>J127</f>
        <v>12</v>
      </c>
    </row>
    <row r="127" spans="1:10" ht="38.25" x14ac:dyDescent="0.25">
      <c r="A127" s="3"/>
      <c r="B127" s="94"/>
      <c r="C127" s="21" t="s">
        <v>95</v>
      </c>
      <c r="D127" s="21" t="s">
        <v>112</v>
      </c>
      <c r="E127" s="74">
        <v>1140123330</v>
      </c>
      <c r="F127" s="84" t="s">
        <v>214</v>
      </c>
      <c r="G127" s="101" t="s">
        <v>215</v>
      </c>
      <c r="H127" s="41">
        <v>12</v>
      </c>
      <c r="I127" s="41">
        <v>12</v>
      </c>
      <c r="J127" s="41">
        <v>12</v>
      </c>
    </row>
    <row r="128" spans="1:10" ht="38.25" x14ac:dyDescent="0.25">
      <c r="A128" s="3"/>
      <c r="B128" s="94"/>
      <c r="C128" s="21" t="s">
        <v>95</v>
      </c>
      <c r="D128" s="21" t="s">
        <v>112</v>
      </c>
      <c r="E128" s="74">
        <v>1140123335</v>
      </c>
      <c r="F128" s="16"/>
      <c r="G128" s="101" t="s">
        <v>226</v>
      </c>
      <c r="H128" s="41">
        <f>H129</f>
        <v>3</v>
      </c>
      <c r="I128" s="41">
        <f>I129</f>
        <v>3</v>
      </c>
      <c r="J128" s="41">
        <f>J129</f>
        <v>3</v>
      </c>
    </row>
    <row r="129" spans="1:12" ht="38.25" x14ac:dyDescent="0.25">
      <c r="A129" s="3"/>
      <c r="B129" s="94"/>
      <c r="C129" s="21" t="s">
        <v>95</v>
      </c>
      <c r="D129" s="21" t="s">
        <v>112</v>
      </c>
      <c r="E129" s="74">
        <v>1140123335</v>
      </c>
      <c r="F129" s="84" t="s">
        <v>214</v>
      </c>
      <c r="G129" s="101" t="s">
        <v>215</v>
      </c>
      <c r="H129" s="41">
        <v>3</v>
      </c>
      <c r="I129" s="41">
        <v>3</v>
      </c>
      <c r="J129" s="41">
        <v>3</v>
      </c>
    </row>
    <row r="130" spans="1:12" ht="25.5" x14ac:dyDescent="0.25">
      <c r="A130" s="3"/>
      <c r="B130" s="94"/>
      <c r="C130" s="82" t="s">
        <v>95</v>
      </c>
      <c r="D130" s="82" t="s">
        <v>112</v>
      </c>
      <c r="E130" s="73" t="s">
        <v>197</v>
      </c>
      <c r="F130" s="33"/>
      <c r="G130" s="86" t="s">
        <v>146</v>
      </c>
      <c r="H130" s="61">
        <f t="shared" ref="H130:J130" si="46">H131</f>
        <v>5196.7000000000007</v>
      </c>
      <c r="I130" s="61">
        <f t="shared" si="46"/>
        <v>5170.7000000000007</v>
      </c>
      <c r="J130" s="61">
        <f t="shared" si="46"/>
        <v>5170.7000000000007</v>
      </c>
    </row>
    <row r="131" spans="1:12" ht="63.75" customHeight="1" x14ac:dyDescent="0.25">
      <c r="A131" s="3"/>
      <c r="B131" s="94"/>
      <c r="C131" s="21" t="s">
        <v>95</v>
      </c>
      <c r="D131" s="21" t="s">
        <v>112</v>
      </c>
      <c r="E131" s="21" t="s">
        <v>591</v>
      </c>
      <c r="F131" s="47"/>
      <c r="G131" s="54" t="s">
        <v>595</v>
      </c>
      <c r="H131" s="41">
        <f>SUM(H132:H134)</f>
        <v>5196.7000000000007</v>
      </c>
      <c r="I131" s="41">
        <f>SUM(I132:I134)</f>
        <v>5170.7000000000007</v>
      </c>
      <c r="J131" s="41">
        <f t="shared" ref="J131" si="47">SUM(J132:J134)</f>
        <v>5170.7000000000007</v>
      </c>
    </row>
    <row r="132" spans="1:12" ht="25.5" x14ac:dyDescent="0.25">
      <c r="A132" s="3"/>
      <c r="B132" s="94"/>
      <c r="C132" s="21" t="s">
        <v>95</v>
      </c>
      <c r="D132" s="21" t="s">
        <v>112</v>
      </c>
      <c r="E132" s="21" t="s">
        <v>591</v>
      </c>
      <c r="F132" s="16" t="s">
        <v>66</v>
      </c>
      <c r="G132" s="106" t="s">
        <v>132</v>
      </c>
      <c r="H132" s="41">
        <f>4661.6-8</f>
        <v>4653.6000000000004</v>
      </c>
      <c r="I132" s="41">
        <v>4661.6000000000004</v>
      </c>
      <c r="J132" s="41">
        <v>4661.6000000000004</v>
      </c>
    </row>
    <row r="133" spans="1:12" ht="38.25" x14ac:dyDescent="0.25">
      <c r="A133" s="3"/>
      <c r="B133" s="94"/>
      <c r="C133" s="21" t="s">
        <v>95</v>
      </c>
      <c r="D133" s="21" t="s">
        <v>112</v>
      </c>
      <c r="E133" s="21" t="s">
        <v>591</v>
      </c>
      <c r="F133" s="84" t="s">
        <v>214</v>
      </c>
      <c r="G133" s="101" t="s">
        <v>215</v>
      </c>
      <c r="H133" s="41">
        <f>504.1+15+8+11+1.9</f>
        <v>540</v>
      </c>
      <c r="I133" s="41">
        <v>504.1</v>
      </c>
      <c r="J133" s="41">
        <v>504.1</v>
      </c>
    </row>
    <row r="134" spans="1:12" ht="24" customHeight="1" x14ac:dyDescent="0.25">
      <c r="A134" s="3"/>
      <c r="B134" s="94"/>
      <c r="C134" s="21" t="s">
        <v>95</v>
      </c>
      <c r="D134" s="21" t="s">
        <v>112</v>
      </c>
      <c r="E134" s="21" t="s">
        <v>591</v>
      </c>
      <c r="F134" s="83" t="s">
        <v>133</v>
      </c>
      <c r="G134" s="101" t="s">
        <v>134</v>
      </c>
      <c r="H134" s="41">
        <f>5-1.9</f>
        <v>3.1</v>
      </c>
      <c r="I134" s="41">
        <v>5</v>
      </c>
      <c r="J134" s="41">
        <v>5</v>
      </c>
    </row>
    <row r="135" spans="1:12" ht="39" x14ac:dyDescent="0.25">
      <c r="A135" s="3"/>
      <c r="B135" s="94"/>
      <c r="C135" s="28" t="s">
        <v>95</v>
      </c>
      <c r="D135" s="28" t="s">
        <v>123</v>
      </c>
      <c r="E135" s="28"/>
      <c r="F135" s="34"/>
      <c r="G135" s="46" t="s">
        <v>23</v>
      </c>
      <c r="H135" s="40">
        <f>H136</f>
        <v>0</v>
      </c>
      <c r="I135" s="40">
        <f t="shared" ref="I135:J135" si="48">I136</f>
        <v>29.4</v>
      </c>
      <c r="J135" s="40">
        <f t="shared" si="48"/>
        <v>0</v>
      </c>
    </row>
    <row r="136" spans="1:12" ht="90" x14ac:dyDescent="0.25">
      <c r="A136" s="3"/>
      <c r="B136" s="94"/>
      <c r="C136" s="73" t="s">
        <v>95</v>
      </c>
      <c r="D136" s="73" t="s">
        <v>123</v>
      </c>
      <c r="E136" s="73" t="s">
        <v>230</v>
      </c>
      <c r="F136" s="16"/>
      <c r="G136" s="64" t="s">
        <v>652</v>
      </c>
      <c r="H136" s="99">
        <f t="shared" ref="H136:J137" si="49">H137</f>
        <v>0</v>
      </c>
      <c r="I136" s="99">
        <f t="shared" si="49"/>
        <v>29.4</v>
      </c>
      <c r="J136" s="99">
        <f t="shared" si="49"/>
        <v>0</v>
      </c>
      <c r="L136" s="107"/>
    </row>
    <row r="137" spans="1:12" ht="51.75" x14ac:dyDescent="0.25">
      <c r="A137" s="3"/>
      <c r="B137" s="94"/>
      <c r="C137" s="21" t="s">
        <v>95</v>
      </c>
      <c r="D137" s="21" t="s">
        <v>123</v>
      </c>
      <c r="E137" s="52" t="s">
        <v>231</v>
      </c>
      <c r="F137" s="16"/>
      <c r="G137" s="48" t="s">
        <v>232</v>
      </c>
      <c r="H137" s="58">
        <f>H138</f>
        <v>0</v>
      </c>
      <c r="I137" s="58">
        <f t="shared" si="49"/>
        <v>29.4</v>
      </c>
      <c r="J137" s="58">
        <f t="shared" si="49"/>
        <v>0</v>
      </c>
    </row>
    <row r="138" spans="1:12" ht="51.75" x14ac:dyDescent="0.25">
      <c r="A138" s="3"/>
      <c r="B138" s="94"/>
      <c r="C138" s="21" t="s">
        <v>95</v>
      </c>
      <c r="D138" s="21" t="s">
        <v>123</v>
      </c>
      <c r="E138" s="21" t="s">
        <v>233</v>
      </c>
      <c r="F138" s="16"/>
      <c r="G138" s="103" t="s">
        <v>234</v>
      </c>
      <c r="H138" s="97">
        <f>H139+H141</f>
        <v>0</v>
      </c>
      <c r="I138" s="97">
        <f t="shared" ref="I138:J138" si="50">I139+I141</f>
        <v>29.4</v>
      </c>
      <c r="J138" s="97">
        <f t="shared" si="50"/>
        <v>0</v>
      </c>
    </row>
    <row r="139" spans="1:12" ht="38.25" x14ac:dyDescent="0.25">
      <c r="A139" s="3"/>
      <c r="B139" s="94"/>
      <c r="C139" s="21" t="s">
        <v>95</v>
      </c>
      <c r="D139" s="21" t="s">
        <v>123</v>
      </c>
      <c r="E139" s="21" t="s">
        <v>588</v>
      </c>
      <c r="F139" s="16"/>
      <c r="G139" s="101" t="s">
        <v>373</v>
      </c>
      <c r="H139" s="97">
        <f t="shared" ref="H139:J141" si="51">H140</f>
        <v>0</v>
      </c>
      <c r="I139" s="97">
        <f t="shared" si="51"/>
        <v>23.4</v>
      </c>
      <c r="J139" s="97">
        <f t="shared" si="51"/>
        <v>0</v>
      </c>
    </row>
    <row r="140" spans="1:12" ht="38.25" x14ac:dyDescent="0.25">
      <c r="A140" s="3"/>
      <c r="B140" s="94"/>
      <c r="C140" s="21" t="s">
        <v>95</v>
      </c>
      <c r="D140" s="21" t="s">
        <v>123</v>
      </c>
      <c r="E140" s="21" t="s">
        <v>588</v>
      </c>
      <c r="F140" s="84" t="s">
        <v>214</v>
      </c>
      <c r="G140" s="101" t="s">
        <v>215</v>
      </c>
      <c r="H140" s="41">
        <v>0</v>
      </c>
      <c r="I140" s="41">
        <v>23.4</v>
      </c>
      <c r="J140" s="41">
        <v>0</v>
      </c>
    </row>
    <row r="141" spans="1:12" ht="25.5" x14ac:dyDescent="0.25">
      <c r="A141" s="3"/>
      <c r="B141" s="94"/>
      <c r="C141" s="21" t="s">
        <v>95</v>
      </c>
      <c r="D141" s="21" t="s">
        <v>123</v>
      </c>
      <c r="E141" s="21" t="s">
        <v>589</v>
      </c>
      <c r="F141" s="16"/>
      <c r="G141" s="101" t="s">
        <v>374</v>
      </c>
      <c r="H141" s="97">
        <f t="shared" si="51"/>
        <v>0</v>
      </c>
      <c r="I141" s="97">
        <f t="shared" si="51"/>
        <v>6</v>
      </c>
      <c r="J141" s="97">
        <f t="shared" si="51"/>
        <v>0</v>
      </c>
    </row>
    <row r="142" spans="1:12" ht="38.25" x14ac:dyDescent="0.25">
      <c r="A142" s="3"/>
      <c r="B142" s="94"/>
      <c r="C142" s="21" t="s">
        <v>95</v>
      </c>
      <c r="D142" s="21" t="s">
        <v>123</v>
      </c>
      <c r="E142" s="21" t="s">
        <v>589</v>
      </c>
      <c r="F142" s="84" t="s">
        <v>214</v>
      </c>
      <c r="G142" s="101" t="s">
        <v>215</v>
      </c>
      <c r="H142" s="41">
        <v>0</v>
      </c>
      <c r="I142" s="41">
        <v>6</v>
      </c>
      <c r="J142" s="41">
        <v>0</v>
      </c>
    </row>
    <row r="143" spans="1:12" ht="15.75" x14ac:dyDescent="0.25">
      <c r="A143" s="3"/>
      <c r="B143" s="94"/>
      <c r="C143" s="4" t="s">
        <v>96</v>
      </c>
      <c r="D143" s="3"/>
      <c r="E143" s="3"/>
      <c r="F143" s="3"/>
      <c r="G143" s="49" t="s">
        <v>102</v>
      </c>
      <c r="H143" s="59">
        <f>H144+H150+H162+H215</f>
        <v>185734.69999999998</v>
      </c>
      <c r="I143" s="59">
        <f>I144+I150+I162+I215</f>
        <v>116116.19999999998</v>
      </c>
      <c r="J143" s="59">
        <f>J144+J150+J162+J215</f>
        <v>95392.199999999983</v>
      </c>
    </row>
    <row r="144" spans="1:12" s="32" customFormat="1" ht="14.25" x14ac:dyDescent="0.2">
      <c r="A144" s="29"/>
      <c r="B144" s="24"/>
      <c r="C144" s="30" t="s">
        <v>96</v>
      </c>
      <c r="D144" s="30" t="s">
        <v>97</v>
      </c>
      <c r="E144" s="30"/>
      <c r="F144" s="30"/>
      <c r="G144" s="45" t="s">
        <v>105</v>
      </c>
      <c r="H144" s="40">
        <f>H145</f>
        <v>423.5</v>
      </c>
      <c r="I144" s="40">
        <f t="shared" ref="I144:J144" si="52">I145</f>
        <v>63</v>
      </c>
      <c r="J144" s="40">
        <f t="shared" si="52"/>
        <v>63</v>
      </c>
    </row>
    <row r="145" spans="1:13" s="32" customFormat="1" ht="89.25" customHeight="1" x14ac:dyDescent="0.2">
      <c r="A145" s="29"/>
      <c r="B145" s="24"/>
      <c r="C145" s="17" t="s">
        <v>96</v>
      </c>
      <c r="D145" s="17" t="s">
        <v>97</v>
      </c>
      <c r="E145" s="74">
        <v>400000000</v>
      </c>
      <c r="F145" s="30"/>
      <c r="G145" s="185" t="s">
        <v>639</v>
      </c>
      <c r="H145" s="99">
        <f t="shared" ref="H145:J148" si="53">H146</f>
        <v>423.5</v>
      </c>
      <c r="I145" s="99">
        <f t="shared" si="53"/>
        <v>63</v>
      </c>
      <c r="J145" s="99">
        <f t="shared" si="53"/>
        <v>63</v>
      </c>
    </row>
    <row r="146" spans="1:13" s="32" customFormat="1" ht="51" x14ac:dyDescent="0.2">
      <c r="A146" s="29"/>
      <c r="B146" s="24"/>
      <c r="C146" s="47" t="s">
        <v>96</v>
      </c>
      <c r="D146" s="47" t="s">
        <v>97</v>
      </c>
      <c r="E146" s="75">
        <v>410000000</v>
      </c>
      <c r="F146" s="30"/>
      <c r="G146" s="46" t="s">
        <v>497</v>
      </c>
      <c r="H146" s="96">
        <f t="shared" si="53"/>
        <v>423.5</v>
      </c>
      <c r="I146" s="96">
        <f t="shared" si="53"/>
        <v>63</v>
      </c>
      <c r="J146" s="96">
        <f t="shared" si="53"/>
        <v>63</v>
      </c>
    </row>
    <row r="147" spans="1:13" s="32" customFormat="1" ht="51" x14ac:dyDescent="0.2">
      <c r="A147" s="29"/>
      <c r="B147" s="24"/>
      <c r="C147" s="84" t="s">
        <v>96</v>
      </c>
      <c r="D147" s="84" t="s">
        <v>97</v>
      </c>
      <c r="E147" s="74">
        <v>410100000</v>
      </c>
      <c r="F147" s="30"/>
      <c r="G147" s="100" t="s">
        <v>498</v>
      </c>
      <c r="H147" s="96">
        <f>H148</f>
        <v>423.5</v>
      </c>
      <c r="I147" s="96">
        <f t="shared" si="53"/>
        <v>63</v>
      </c>
      <c r="J147" s="96">
        <f t="shared" si="53"/>
        <v>63</v>
      </c>
    </row>
    <row r="148" spans="1:13" s="32" customFormat="1" ht="25.5" x14ac:dyDescent="0.2">
      <c r="A148" s="29"/>
      <c r="B148" s="24"/>
      <c r="C148" s="84" t="s">
        <v>96</v>
      </c>
      <c r="D148" s="84" t="s">
        <v>97</v>
      </c>
      <c r="E148" s="167" t="s">
        <v>503</v>
      </c>
      <c r="F148" s="16"/>
      <c r="G148" s="103" t="s">
        <v>171</v>
      </c>
      <c r="H148" s="39">
        <f>H149</f>
        <v>423.5</v>
      </c>
      <c r="I148" s="39">
        <f t="shared" si="53"/>
        <v>63</v>
      </c>
      <c r="J148" s="39">
        <f t="shared" si="53"/>
        <v>63</v>
      </c>
    </row>
    <row r="149" spans="1:13" s="32" customFormat="1" ht="38.25" x14ac:dyDescent="0.2">
      <c r="A149" s="29"/>
      <c r="B149" s="24"/>
      <c r="C149" s="84" t="s">
        <v>96</v>
      </c>
      <c r="D149" s="84" t="s">
        <v>97</v>
      </c>
      <c r="E149" s="167" t="s">
        <v>503</v>
      </c>
      <c r="F149" s="84" t="s">
        <v>214</v>
      </c>
      <c r="G149" s="101" t="s">
        <v>215</v>
      </c>
      <c r="H149" s="39">
        <f>600-176.5</f>
        <v>423.5</v>
      </c>
      <c r="I149" s="39">
        <v>63</v>
      </c>
      <c r="J149" s="39">
        <v>63</v>
      </c>
    </row>
    <row r="150" spans="1:13" ht="14.25" x14ac:dyDescent="0.2">
      <c r="A150" s="1"/>
      <c r="B150" s="25"/>
      <c r="C150" s="30" t="s">
        <v>96</v>
      </c>
      <c r="D150" s="30" t="s">
        <v>103</v>
      </c>
      <c r="E150" s="30"/>
      <c r="F150" s="30"/>
      <c r="G150" s="27" t="s">
        <v>1</v>
      </c>
      <c r="H150" s="40">
        <f t="shared" ref="H150:J150" si="54">H151</f>
        <v>26608.9</v>
      </c>
      <c r="I150" s="40">
        <f t="shared" si="54"/>
        <v>25253</v>
      </c>
      <c r="J150" s="40">
        <f t="shared" si="54"/>
        <v>25274.1</v>
      </c>
    </row>
    <row r="151" spans="1:13" ht="89.25" x14ac:dyDescent="0.2">
      <c r="A151" s="1"/>
      <c r="B151" s="25"/>
      <c r="C151" s="5" t="s">
        <v>96</v>
      </c>
      <c r="D151" s="5" t="s">
        <v>103</v>
      </c>
      <c r="E151" s="73" t="s">
        <v>69</v>
      </c>
      <c r="F151" s="30"/>
      <c r="G151" s="185" t="s">
        <v>645</v>
      </c>
      <c r="H151" s="99">
        <f t="shared" ref="H151:J152" si="55">H152</f>
        <v>26608.9</v>
      </c>
      <c r="I151" s="99">
        <f t="shared" si="55"/>
        <v>25253</v>
      </c>
      <c r="J151" s="99">
        <f t="shared" si="55"/>
        <v>25274.1</v>
      </c>
    </row>
    <row r="152" spans="1:13" ht="63.75" x14ac:dyDescent="0.2">
      <c r="A152" s="1"/>
      <c r="B152" s="25"/>
      <c r="C152" s="16" t="s">
        <v>96</v>
      </c>
      <c r="D152" s="16" t="s">
        <v>103</v>
      </c>
      <c r="E152" s="52" t="s">
        <v>217</v>
      </c>
      <c r="F152" s="30"/>
      <c r="G152" s="46" t="s">
        <v>189</v>
      </c>
      <c r="H152" s="96">
        <f>H153</f>
        <v>26608.9</v>
      </c>
      <c r="I152" s="96">
        <f t="shared" si="55"/>
        <v>25253</v>
      </c>
      <c r="J152" s="96">
        <f t="shared" si="55"/>
        <v>25274.1</v>
      </c>
      <c r="M152" s="107"/>
    </row>
    <row r="153" spans="1:13" ht="25.5" x14ac:dyDescent="0.2">
      <c r="A153" s="1"/>
      <c r="B153" s="25"/>
      <c r="C153" s="16" t="s">
        <v>96</v>
      </c>
      <c r="D153" s="16" t="s">
        <v>103</v>
      </c>
      <c r="E153" s="74">
        <v>920100000</v>
      </c>
      <c r="F153" s="30"/>
      <c r="G153" s="100" t="s">
        <v>303</v>
      </c>
      <c r="H153" s="102">
        <f>H154+H156+H158+H160</f>
        <v>26608.9</v>
      </c>
      <c r="I153" s="102">
        <f t="shared" ref="I153:J153" si="56">I154+I156+I158+I160</f>
        <v>25253</v>
      </c>
      <c r="J153" s="102">
        <f t="shared" si="56"/>
        <v>25274.1</v>
      </c>
    </row>
    <row r="154" spans="1:13" ht="63" customHeight="1" x14ac:dyDescent="0.2">
      <c r="A154" s="1"/>
      <c r="B154" s="25"/>
      <c r="C154" s="16" t="s">
        <v>96</v>
      </c>
      <c r="D154" s="16" t="s">
        <v>103</v>
      </c>
      <c r="E154" s="74" t="s">
        <v>313</v>
      </c>
      <c r="F154" s="30"/>
      <c r="G154" s="100" t="s">
        <v>218</v>
      </c>
      <c r="H154" s="39">
        <f>H155</f>
        <v>5024.3999999999996</v>
      </c>
      <c r="I154" s="39">
        <f t="shared" ref="I154:J154" si="57">I155</f>
        <v>5039.6000000000004</v>
      </c>
      <c r="J154" s="39">
        <f t="shared" si="57"/>
        <v>5054.8</v>
      </c>
    </row>
    <row r="155" spans="1:13" ht="38.25" x14ac:dyDescent="0.2">
      <c r="A155" s="1"/>
      <c r="B155" s="25"/>
      <c r="C155" s="16" t="s">
        <v>96</v>
      </c>
      <c r="D155" s="16" t="s">
        <v>103</v>
      </c>
      <c r="E155" s="74" t="s">
        <v>313</v>
      </c>
      <c r="F155" s="84" t="s">
        <v>214</v>
      </c>
      <c r="G155" s="101" t="s">
        <v>215</v>
      </c>
      <c r="H155" s="39">
        <v>5024.3999999999996</v>
      </c>
      <c r="I155" s="39">
        <v>5039.6000000000004</v>
      </c>
      <c r="J155" s="39">
        <v>5054.8</v>
      </c>
    </row>
    <row r="156" spans="1:13" ht="74.25" customHeight="1" x14ac:dyDescent="0.2">
      <c r="A156" s="1"/>
      <c r="B156" s="25"/>
      <c r="C156" s="16" t="s">
        <v>96</v>
      </c>
      <c r="D156" s="16" t="s">
        <v>103</v>
      </c>
      <c r="E156" s="74">
        <v>920110300</v>
      </c>
      <c r="F156" s="16"/>
      <c r="G156" s="126" t="s">
        <v>666</v>
      </c>
      <c r="H156" s="39">
        <f>H157</f>
        <v>20097.5</v>
      </c>
      <c r="I156" s="39">
        <f>I157</f>
        <v>20158.400000000001</v>
      </c>
      <c r="J156" s="39">
        <f>J157</f>
        <v>20219.3</v>
      </c>
    </row>
    <row r="157" spans="1:13" ht="38.25" x14ac:dyDescent="0.2">
      <c r="A157" s="1"/>
      <c r="B157" s="25"/>
      <c r="C157" s="16" t="s">
        <v>96</v>
      </c>
      <c r="D157" s="16" t="s">
        <v>103</v>
      </c>
      <c r="E157" s="74">
        <v>920110300</v>
      </c>
      <c r="F157" s="84" t="s">
        <v>214</v>
      </c>
      <c r="G157" s="101" t="s">
        <v>215</v>
      </c>
      <c r="H157" s="163">
        <v>20097.5</v>
      </c>
      <c r="I157" s="162">
        <v>20158.400000000001</v>
      </c>
      <c r="J157" s="162">
        <v>20219.3</v>
      </c>
    </row>
    <row r="158" spans="1:13" ht="63.75" x14ac:dyDescent="0.2">
      <c r="A158" s="1"/>
      <c r="B158" s="25"/>
      <c r="C158" s="16" t="s">
        <v>96</v>
      </c>
      <c r="D158" s="16" t="s">
        <v>103</v>
      </c>
      <c r="E158" s="74">
        <v>920123490</v>
      </c>
      <c r="F158" s="84"/>
      <c r="G158" s="54" t="s">
        <v>554</v>
      </c>
      <c r="H158" s="39">
        <f>H159</f>
        <v>0</v>
      </c>
      <c r="I158" s="39">
        <f t="shared" ref="I158:J158" si="58">I159</f>
        <v>55</v>
      </c>
      <c r="J158" s="39">
        <f t="shared" si="58"/>
        <v>0</v>
      </c>
    </row>
    <row r="159" spans="1:13" ht="38.25" x14ac:dyDescent="0.2">
      <c r="A159" s="1"/>
      <c r="B159" s="25"/>
      <c r="C159" s="16" t="s">
        <v>96</v>
      </c>
      <c r="D159" s="16" t="s">
        <v>103</v>
      </c>
      <c r="E159" s="74">
        <v>920123490</v>
      </c>
      <c r="F159" s="84" t="s">
        <v>214</v>
      </c>
      <c r="G159" s="101" t="s">
        <v>215</v>
      </c>
      <c r="H159" s="39">
        <v>0</v>
      </c>
      <c r="I159" s="39">
        <v>55</v>
      </c>
      <c r="J159" s="39">
        <v>0</v>
      </c>
    </row>
    <row r="160" spans="1:13" ht="76.5" x14ac:dyDescent="0.2">
      <c r="A160" s="148"/>
      <c r="B160" s="25"/>
      <c r="C160" s="16" t="s">
        <v>96</v>
      </c>
      <c r="D160" s="16" t="s">
        <v>103</v>
      </c>
      <c r="E160" s="74">
        <v>920123495</v>
      </c>
      <c r="F160" s="84"/>
      <c r="G160" s="54" t="s">
        <v>623</v>
      </c>
      <c r="H160" s="39">
        <f>H161</f>
        <v>1487</v>
      </c>
      <c r="I160" s="39">
        <f>I161</f>
        <v>0</v>
      </c>
      <c r="J160" s="39">
        <f>J161</f>
        <v>0</v>
      </c>
    </row>
    <row r="161" spans="1:10" ht="38.25" x14ac:dyDescent="0.2">
      <c r="A161" s="148"/>
      <c r="B161" s="25"/>
      <c r="C161" s="16" t="s">
        <v>96</v>
      </c>
      <c r="D161" s="16" t="s">
        <v>103</v>
      </c>
      <c r="E161" s="74">
        <v>920123495</v>
      </c>
      <c r="F161" s="84" t="s">
        <v>214</v>
      </c>
      <c r="G161" s="101" t="s">
        <v>215</v>
      </c>
      <c r="H161" s="39">
        <f>1212.9+274.1</f>
        <v>1487</v>
      </c>
      <c r="I161" s="39">
        <v>0</v>
      </c>
      <c r="J161" s="39">
        <v>0</v>
      </c>
    </row>
    <row r="162" spans="1:10" ht="28.5" x14ac:dyDescent="0.2">
      <c r="A162" s="1"/>
      <c r="B162" s="25"/>
      <c r="C162" s="30" t="s">
        <v>96</v>
      </c>
      <c r="D162" s="30" t="s">
        <v>101</v>
      </c>
      <c r="E162" s="30"/>
      <c r="F162" s="30"/>
      <c r="G162" s="50" t="s">
        <v>201</v>
      </c>
      <c r="H162" s="40">
        <f>+H163+H186+H201</f>
        <v>154573.29999999999</v>
      </c>
      <c r="I162" s="40">
        <f>+I163+I186+I201</f>
        <v>87808.799999999988</v>
      </c>
      <c r="J162" s="40">
        <f>+J163+J186+J201</f>
        <v>68085.099999999991</v>
      </c>
    </row>
    <row r="163" spans="1:10" ht="97.5" customHeight="1" x14ac:dyDescent="0.2">
      <c r="A163" s="1"/>
      <c r="B163" s="25"/>
      <c r="C163" s="5" t="s">
        <v>96</v>
      </c>
      <c r="D163" s="5" t="s">
        <v>101</v>
      </c>
      <c r="E163" s="73" t="s">
        <v>69</v>
      </c>
      <c r="F163" s="30"/>
      <c r="G163" s="185" t="s">
        <v>645</v>
      </c>
      <c r="H163" s="99">
        <f t="shared" ref="H163:J164" si="59">H164</f>
        <v>144592</v>
      </c>
      <c r="I163" s="99">
        <f t="shared" si="59"/>
        <v>82805.099999999991</v>
      </c>
      <c r="J163" s="99">
        <f t="shared" si="59"/>
        <v>66483.7</v>
      </c>
    </row>
    <row r="164" spans="1:10" ht="63.75" x14ac:dyDescent="0.2">
      <c r="A164" s="1"/>
      <c r="B164" s="25"/>
      <c r="C164" s="16" t="s">
        <v>96</v>
      </c>
      <c r="D164" s="16" t="s">
        <v>101</v>
      </c>
      <c r="E164" s="121" t="s">
        <v>70</v>
      </c>
      <c r="F164" s="119"/>
      <c r="G164" s="122" t="s">
        <v>167</v>
      </c>
      <c r="H164" s="123">
        <f>H165</f>
        <v>144592</v>
      </c>
      <c r="I164" s="123">
        <f t="shared" si="59"/>
        <v>82805.099999999991</v>
      </c>
      <c r="J164" s="123">
        <f t="shared" si="59"/>
        <v>66483.7</v>
      </c>
    </row>
    <row r="165" spans="1:10" ht="38.25" x14ac:dyDescent="0.2">
      <c r="A165" s="1"/>
      <c r="B165" s="25"/>
      <c r="C165" s="16" t="s">
        <v>96</v>
      </c>
      <c r="D165" s="16" t="s">
        <v>101</v>
      </c>
      <c r="E165" s="125" t="s">
        <v>302</v>
      </c>
      <c r="F165" s="119"/>
      <c r="G165" s="117" t="s">
        <v>315</v>
      </c>
      <c r="H165" s="123">
        <f>H166+H168+H170+H172+H174+H176+H178+H180+H182+H184</f>
        <v>144592</v>
      </c>
      <c r="I165" s="123">
        <f t="shared" ref="I165:J165" si="60">I166+I168+I170+I172+I174+I176+I178+I180+I182+I184</f>
        <v>82805.099999999991</v>
      </c>
      <c r="J165" s="123">
        <f t="shared" si="60"/>
        <v>66483.7</v>
      </c>
    </row>
    <row r="166" spans="1:10" ht="89.25" x14ac:dyDescent="0.2">
      <c r="A166" s="1"/>
      <c r="B166" s="25"/>
      <c r="C166" s="16" t="s">
        <v>96</v>
      </c>
      <c r="D166" s="16" t="s">
        <v>101</v>
      </c>
      <c r="E166" s="79">
        <v>910123405</v>
      </c>
      <c r="F166" s="119"/>
      <c r="G166" s="117" t="s">
        <v>301</v>
      </c>
      <c r="H166" s="111">
        <f>H167</f>
        <v>15386.8</v>
      </c>
      <c r="I166" s="111">
        <f t="shared" ref="I166:J166" si="61">I167</f>
        <v>15376.7</v>
      </c>
      <c r="J166" s="111">
        <f t="shared" si="61"/>
        <v>8086.9</v>
      </c>
    </row>
    <row r="167" spans="1:10" ht="38.25" x14ac:dyDescent="0.2">
      <c r="A167" s="1"/>
      <c r="B167" s="25"/>
      <c r="C167" s="16" t="s">
        <v>96</v>
      </c>
      <c r="D167" s="16" t="s">
        <v>101</v>
      </c>
      <c r="E167" s="79">
        <v>910123405</v>
      </c>
      <c r="F167" s="84" t="s">
        <v>214</v>
      </c>
      <c r="G167" s="101" t="s">
        <v>215</v>
      </c>
      <c r="H167" s="111">
        <v>15386.8</v>
      </c>
      <c r="I167" s="111">
        <v>15376.7</v>
      </c>
      <c r="J167" s="111">
        <v>8086.9</v>
      </c>
    </row>
    <row r="168" spans="1:10" ht="63.75" x14ac:dyDescent="0.2">
      <c r="A168" s="1"/>
      <c r="B168" s="25"/>
      <c r="C168" s="16" t="s">
        <v>96</v>
      </c>
      <c r="D168" s="16" t="s">
        <v>101</v>
      </c>
      <c r="E168" s="79">
        <v>910110520</v>
      </c>
      <c r="F168" s="119"/>
      <c r="G168" s="117" t="s">
        <v>187</v>
      </c>
      <c r="H168" s="111">
        <f>H169</f>
        <v>14385.6</v>
      </c>
      <c r="I168" s="111">
        <f>I169</f>
        <v>14961</v>
      </c>
      <c r="J168" s="111">
        <f>J169</f>
        <v>15559.4</v>
      </c>
    </row>
    <row r="169" spans="1:10" ht="38.25" x14ac:dyDescent="0.2">
      <c r="A169" s="1"/>
      <c r="B169" s="25"/>
      <c r="C169" s="16" t="s">
        <v>96</v>
      </c>
      <c r="D169" s="16" t="s">
        <v>101</v>
      </c>
      <c r="E169" s="79">
        <v>910110520</v>
      </c>
      <c r="F169" s="84" t="s">
        <v>214</v>
      </c>
      <c r="G169" s="101" t="s">
        <v>12</v>
      </c>
      <c r="H169" s="162">
        <v>14385.6</v>
      </c>
      <c r="I169" s="163">
        <v>14961</v>
      </c>
      <c r="J169" s="162">
        <v>15559.4</v>
      </c>
    </row>
    <row r="170" spans="1:10" ht="25.5" x14ac:dyDescent="0.2">
      <c r="A170" s="1"/>
      <c r="B170" s="25"/>
      <c r="C170" s="16" t="s">
        <v>96</v>
      </c>
      <c r="D170" s="16" t="s">
        <v>101</v>
      </c>
      <c r="E170" s="79">
        <v>910123410</v>
      </c>
      <c r="F170" s="124"/>
      <c r="G170" s="101" t="s">
        <v>188</v>
      </c>
      <c r="H170" s="111">
        <f>H171</f>
        <v>17208.600000000002</v>
      </c>
      <c r="I170" s="111">
        <f>I171</f>
        <v>16457</v>
      </c>
      <c r="J170" s="111">
        <f>J171</f>
        <v>8177.3</v>
      </c>
    </row>
    <row r="171" spans="1:10" ht="38.25" x14ac:dyDescent="0.2">
      <c r="A171" s="1"/>
      <c r="B171" s="25"/>
      <c r="C171" s="16" t="s">
        <v>96</v>
      </c>
      <c r="D171" s="16" t="s">
        <v>101</v>
      </c>
      <c r="E171" s="79">
        <v>910123410</v>
      </c>
      <c r="F171" s="84" t="s">
        <v>214</v>
      </c>
      <c r="G171" s="101" t="s">
        <v>215</v>
      </c>
      <c r="H171" s="111">
        <f>16457+600-46.8+198.4</f>
        <v>17208.600000000002</v>
      </c>
      <c r="I171" s="111">
        <v>16457</v>
      </c>
      <c r="J171" s="111">
        <v>8177.3</v>
      </c>
    </row>
    <row r="172" spans="1:10" ht="89.25" x14ac:dyDescent="0.2">
      <c r="A172" s="148"/>
      <c r="B172" s="25"/>
      <c r="C172" s="16" t="s">
        <v>96</v>
      </c>
      <c r="D172" s="16" t="s">
        <v>101</v>
      </c>
      <c r="E172" s="79">
        <v>910123415</v>
      </c>
      <c r="F172" s="84"/>
      <c r="G172" s="160" t="s">
        <v>703</v>
      </c>
      <c r="H172" s="111">
        <f>H173</f>
        <v>1156.8000000000002</v>
      </c>
      <c r="I172" s="111">
        <f t="shared" ref="I172:J172" si="62">I173</f>
        <v>0</v>
      </c>
      <c r="J172" s="111">
        <f t="shared" si="62"/>
        <v>0</v>
      </c>
    </row>
    <row r="173" spans="1:10" ht="38.25" x14ac:dyDescent="0.2">
      <c r="A173" s="148"/>
      <c r="B173" s="25"/>
      <c r="C173" s="16" t="s">
        <v>96</v>
      </c>
      <c r="D173" s="16" t="s">
        <v>101</v>
      </c>
      <c r="E173" s="79">
        <v>910123415</v>
      </c>
      <c r="F173" s="84" t="s">
        <v>214</v>
      </c>
      <c r="G173" s="101" t="s">
        <v>215</v>
      </c>
      <c r="H173" s="111">
        <f>100+46.8+613.9+396.1</f>
        <v>1156.8000000000002</v>
      </c>
      <c r="I173" s="111">
        <v>0</v>
      </c>
      <c r="J173" s="111">
        <v>0</v>
      </c>
    </row>
    <row r="174" spans="1:10" ht="25.5" x14ac:dyDescent="0.2">
      <c r="A174" s="1"/>
      <c r="B174" s="25"/>
      <c r="C174" s="16" t="s">
        <v>96</v>
      </c>
      <c r="D174" s="16" t="s">
        <v>101</v>
      </c>
      <c r="E174" s="79">
        <v>910123420</v>
      </c>
      <c r="F174" s="84"/>
      <c r="G174" s="155" t="s">
        <v>396</v>
      </c>
      <c r="H174" s="111">
        <f>H175</f>
        <v>1097.7000000000003</v>
      </c>
      <c r="I174" s="111">
        <f>I175</f>
        <v>0</v>
      </c>
      <c r="J174" s="111">
        <f>J175</f>
        <v>0</v>
      </c>
    </row>
    <row r="175" spans="1:10" ht="38.25" x14ac:dyDescent="0.2">
      <c r="A175" s="1"/>
      <c r="B175" s="25"/>
      <c r="C175" s="16" t="s">
        <v>96</v>
      </c>
      <c r="D175" s="16" t="s">
        <v>101</v>
      </c>
      <c r="E175" s="79">
        <v>910123420</v>
      </c>
      <c r="F175" s="84" t="s">
        <v>214</v>
      </c>
      <c r="G175" s="101" t="s">
        <v>215</v>
      </c>
      <c r="H175" s="111">
        <f>12651-12243.9+690.6</f>
        <v>1097.7000000000003</v>
      </c>
      <c r="I175" s="111">
        <v>0</v>
      </c>
      <c r="J175" s="111">
        <v>0</v>
      </c>
    </row>
    <row r="176" spans="1:10" ht="51" x14ac:dyDescent="0.2">
      <c r="A176" s="1"/>
      <c r="B176" s="25"/>
      <c r="C176" s="16" t="s">
        <v>96</v>
      </c>
      <c r="D176" s="16" t="s">
        <v>101</v>
      </c>
      <c r="E176" s="79" t="s">
        <v>359</v>
      </c>
      <c r="F176" s="84"/>
      <c r="G176" s="147" t="s">
        <v>358</v>
      </c>
      <c r="H176" s="111">
        <f>H177</f>
        <v>3252.6</v>
      </c>
      <c r="I176" s="111">
        <f>I177</f>
        <v>548.5</v>
      </c>
      <c r="J176" s="111">
        <f>J177</f>
        <v>564.9</v>
      </c>
    </row>
    <row r="177" spans="1:10" ht="38.25" x14ac:dyDescent="0.2">
      <c r="A177" s="1"/>
      <c r="B177" s="25"/>
      <c r="C177" s="16" t="s">
        <v>96</v>
      </c>
      <c r="D177" s="16" t="s">
        <v>101</v>
      </c>
      <c r="E177" s="79" t="s">
        <v>359</v>
      </c>
      <c r="F177" s="84" t="s">
        <v>214</v>
      </c>
      <c r="G177" s="101" t="s">
        <v>215</v>
      </c>
      <c r="H177" s="111">
        <f>2537.7+3348.8-2683.9+50</f>
        <v>3252.6</v>
      </c>
      <c r="I177" s="111">
        <v>548.5</v>
      </c>
      <c r="J177" s="111">
        <v>564.9</v>
      </c>
    </row>
    <row r="178" spans="1:10" ht="63.75" x14ac:dyDescent="0.2">
      <c r="A178" s="1"/>
      <c r="B178" s="25"/>
      <c r="C178" s="16" t="s">
        <v>96</v>
      </c>
      <c r="D178" s="16" t="s">
        <v>101</v>
      </c>
      <c r="E178" s="170" t="s">
        <v>552</v>
      </c>
      <c r="F178" s="84"/>
      <c r="G178" s="147" t="s">
        <v>360</v>
      </c>
      <c r="H178" s="111">
        <f>H179</f>
        <v>4823.8999999999996</v>
      </c>
      <c r="I178" s="111">
        <f>I179</f>
        <v>2194</v>
      </c>
      <c r="J178" s="111">
        <f>J179</f>
        <v>2259.5</v>
      </c>
    </row>
    <row r="179" spans="1:10" ht="38.25" x14ac:dyDescent="0.2">
      <c r="A179" s="1"/>
      <c r="B179" s="25"/>
      <c r="C179" s="16" t="s">
        <v>96</v>
      </c>
      <c r="D179" s="16" t="s">
        <v>101</v>
      </c>
      <c r="E179" s="170" t="s">
        <v>552</v>
      </c>
      <c r="F179" s="84" t="s">
        <v>214</v>
      </c>
      <c r="G179" s="101" t="s">
        <v>215</v>
      </c>
      <c r="H179" s="162">
        <f>2140.1+2683.8</f>
        <v>4823.8999999999996</v>
      </c>
      <c r="I179" s="163">
        <v>2194</v>
      </c>
      <c r="J179" s="162">
        <v>2259.5</v>
      </c>
    </row>
    <row r="180" spans="1:10" ht="25.5" x14ac:dyDescent="0.2">
      <c r="A180" s="1"/>
      <c r="B180" s="25"/>
      <c r="C180" s="16" t="s">
        <v>96</v>
      </c>
      <c r="D180" s="16" t="s">
        <v>101</v>
      </c>
      <c r="E180" s="79" t="s">
        <v>355</v>
      </c>
      <c r="F180" s="84"/>
      <c r="G180" s="101" t="s">
        <v>356</v>
      </c>
      <c r="H180" s="111">
        <f>H181</f>
        <v>23367.8</v>
      </c>
      <c r="I180" s="111">
        <f>I181</f>
        <v>8633.2000000000007</v>
      </c>
      <c r="J180" s="111">
        <f>J181</f>
        <v>6239.6</v>
      </c>
    </row>
    <row r="181" spans="1:10" ht="38.25" x14ac:dyDescent="0.2">
      <c r="A181" s="1"/>
      <c r="B181" s="25"/>
      <c r="C181" s="16" t="s">
        <v>96</v>
      </c>
      <c r="D181" s="16" t="s">
        <v>101</v>
      </c>
      <c r="E181" s="79" t="s">
        <v>355</v>
      </c>
      <c r="F181" s="84" t="s">
        <v>214</v>
      </c>
      <c r="G181" s="101" t="s">
        <v>215</v>
      </c>
      <c r="H181" s="111">
        <f>9764.5+183.4+5789.2-1209.5+9332-491.8</f>
        <v>23367.8</v>
      </c>
      <c r="I181" s="111">
        <f>6932+1701.2</f>
        <v>8633.2000000000007</v>
      </c>
      <c r="J181" s="111">
        <v>6239.6</v>
      </c>
    </row>
    <row r="182" spans="1:10" ht="25.5" x14ac:dyDescent="0.2">
      <c r="A182" s="148"/>
      <c r="B182" s="25"/>
      <c r="C182" s="16" t="s">
        <v>96</v>
      </c>
      <c r="D182" s="16" t="s">
        <v>101</v>
      </c>
      <c r="E182" s="173" t="s">
        <v>553</v>
      </c>
      <c r="F182" s="84"/>
      <c r="G182" s="101" t="s">
        <v>357</v>
      </c>
      <c r="H182" s="111">
        <f>H183</f>
        <v>53755</v>
      </c>
      <c r="I182" s="111">
        <f>I183</f>
        <v>24634.7</v>
      </c>
      <c r="J182" s="111">
        <f>J183</f>
        <v>25596.1</v>
      </c>
    </row>
    <row r="183" spans="1:10" ht="38.25" x14ac:dyDescent="0.2">
      <c r="A183" s="148"/>
      <c r="B183" s="25"/>
      <c r="C183" s="16" t="s">
        <v>96</v>
      </c>
      <c r="D183" s="16" t="s">
        <v>101</v>
      </c>
      <c r="E183" s="173" t="s">
        <v>553</v>
      </c>
      <c r="F183" s="84" t="s">
        <v>214</v>
      </c>
      <c r="G183" s="101" t="s">
        <v>215</v>
      </c>
      <c r="H183" s="163">
        <f>23622.2+30132.8</f>
        <v>53755</v>
      </c>
      <c r="I183" s="162">
        <v>24634.7</v>
      </c>
      <c r="J183" s="162">
        <v>25596.1</v>
      </c>
    </row>
    <row r="184" spans="1:10" ht="25.5" x14ac:dyDescent="0.2">
      <c r="A184" s="148"/>
      <c r="B184" s="25"/>
      <c r="C184" s="16" t="s">
        <v>96</v>
      </c>
      <c r="D184" s="16" t="s">
        <v>101</v>
      </c>
      <c r="E184" s="79">
        <v>910123425</v>
      </c>
      <c r="F184" s="84"/>
      <c r="G184" s="101" t="s">
        <v>394</v>
      </c>
      <c r="H184" s="111">
        <f>H185</f>
        <v>10157.200000000001</v>
      </c>
      <c r="I184" s="111">
        <f>I185</f>
        <v>0</v>
      </c>
      <c r="J184" s="111">
        <f>J185</f>
        <v>0</v>
      </c>
    </row>
    <row r="185" spans="1:10" ht="38.25" x14ac:dyDescent="0.2">
      <c r="A185" s="148"/>
      <c r="B185" s="25"/>
      <c r="C185" s="16" t="s">
        <v>96</v>
      </c>
      <c r="D185" s="16" t="s">
        <v>101</v>
      </c>
      <c r="E185" s="79">
        <v>910123425</v>
      </c>
      <c r="F185" s="84" t="s">
        <v>214</v>
      </c>
      <c r="G185" s="101" t="s">
        <v>215</v>
      </c>
      <c r="H185" s="111">
        <f>19547-17315.6+12.8+2269.3+6532.7-690.6-198.4</f>
        <v>10157.200000000001</v>
      </c>
      <c r="I185" s="111">
        <v>0</v>
      </c>
      <c r="J185" s="111">
        <v>0</v>
      </c>
    </row>
    <row r="186" spans="1:10" ht="127.5" x14ac:dyDescent="0.2">
      <c r="A186" s="148"/>
      <c r="B186" s="25"/>
      <c r="C186" s="5" t="s">
        <v>96</v>
      </c>
      <c r="D186" s="5" t="s">
        <v>101</v>
      </c>
      <c r="E186" s="73" t="s">
        <v>598</v>
      </c>
      <c r="F186" s="84"/>
      <c r="G186" s="187" t="s">
        <v>651</v>
      </c>
      <c r="H186" s="99">
        <f>H187</f>
        <v>5615.2999999999993</v>
      </c>
      <c r="I186" s="99">
        <f t="shared" ref="I186:J187" si="63">I187</f>
        <v>0</v>
      </c>
      <c r="J186" s="99">
        <f t="shared" si="63"/>
        <v>0</v>
      </c>
    </row>
    <row r="187" spans="1:10" ht="60.75" customHeight="1" x14ac:dyDescent="0.2">
      <c r="A187" s="148"/>
      <c r="B187" s="25"/>
      <c r="C187" s="47" t="s">
        <v>96</v>
      </c>
      <c r="D187" s="47" t="s">
        <v>101</v>
      </c>
      <c r="E187" s="175">
        <v>1510000000</v>
      </c>
      <c r="F187" s="84"/>
      <c r="G187" s="48" t="s">
        <v>377</v>
      </c>
      <c r="H187" s="41">
        <f>H188</f>
        <v>5615.2999999999993</v>
      </c>
      <c r="I187" s="41">
        <f t="shared" si="63"/>
        <v>0</v>
      </c>
      <c r="J187" s="41">
        <f t="shared" si="63"/>
        <v>0</v>
      </c>
    </row>
    <row r="188" spans="1:10" ht="63.75" x14ac:dyDescent="0.2">
      <c r="A188" s="148"/>
      <c r="B188" s="25"/>
      <c r="C188" s="16" t="s">
        <v>96</v>
      </c>
      <c r="D188" s="16" t="s">
        <v>101</v>
      </c>
      <c r="E188" s="159">
        <v>1510200000</v>
      </c>
      <c r="F188" s="84"/>
      <c r="G188" s="101" t="s">
        <v>621</v>
      </c>
      <c r="H188" s="41">
        <f>H189+H191+H193+H195+H197+H199</f>
        <v>5615.2999999999993</v>
      </c>
      <c r="I188" s="41">
        <f t="shared" ref="I188:J188" si="64">I189+I191+I193+I195+I197+I199</f>
        <v>0</v>
      </c>
      <c r="J188" s="41">
        <f t="shared" si="64"/>
        <v>0</v>
      </c>
    </row>
    <row r="189" spans="1:10" ht="51" x14ac:dyDescent="0.2">
      <c r="A189" s="148"/>
      <c r="B189" s="25"/>
      <c r="C189" s="16" t="s">
        <v>96</v>
      </c>
      <c r="D189" s="16" t="s">
        <v>101</v>
      </c>
      <c r="E189" s="51" t="s">
        <v>671</v>
      </c>
      <c r="F189" s="84"/>
      <c r="G189" s="126" t="s">
        <v>669</v>
      </c>
      <c r="H189" s="41">
        <f>H190</f>
        <v>613.9</v>
      </c>
      <c r="I189" s="41">
        <f t="shared" ref="I189:J189" si="65">I190</f>
        <v>0</v>
      </c>
      <c r="J189" s="41">
        <f t="shared" si="65"/>
        <v>0</v>
      </c>
    </row>
    <row r="190" spans="1:10" ht="38.25" x14ac:dyDescent="0.2">
      <c r="A190" s="148"/>
      <c r="B190" s="25"/>
      <c r="C190" s="16" t="s">
        <v>96</v>
      </c>
      <c r="D190" s="16" t="s">
        <v>101</v>
      </c>
      <c r="E190" s="51" t="s">
        <v>671</v>
      </c>
      <c r="F190" s="84" t="s">
        <v>214</v>
      </c>
      <c r="G190" s="101" t="s">
        <v>215</v>
      </c>
      <c r="H190" s="93">
        <v>613.9</v>
      </c>
      <c r="I190" s="41">
        <v>0</v>
      </c>
      <c r="J190" s="41">
        <v>0</v>
      </c>
    </row>
    <row r="191" spans="1:10" ht="51" x14ac:dyDescent="0.2">
      <c r="A191" s="148"/>
      <c r="B191" s="25"/>
      <c r="C191" s="16" t="s">
        <v>96</v>
      </c>
      <c r="D191" s="16" t="s">
        <v>101</v>
      </c>
      <c r="E191" s="51" t="s">
        <v>672</v>
      </c>
      <c r="F191" s="84"/>
      <c r="G191" s="126" t="s">
        <v>670</v>
      </c>
      <c r="H191" s="41">
        <f>H192</f>
        <v>521.1</v>
      </c>
      <c r="I191" s="41">
        <f t="shared" ref="I191:J191" si="66">I192</f>
        <v>0</v>
      </c>
      <c r="J191" s="41">
        <f t="shared" si="66"/>
        <v>0</v>
      </c>
    </row>
    <row r="192" spans="1:10" ht="38.25" x14ac:dyDescent="0.2">
      <c r="A192" s="148"/>
      <c r="B192" s="25"/>
      <c r="C192" s="16" t="s">
        <v>96</v>
      </c>
      <c r="D192" s="16" t="s">
        <v>101</v>
      </c>
      <c r="E192" s="51" t="s">
        <v>672</v>
      </c>
      <c r="F192" s="84" t="s">
        <v>214</v>
      </c>
      <c r="G192" s="101" t="s">
        <v>215</v>
      </c>
      <c r="H192" s="41">
        <f>306.8+135.7+78.6</f>
        <v>521.1</v>
      </c>
      <c r="I192" s="41">
        <v>0</v>
      </c>
      <c r="J192" s="41">
        <v>0</v>
      </c>
    </row>
    <row r="193" spans="1:10" ht="63.75" x14ac:dyDescent="0.2">
      <c r="A193" s="148"/>
      <c r="B193" s="25"/>
      <c r="C193" s="16" t="s">
        <v>96</v>
      </c>
      <c r="D193" s="16" t="s">
        <v>101</v>
      </c>
      <c r="E193" s="51" t="s">
        <v>720</v>
      </c>
      <c r="F193" s="84"/>
      <c r="G193" s="101" t="s">
        <v>719</v>
      </c>
      <c r="H193" s="41">
        <f>H194</f>
        <v>2151.6999999999998</v>
      </c>
      <c r="I193" s="41">
        <f t="shared" ref="I193:J193" si="67">I194</f>
        <v>0</v>
      </c>
      <c r="J193" s="41">
        <f t="shared" si="67"/>
        <v>0</v>
      </c>
    </row>
    <row r="194" spans="1:10" ht="38.25" x14ac:dyDescent="0.2">
      <c r="A194" s="148"/>
      <c r="B194" s="25"/>
      <c r="C194" s="16" t="s">
        <v>96</v>
      </c>
      <c r="D194" s="16" t="s">
        <v>101</v>
      </c>
      <c r="E194" s="51" t="s">
        <v>720</v>
      </c>
      <c r="F194" s="84" t="s">
        <v>214</v>
      </c>
      <c r="G194" s="101" t="s">
        <v>215</v>
      </c>
      <c r="H194" s="41">
        <f>2179.5-27.8</f>
        <v>2151.6999999999998</v>
      </c>
      <c r="I194" s="41">
        <v>0</v>
      </c>
      <c r="J194" s="41">
        <v>0</v>
      </c>
    </row>
    <row r="195" spans="1:10" ht="51" x14ac:dyDescent="0.2">
      <c r="A195" s="148"/>
      <c r="B195" s="25"/>
      <c r="C195" s="16" t="s">
        <v>96</v>
      </c>
      <c r="D195" s="16" t="s">
        <v>101</v>
      </c>
      <c r="E195" s="188">
        <v>1510219017</v>
      </c>
      <c r="F195" s="84"/>
      <c r="G195" s="126" t="s">
        <v>669</v>
      </c>
      <c r="H195" s="41">
        <f>H196</f>
        <v>410</v>
      </c>
      <c r="I195" s="41">
        <f t="shared" ref="I195:J195" si="68">I196</f>
        <v>0</v>
      </c>
      <c r="J195" s="41">
        <f t="shared" si="68"/>
        <v>0</v>
      </c>
    </row>
    <row r="196" spans="1:10" ht="38.25" x14ac:dyDescent="0.2">
      <c r="A196" s="148"/>
      <c r="B196" s="25"/>
      <c r="C196" s="16" t="s">
        <v>96</v>
      </c>
      <c r="D196" s="16" t="s">
        <v>101</v>
      </c>
      <c r="E196" s="154">
        <v>1510219017</v>
      </c>
      <c r="F196" s="84" t="s">
        <v>214</v>
      </c>
      <c r="G196" s="101" t="s">
        <v>215</v>
      </c>
      <c r="H196" s="41">
        <v>410</v>
      </c>
      <c r="I196" s="41">
        <v>0</v>
      </c>
      <c r="J196" s="41">
        <v>0</v>
      </c>
    </row>
    <row r="197" spans="1:10" ht="51" x14ac:dyDescent="0.2">
      <c r="A197" s="148"/>
      <c r="B197" s="25"/>
      <c r="C197" s="16" t="s">
        <v>96</v>
      </c>
      <c r="D197" s="16" t="s">
        <v>101</v>
      </c>
      <c r="E197" s="154">
        <v>1510219018</v>
      </c>
      <c r="F197" s="84"/>
      <c r="G197" s="126" t="s">
        <v>689</v>
      </c>
      <c r="H197" s="41">
        <f>H198</f>
        <v>442.5</v>
      </c>
      <c r="I197" s="41">
        <f t="shared" ref="I197:J197" si="69">I198</f>
        <v>0</v>
      </c>
      <c r="J197" s="41">
        <f t="shared" si="69"/>
        <v>0</v>
      </c>
    </row>
    <row r="198" spans="1:10" ht="38.25" x14ac:dyDescent="0.2">
      <c r="A198" s="148"/>
      <c r="B198" s="25"/>
      <c r="C198" s="16" t="s">
        <v>96</v>
      </c>
      <c r="D198" s="16" t="s">
        <v>101</v>
      </c>
      <c r="E198" s="154">
        <v>1510219018</v>
      </c>
      <c r="F198" s="84" t="s">
        <v>214</v>
      </c>
      <c r="G198" s="101" t="s">
        <v>215</v>
      </c>
      <c r="H198" s="41">
        <v>442.5</v>
      </c>
      <c r="I198" s="41">
        <v>0</v>
      </c>
      <c r="J198" s="41">
        <v>0</v>
      </c>
    </row>
    <row r="199" spans="1:10" ht="60.75" customHeight="1" x14ac:dyDescent="0.2">
      <c r="A199" s="148"/>
      <c r="B199" s="25"/>
      <c r="C199" s="16" t="s">
        <v>96</v>
      </c>
      <c r="D199" s="16" t="s">
        <v>101</v>
      </c>
      <c r="E199" s="154">
        <v>1510219021</v>
      </c>
      <c r="F199" s="84"/>
      <c r="G199" s="101" t="s">
        <v>719</v>
      </c>
      <c r="H199" s="41">
        <f>H200</f>
        <v>1476.1</v>
      </c>
      <c r="I199" s="41">
        <f t="shared" ref="I199:J199" si="70">I200</f>
        <v>0</v>
      </c>
      <c r="J199" s="41">
        <f t="shared" si="70"/>
        <v>0</v>
      </c>
    </row>
    <row r="200" spans="1:10" ht="38.25" x14ac:dyDescent="0.2">
      <c r="A200" s="148"/>
      <c r="B200" s="25"/>
      <c r="C200" s="16" t="s">
        <v>96</v>
      </c>
      <c r="D200" s="16" t="s">
        <v>101</v>
      </c>
      <c r="E200" s="154">
        <v>1510219021</v>
      </c>
      <c r="F200" s="84" t="s">
        <v>214</v>
      </c>
      <c r="G200" s="101" t="s">
        <v>215</v>
      </c>
      <c r="H200" s="41">
        <v>1476.1</v>
      </c>
      <c r="I200" s="41">
        <v>0</v>
      </c>
      <c r="J200" s="41">
        <v>0</v>
      </c>
    </row>
    <row r="201" spans="1:10" ht="89.25" x14ac:dyDescent="0.2">
      <c r="A201" s="1"/>
      <c r="B201" s="25"/>
      <c r="C201" s="73" t="s">
        <v>96</v>
      </c>
      <c r="D201" s="73" t="s">
        <v>101</v>
      </c>
      <c r="E201" s="73" t="s">
        <v>230</v>
      </c>
      <c r="F201" s="16"/>
      <c r="G201" s="64" t="s">
        <v>652</v>
      </c>
      <c r="H201" s="99">
        <f>H202</f>
        <v>4366</v>
      </c>
      <c r="I201" s="99">
        <f t="shared" ref="I201:J201" si="71">I202</f>
        <v>5003.7</v>
      </c>
      <c r="J201" s="99">
        <f t="shared" si="71"/>
        <v>1601.3999999999999</v>
      </c>
    </row>
    <row r="202" spans="1:10" ht="51" x14ac:dyDescent="0.2">
      <c r="A202" s="148"/>
      <c r="B202" s="25"/>
      <c r="C202" s="52" t="s">
        <v>96</v>
      </c>
      <c r="D202" s="52" t="s">
        <v>101</v>
      </c>
      <c r="E202" s="52" t="s">
        <v>231</v>
      </c>
      <c r="F202" s="47"/>
      <c r="G202" s="48" t="s">
        <v>232</v>
      </c>
      <c r="H202" s="99">
        <f>H203+H210</f>
        <v>4366</v>
      </c>
      <c r="I202" s="99">
        <f t="shared" ref="I202:J202" si="72">I203+I210</f>
        <v>5003.7</v>
      </c>
      <c r="J202" s="99">
        <f t="shared" si="72"/>
        <v>1601.3999999999999</v>
      </c>
    </row>
    <row r="203" spans="1:10" ht="51" x14ac:dyDescent="0.2">
      <c r="A203" s="1"/>
      <c r="B203" s="25"/>
      <c r="C203" s="21" t="s">
        <v>96</v>
      </c>
      <c r="D203" s="21" t="s">
        <v>101</v>
      </c>
      <c r="E203" s="21" t="s">
        <v>233</v>
      </c>
      <c r="F203" s="84"/>
      <c r="G203" s="101" t="s">
        <v>234</v>
      </c>
      <c r="H203" s="41">
        <f>H204+H206+H208</f>
        <v>400</v>
      </c>
      <c r="I203" s="41">
        <f t="shared" ref="I203:J203" si="73">I204+I206+I208</f>
        <v>3281.2</v>
      </c>
      <c r="J203" s="41">
        <f t="shared" si="73"/>
        <v>0</v>
      </c>
    </row>
    <row r="204" spans="1:10" ht="38.25" x14ac:dyDescent="0.2">
      <c r="A204" s="1"/>
      <c r="B204" s="25"/>
      <c r="C204" s="21" t="s">
        <v>96</v>
      </c>
      <c r="D204" s="21" t="s">
        <v>101</v>
      </c>
      <c r="E204" s="21" t="s">
        <v>584</v>
      </c>
      <c r="F204" s="84"/>
      <c r="G204" s="101" t="s">
        <v>352</v>
      </c>
      <c r="H204" s="41">
        <f>H205</f>
        <v>0</v>
      </c>
      <c r="I204" s="41">
        <f t="shared" ref="I204:J204" si="74">I205</f>
        <v>2381.1999999999998</v>
      </c>
      <c r="J204" s="41">
        <f t="shared" si="74"/>
        <v>0</v>
      </c>
    </row>
    <row r="205" spans="1:10" ht="38.25" x14ac:dyDescent="0.2">
      <c r="A205" s="1"/>
      <c r="B205" s="25"/>
      <c r="C205" s="21" t="s">
        <v>96</v>
      </c>
      <c r="D205" s="21" t="s">
        <v>101</v>
      </c>
      <c r="E205" s="21" t="s">
        <v>584</v>
      </c>
      <c r="F205" s="84" t="s">
        <v>214</v>
      </c>
      <c r="G205" s="101" t="s">
        <v>215</v>
      </c>
      <c r="H205" s="41">
        <v>0</v>
      </c>
      <c r="I205" s="41">
        <v>2381.1999999999998</v>
      </c>
      <c r="J205" s="41">
        <v>0</v>
      </c>
    </row>
    <row r="206" spans="1:10" ht="25.5" x14ac:dyDescent="0.2">
      <c r="A206" s="1"/>
      <c r="B206" s="25"/>
      <c r="C206" s="21" t="s">
        <v>96</v>
      </c>
      <c r="D206" s="21" t="s">
        <v>101</v>
      </c>
      <c r="E206" s="21" t="s">
        <v>586</v>
      </c>
      <c r="F206" s="84"/>
      <c r="G206" s="101" t="s">
        <v>585</v>
      </c>
      <c r="H206" s="41">
        <f>H207</f>
        <v>0</v>
      </c>
      <c r="I206" s="41">
        <f>I207</f>
        <v>500</v>
      </c>
      <c r="J206" s="41">
        <f>J207</f>
        <v>0</v>
      </c>
    </row>
    <row r="207" spans="1:10" ht="38.25" x14ac:dyDescent="0.2">
      <c r="A207" s="148"/>
      <c r="B207" s="25"/>
      <c r="C207" s="21" t="s">
        <v>96</v>
      </c>
      <c r="D207" s="21" t="s">
        <v>101</v>
      </c>
      <c r="E207" s="21" t="s">
        <v>586</v>
      </c>
      <c r="F207" s="84" t="s">
        <v>214</v>
      </c>
      <c r="G207" s="101" t="s">
        <v>215</v>
      </c>
      <c r="H207" s="41">
        <v>0</v>
      </c>
      <c r="I207" s="41">
        <v>500</v>
      </c>
      <c r="J207" s="41">
        <v>0</v>
      </c>
    </row>
    <row r="208" spans="1:10" ht="25.5" x14ac:dyDescent="0.2">
      <c r="A208" s="148"/>
      <c r="B208" s="25"/>
      <c r="C208" s="21" t="s">
        <v>96</v>
      </c>
      <c r="D208" s="21" t="s">
        <v>101</v>
      </c>
      <c r="E208" s="21" t="s">
        <v>587</v>
      </c>
      <c r="F208" s="16"/>
      <c r="G208" s="101" t="s">
        <v>340</v>
      </c>
      <c r="H208" s="41">
        <f>H209</f>
        <v>400</v>
      </c>
      <c r="I208" s="41">
        <f>I209</f>
        <v>400</v>
      </c>
      <c r="J208" s="41">
        <f>J209</f>
        <v>0</v>
      </c>
    </row>
    <row r="209" spans="1:10" ht="38.25" x14ac:dyDescent="0.2">
      <c r="A209" s="148"/>
      <c r="B209" s="25"/>
      <c r="C209" s="21" t="s">
        <v>96</v>
      </c>
      <c r="D209" s="21" t="s">
        <v>101</v>
      </c>
      <c r="E209" s="21" t="s">
        <v>587</v>
      </c>
      <c r="F209" s="84" t="s">
        <v>214</v>
      </c>
      <c r="G209" s="101" t="s">
        <v>215</v>
      </c>
      <c r="H209" s="41">
        <v>400</v>
      </c>
      <c r="I209" s="41">
        <v>400</v>
      </c>
      <c r="J209" s="41">
        <v>0</v>
      </c>
    </row>
    <row r="210" spans="1:10" ht="63.75" x14ac:dyDescent="0.2">
      <c r="A210" s="148"/>
      <c r="B210" s="25"/>
      <c r="C210" s="21" t="s">
        <v>96</v>
      </c>
      <c r="D210" s="21" t="s">
        <v>101</v>
      </c>
      <c r="E210" s="51" t="s">
        <v>582</v>
      </c>
      <c r="F210" s="84"/>
      <c r="G210" s="101" t="s">
        <v>583</v>
      </c>
      <c r="H210" s="41">
        <f>H211+H213</f>
        <v>3966</v>
      </c>
      <c r="I210" s="41">
        <f t="shared" ref="I210:J210" si="75">I211+I213</f>
        <v>1722.5</v>
      </c>
      <c r="J210" s="41">
        <f t="shared" si="75"/>
        <v>1601.3999999999999</v>
      </c>
    </row>
    <row r="211" spans="1:10" ht="38.25" x14ac:dyDescent="0.2">
      <c r="A211" s="148"/>
      <c r="B211" s="25"/>
      <c r="C211" s="21" t="s">
        <v>96</v>
      </c>
      <c r="D211" s="21" t="s">
        <v>101</v>
      </c>
      <c r="E211" s="51" t="s">
        <v>368</v>
      </c>
      <c r="F211" s="84"/>
      <c r="G211" s="101" t="s">
        <v>363</v>
      </c>
      <c r="H211" s="41">
        <f>H212</f>
        <v>882.99999999999989</v>
      </c>
      <c r="I211" s="41">
        <f>I212</f>
        <v>443.5</v>
      </c>
      <c r="J211" s="41">
        <f>J212</f>
        <v>320.3</v>
      </c>
    </row>
    <row r="212" spans="1:10" ht="38.25" x14ac:dyDescent="0.2">
      <c r="A212" s="148"/>
      <c r="B212" s="25"/>
      <c r="C212" s="21" t="s">
        <v>96</v>
      </c>
      <c r="D212" s="21" t="s">
        <v>101</v>
      </c>
      <c r="E212" s="51" t="s">
        <v>368</v>
      </c>
      <c r="F212" s="84" t="s">
        <v>214</v>
      </c>
      <c r="G212" s="101" t="s">
        <v>215</v>
      </c>
      <c r="H212" s="41">
        <f>844.9+1003.2-965.1</f>
        <v>882.99999999999989</v>
      </c>
      <c r="I212" s="41">
        <v>443.5</v>
      </c>
      <c r="J212" s="41">
        <v>320.3</v>
      </c>
    </row>
    <row r="213" spans="1:10" ht="51" x14ac:dyDescent="0.2">
      <c r="A213" s="148"/>
      <c r="B213" s="25"/>
      <c r="C213" s="21" t="s">
        <v>96</v>
      </c>
      <c r="D213" s="21" t="s">
        <v>101</v>
      </c>
      <c r="E213" s="51" t="s">
        <v>369</v>
      </c>
      <c r="F213" s="84"/>
      <c r="G213" s="101" t="s">
        <v>361</v>
      </c>
      <c r="H213" s="41">
        <f>H214</f>
        <v>3083</v>
      </c>
      <c r="I213" s="41">
        <f>I214</f>
        <v>1279</v>
      </c>
      <c r="J213" s="41">
        <f>J214</f>
        <v>1281.0999999999999</v>
      </c>
    </row>
    <row r="214" spans="1:10" ht="38.25" x14ac:dyDescent="0.2">
      <c r="A214" s="148"/>
      <c r="B214" s="25"/>
      <c r="C214" s="21" t="s">
        <v>96</v>
      </c>
      <c r="D214" s="21" t="s">
        <v>101</v>
      </c>
      <c r="E214" s="51" t="s">
        <v>369</v>
      </c>
      <c r="F214" s="84" t="s">
        <v>214</v>
      </c>
      <c r="G214" s="101" t="s">
        <v>215</v>
      </c>
      <c r="H214" s="163">
        <f>1279+2116-312</f>
        <v>3083</v>
      </c>
      <c r="I214" s="163">
        <v>1279</v>
      </c>
      <c r="J214" s="163">
        <v>1281.0999999999999</v>
      </c>
    </row>
    <row r="215" spans="1:10" ht="25.5" x14ac:dyDescent="0.2">
      <c r="A215" s="1"/>
      <c r="B215" s="25"/>
      <c r="C215" s="30" t="s">
        <v>96</v>
      </c>
      <c r="D215" s="30" t="s">
        <v>124</v>
      </c>
      <c r="E215" s="30"/>
      <c r="F215" s="30"/>
      <c r="G215" s="46" t="s">
        <v>4</v>
      </c>
      <c r="H215" s="40">
        <f>H216+H226+H244</f>
        <v>4129</v>
      </c>
      <c r="I215" s="40">
        <f t="shared" ref="I215:J215" si="76">I216+I226+I244</f>
        <v>2991.4</v>
      </c>
      <c r="J215" s="40">
        <f t="shared" si="76"/>
        <v>1970</v>
      </c>
    </row>
    <row r="216" spans="1:10" ht="89.25" x14ac:dyDescent="0.2">
      <c r="A216" s="1"/>
      <c r="B216" s="25"/>
      <c r="C216" s="16" t="s">
        <v>96</v>
      </c>
      <c r="D216" s="16" t="s">
        <v>124</v>
      </c>
      <c r="E216" s="73" t="s">
        <v>71</v>
      </c>
      <c r="F216" s="16"/>
      <c r="G216" s="186" t="s">
        <v>640</v>
      </c>
      <c r="H216" s="99">
        <f t="shared" ref="H216:J216" si="77">H217</f>
        <v>2022.0000000000002</v>
      </c>
      <c r="I216" s="99">
        <f t="shared" si="77"/>
        <v>200</v>
      </c>
      <c r="J216" s="99">
        <f t="shared" si="77"/>
        <v>200</v>
      </c>
    </row>
    <row r="217" spans="1:10" ht="38.25" x14ac:dyDescent="0.2">
      <c r="A217" s="1"/>
      <c r="B217" s="25"/>
      <c r="C217" s="16" t="s">
        <v>96</v>
      </c>
      <c r="D217" s="16" t="s">
        <v>124</v>
      </c>
      <c r="E217" s="52" t="s">
        <v>165</v>
      </c>
      <c r="F217" s="16"/>
      <c r="G217" s="48" t="s">
        <v>164</v>
      </c>
      <c r="H217" s="96">
        <f>H218+H221</f>
        <v>2022.0000000000002</v>
      </c>
      <c r="I217" s="96">
        <f t="shared" ref="I217:J217" si="78">I218+I221</f>
        <v>200</v>
      </c>
      <c r="J217" s="96">
        <f t="shared" si="78"/>
        <v>200</v>
      </c>
    </row>
    <row r="218" spans="1:10" ht="76.5" x14ac:dyDescent="0.2">
      <c r="A218" s="1"/>
      <c r="B218" s="25"/>
      <c r="C218" s="16" t="s">
        <v>96</v>
      </c>
      <c r="D218" s="16" t="s">
        <v>124</v>
      </c>
      <c r="E218" s="21" t="s">
        <v>251</v>
      </c>
      <c r="F218" s="16"/>
      <c r="G218" s="103" t="s">
        <v>318</v>
      </c>
      <c r="H218" s="41">
        <f t="shared" ref="H218:J219" si="79">H219</f>
        <v>200</v>
      </c>
      <c r="I218" s="41">
        <f t="shared" si="79"/>
        <v>164</v>
      </c>
      <c r="J218" s="41">
        <f t="shared" si="79"/>
        <v>164</v>
      </c>
    </row>
    <row r="219" spans="1:10" ht="51" x14ac:dyDescent="0.2">
      <c r="A219" s="1"/>
      <c r="B219" s="25"/>
      <c r="C219" s="16" t="s">
        <v>96</v>
      </c>
      <c r="D219" s="16" t="s">
        <v>124</v>
      </c>
      <c r="E219" s="21" t="s">
        <v>495</v>
      </c>
      <c r="F219" s="30"/>
      <c r="G219" s="100" t="s">
        <v>166</v>
      </c>
      <c r="H219" s="41">
        <f t="shared" si="79"/>
        <v>200</v>
      </c>
      <c r="I219" s="41">
        <f t="shared" si="79"/>
        <v>164</v>
      </c>
      <c r="J219" s="41">
        <f t="shared" si="79"/>
        <v>164</v>
      </c>
    </row>
    <row r="220" spans="1:10" ht="38.25" x14ac:dyDescent="0.2">
      <c r="A220" s="1"/>
      <c r="B220" s="25"/>
      <c r="C220" s="16" t="s">
        <v>96</v>
      </c>
      <c r="D220" s="16" t="s">
        <v>124</v>
      </c>
      <c r="E220" s="21" t="s">
        <v>495</v>
      </c>
      <c r="F220" s="84" t="s">
        <v>214</v>
      </c>
      <c r="G220" s="101" t="s">
        <v>215</v>
      </c>
      <c r="H220" s="39">
        <v>200</v>
      </c>
      <c r="I220" s="39">
        <v>164</v>
      </c>
      <c r="J220" s="39">
        <v>164</v>
      </c>
    </row>
    <row r="221" spans="1:10" ht="25.5" x14ac:dyDescent="0.2">
      <c r="A221" s="1"/>
      <c r="B221" s="25"/>
      <c r="C221" s="16" t="s">
        <v>96</v>
      </c>
      <c r="D221" s="16" t="s">
        <v>124</v>
      </c>
      <c r="E221" s="21" t="s">
        <v>353</v>
      </c>
      <c r="F221" s="84"/>
      <c r="G221" s="103" t="s">
        <v>349</v>
      </c>
      <c r="H221" s="41">
        <f>H222+H224</f>
        <v>1822.0000000000002</v>
      </c>
      <c r="I221" s="41">
        <f t="shared" ref="I221:J221" si="80">I222+I224</f>
        <v>36</v>
      </c>
      <c r="J221" s="41">
        <f t="shared" si="80"/>
        <v>36</v>
      </c>
    </row>
    <row r="222" spans="1:10" ht="38.25" x14ac:dyDescent="0.2">
      <c r="A222" s="1"/>
      <c r="B222" s="25"/>
      <c r="C222" s="16" t="s">
        <v>96</v>
      </c>
      <c r="D222" s="16" t="s">
        <v>124</v>
      </c>
      <c r="E222" s="84" t="s">
        <v>496</v>
      </c>
      <c r="F222" s="30"/>
      <c r="G222" s="100" t="s">
        <v>169</v>
      </c>
      <c r="H222" s="41">
        <f t="shared" ref="H222:J222" si="81">H223</f>
        <v>22.2</v>
      </c>
      <c r="I222" s="41">
        <f t="shared" si="81"/>
        <v>36</v>
      </c>
      <c r="J222" s="41">
        <f t="shared" si="81"/>
        <v>36</v>
      </c>
    </row>
    <row r="223" spans="1:10" ht="38.25" x14ac:dyDescent="0.2">
      <c r="A223" s="148"/>
      <c r="B223" s="25"/>
      <c r="C223" s="16" t="s">
        <v>96</v>
      </c>
      <c r="D223" s="16" t="s">
        <v>124</v>
      </c>
      <c r="E223" s="84" t="s">
        <v>496</v>
      </c>
      <c r="F223" s="84" t="s">
        <v>214</v>
      </c>
      <c r="G223" s="101" t="s">
        <v>215</v>
      </c>
      <c r="H223" s="41">
        <f>36-13.8</f>
        <v>22.2</v>
      </c>
      <c r="I223" s="41">
        <v>36</v>
      </c>
      <c r="J223" s="41">
        <v>36</v>
      </c>
    </row>
    <row r="224" spans="1:10" ht="38.25" x14ac:dyDescent="0.2">
      <c r="A224" s="148"/>
      <c r="B224" s="25"/>
      <c r="C224" s="16" t="s">
        <v>96</v>
      </c>
      <c r="D224" s="16" t="s">
        <v>124</v>
      </c>
      <c r="E224" s="84" t="s">
        <v>723</v>
      </c>
      <c r="F224" s="84"/>
      <c r="G224" s="101" t="s">
        <v>724</v>
      </c>
      <c r="H224" s="110">
        <f>H225</f>
        <v>1799.8000000000002</v>
      </c>
      <c r="I224" s="41">
        <f t="shared" ref="I224:J224" si="82">I225</f>
        <v>0</v>
      </c>
      <c r="J224" s="41">
        <f t="shared" si="82"/>
        <v>0</v>
      </c>
    </row>
    <row r="225" spans="1:10" ht="38.25" x14ac:dyDescent="0.2">
      <c r="A225" s="148"/>
      <c r="B225" s="25"/>
      <c r="C225" s="16" t="s">
        <v>96</v>
      </c>
      <c r="D225" s="16" t="s">
        <v>124</v>
      </c>
      <c r="E225" s="84" t="s">
        <v>723</v>
      </c>
      <c r="F225" s="84" t="s">
        <v>214</v>
      </c>
      <c r="G225" s="101" t="s">
        <v>215</v>
      </c>
      <c r="H225" s="110">
        <f>1698.4+101.4</f>
        <v>1799.8000000000002</v>
      </c>
      <c r="I225" s="41">
        <v>0</v>
      </c>
      <c r="J225" s="41">
        <v>0</v>
      </c>
    </row>
    <row r="226" spans="1:10" ht="90" customHeight="1" x14ac:dyDescent="0.2">
      <c r="A226" s="1"/>
      <c r="B226" s="25"/>
      <c r="C226" s="5" t="s">
        <v>96</v>
      </c>
      <c r="D226" s="5" t="s">
        <v>124</v>
      </c>
      <c r="E226" s="76">
        <v>400000000</v>
      </c>
      <c r="F226" s="16"/>
      <c r="G226" s="185" t="s">
        <v>639</v>
      </c>
      <c r="H226" s="99">
        <f t="shared" ref="H226:J226" si="83">H227</f>
        <v>1807</v>
      </c>
      <c r="I226" s="99">
        <f t="shared" si="83"/>
        <v>1470</v>
      </c>
      <c r="J226" s="99">
        <f t="shared" si="83"/>
        <v>1470</v>
      </c>
    </row>
    <row r="227" spans="1:10" ht="51" x14ac:dyDescent="0.2">
      <c r="A227" s="1"/>
      <c r="B227" s="25"/>
      <c r="C227" s="47" t="s">
        <v>96</v>
      </c>
      <c r="D227" s="47" t="s">
        <v>124</v>
      </c>
      <c r="E227" s="75">
        <v>410000000</v>
      </c>
      <c r="F227" s="30"/>
      <c r="G227" s="46" t="s">
        <v>497</v>
      </c>
      <c r="H227" s="96">
        <f>H228+H233</f>
        <v>1807</v>
      </c>
      <c r="I227" s="96">
        <f t="shared" ref="I227:J227" si="84">I228+I233</f>
        <v>1470</v>
      </c>
      <c r="J227" s="96">
        <f t="shared" si="84"/>
        <v>1470</v>
      </c>
    </row>
    <row r="228" spans="1:10" ht="51" x14ac:dyDescent="0.2">
      <c r="A228" s="1"/>
      <c r="B228" s="25"/>
      <c r="C228" s="16" t="s">
        <v>96</v>
      </c>
      <c r="D228" s="16" t="s">
        <v>124</v>
      </c>
      <c r="E228" s="74">
        <v>410200000</v>
      </c>
      <c r="F228" s="30"/>
      <c r="G228" s="100" t="s">
        <v>507</v>
      </c>
      <c r="H228" s="39">
        <f>H229+H231</f>
        <v>120</v>
      </c>
      <c r="I228" s="39">
        <f t="shared" ref="I228:J228" si="85">I229+I231</f>
        <v>70</v>
      </c>
      <c r="J228" s="39">
        <f t="shared" si="85"/>
        <v>70</v>
      </c>
    </row>
    <row r="229" spans="1:10" ht="76.5" x14ac:dyDescent="0.2">
      <c r="A229" s="1"/>
      <c r="B229" s="25"/>
      <c r="C229" s="16" t="s">
        <v>96</v>
      </c>
      <c r="D229" s="16" t="s">
        <v>124</v>
      </c>
      <c r="E229" s="167" t="s">
        <v>695</v>
      </c>
      <c r="F229" s="84"/>
      <c r="G229" s="101" t="s">
        <v>504</v>
      </c>
      <c r="H229" s="39">
        <f t="shared" ref="H229:J229" si="86">H230</f>
        <v>100</v>
      </c>
      <c r="I229" s="39">
        <f t="shared" si="86"/>
        <v>50</v>
      </c>
      <c r="J229" s="39">
        <f t="shared" si="86"/>
        <v>50</v>
      </c>
    </row>
    <row r="230" spans="1:10" ht="38.25" x14ac:dyDescent="0.2">
      <c r="A230" s="1"/>
      <c r="B230" s="25"/>
      <c r="C230" s="16" t="s">
        <v>96</v>
      </c>
      <c r="D230" s="16" t="s">
        <v>124</v>
      </c>
      <c r="E230" s="167" t="s">
        <v>695</v>
      </c>
      <c r="F230" s="84" t="s">
        <v>214</v>
      </c>
      <c r="G230" s="101" t="s">
        <v>215</v>
      </c>
      <c r="H230" s="39">
        <f>50+50</f>
        <v>100</v>
      </c>
      <c r="I230" s="39">
        <v>50</v>
      </c>
      <c r="J230" s="39">
        <v>50</v>
      </c>
    </row>
    <row r="231" spans="1:10" ht="25.5" x14ac:dyDescent="0.2">
      <c r="A231" s="1"/>
      <c r="B231" s="25"/>
      <c r="C231" s="16" t="s">
        <v>96</v>
      </c>
      <c r="D231" s="16" t="s">
        <v>124</v>
      </c>
      <c r="E231" s="167" t="s">
        <v>696</v>
      </c>
      <c r="F231" s="84"/>
      <c r="G231" s="101" t="s">
        <v>505</v>
      </c>
      <c r="H231" s="39">
        <f>H232</f>
        <v>20</v>
      </c>
      <c r="I231" s="39">
        <f>I232</f>
        <v>20</v>
      </c>
      <c r="J231" s="39">
        <f>J232</f>
        <v>20</v>
      </c>
    </row>
    <row r="232" spans="1:10" ht="38.25" x14ac:dyDescent="0.2">
      <c r="A232" s="1"/>
      <c r="B232" s="25"/>
      <c r="C232" s="16" t="s">
        <v>96</v>
      </c>
      <c r="D232" s="16" t="s">
        <v>124</v>
      </c>
      <c r="E232" s="167" t="s">
        <v>696</v>
      </c>
      <c r="F232" s="84" t="s">
        <v>214</v>
      </c>
      <c r="G232" s="101" t="s">
        <v>215</v>
      </c>
      <c r="H232" s="39">
        <v>20</v>
      </c>
      <c r="I232" s="39">
        <v>20</v>
      </c>
      <c r="J232" s="39">
        <v>20</v>
      </c>
    </row>
    <row r="233" spans="1:10" ht="52.5" customHeight="1" x14ac:dyDescent="0.2">
      <c r="A233" s="1"/>
      <c r="B233" s="25"/>
      <c r="C233" s="16" t="s">
        <v>96</v>
      </c>
      <c r="D233" s="16" t="s">
        <v>124</v>
      </c>
      <c r="E233" s="167" t="s">
        <v>510</v>
      </c>
      <c r="F233" s="84"/>
      <c r="G233" s="100" t="s">
        <v>508</v>
      </c>
      <c r="H233" s="39">
        <f>H234+H236+H238+H240+H242</f>
        <v>1687</v>
      </c>
      <c r="I233" s="39">
        <f t="shared" ref="I233:J233" si="87">I234+I236+I238+I240+I242</f>
        <v>1400</v>
      </c>
      <c r="J233" s="39">
        <f t="shared" si="87"/>
        <v>1400</v>
      </c>
    </row>
    <row r="234" spans="1:10" ht="51" x14ac:dyDescent="0.2">
      <c r="A234" s="1"/>
      <c r="B234" s="25"/>
      <c r="C234" s="16" t="s">
        <v>96</v>
      </c>
      <c r="D234" s="16" t="s">
        <v>124</v>
      </c>
      <c r="E234" s="167" t="s">
        <v>697</v>
      </c>
      <c r="F234" s="84"/>
      <c r="G234" s="101" t="s">
        <v>509</v>
      </c>
      <c r="H234" s="39">
        <f>H235</f>
        <v>99.4</v>
      </c>
      <c r="I234" s="39">
        <f t="shared" ref="I234:J234" si="88">I235</f>
        <v>100</v>
      </c>
      <c r="J234" s="39">
        <f t="shared" si="88"/>
        <v>100</v>
      </c>
    </row>
    <row r="235" spans="1:10" ht="63.75" x14ac:dyDescent="0.2">
      <c r="A235" s="1"/>
      <c r="B235" s="25"/>
      <c r="C235" s="16" t="s">
        <v>96</v>
      </c>
      <c r="D235" s="16" t="s">
        <v>124</v>
      </c>
      <c r="E235" s="167" t="s">
        <v>697</v>
      </c>
      <c r="F235" s="16" t="s">
        <v>13</v>
      </c>
      <c r="G235" s="101" t="s">
        <v>381</v>
      </c>
      <c r="H235" s="39">
        <f>100-0.6</f>
        <v>99.4</v>
      </c>
      <c r="I235" s="39">
        <v>100</v>
      </c>
      <c r="J235" s="39">
        <v>100</v>
      </c>
    </row>
    <row r="236" spans="1:10" ht="63.75" x14ac:dyDescent="0.2">
      <c r="A236" s="148"/>
      <c r="B236" s="25"/>
      <c r="C236" s="16" t="s">
        <v>96</v>
      </c>
      <c r="D236" s="16" t="s">
        <v>124</v>
      </c>
      <c r="E236" s="167" t="s">
        <v>699</v>
      </c>
      <c r="F236" s="84"/>
      <c r="G236" s="101" t="s">
        <v>511</v>
      </c>
      <c r="H236" s="39">
        <f>H237</f>
        <v>499.5</v>
      </c>
      <c r="I236" s="39">
        <f t="shared" ref="I236:J236" si="89">I237</f>
        <v>500</v>
      </c>
      <c r="J236" s="39">
        <f t="shared" si="89"/>
        <v>500</v>
      </c>
    </row>
    <row r="237" spans="1:10" ht="63.75" x14ac:dyDescent="0.2">
      <c r="A237" s="148"/>
      <c r="B237" s="25"/>
      <c r="C237" s="16" t="s">
        <v>96</v>
      </c>
      <c r="D237" s="16" t="s">
        <v>124</v>
      </c>
      <c r="E237" s="167" t="s">
        <v>699</v>
      </c>
      <c r="F237" s="16" t="s">
        <v>13</v>
      </c>
      <c r="G237" s="101" t="s">
        <v>381</v>
      </c>
      <c r="H237" s="39">
        <f>500-0.5</f>
        <v>499.5</v>
      </c>
      <c r="I237" s="39">
        <v>500</v>
      </c>
      <c r="J237" s="39">
        <v>500</v>
      </c>
    </row>
    <row r="238" spans="1:10" ht="89.25" x14ac:dyDescent="0.2">
      <c r="A238" s="148"/>
      <c r="B238" s="25"/>
      <c r="C238" s="16" t="s">
        <v>96</v>
      </c>
      <c r="D238" s="16" t="s">
        <v>124</v>
      </c>
      <c r="E238" s="167" t="s">
        <v>698</v>
      </c>
      <c r="F238" s="84"/>
      <c r="G238" s="101" t="s">
        <v>512</v>
      </c>
      <c r="H238" s="39">
        <f>H239</f>
        <v>100</v>
      </c>
      <c r="I238" s="39">
        <f t="shared" ref="I238:J238" si="90">I239</f>
        <v>100</v>
      </c>
      <c r="J238" s="39">
        <f t="shared" si="90"/>
        <v>100</v>
      </c>
    </row>
    <row r="239" spans="1:10" ht="63.75" x14ac:dyDescent="0.2">
      <c r="A239" s="148"/>
      <c r="B239" s="25"/>
      <c r="C239" s="16" t="s">
        <v>96</v>
      </c>
      <c r="D239" s="16" t="s">
        <v>124</v>
      </c>
      <c r="E239" s="167" t="s">
        <v>698</v>
      </c>
      <c r="F239" s="16" t="s">
        <v>13</v>
      </c>
      <c r="G239" s="101" t="s">
        <v>381</v>
      </c>
      <c r="H239" s="39">
        <v>100</v>
      </c>
      <c r="I239" s="39">
        <v>100</v>
      </c>
      <c r="J239" s="39">
        <v>100</v>
      </c>
    </row>
    <row r="240" spans="1:10" ht="89.25" x14ac:dyDescent="0.2">
      <c r="A240" s="148"/>
      <c r="B240" s="25"/>
      <c r="C240" s="16" t="s">
        <v>96</v>
      </c>
      <c r="D240" s="16" t="s">
        <v>124</v>
      </c>
      <c r="E240" s="167" t="s">
        <v>700</v>
      </c>
      <c r="F240" s="84"/>
      <c r="G240" s="101" t="s">
        <v>513</v>
      </c>
      <c r="H240" s="39">
        <f>H241</f>
        <v>700</v>
      </c>
      <c r="I240" s="39">
        <f t="shared" ref="I240:J240" si="91">I241</f>
        <v>700</v>
      </c>
      <c r="J240" s="39">
        <f t="shared" si="91"/>
        <v>700</v>
      </c>
    </row>
    <row r="241" spans="1:10" ht="63.75" x14ac:dyDescent="0.2">
      <c r="A241" s="148"/>
      <c r="B241" s="25"/>
      <c r="C241" s="16" t="s">
        <v>96</v>
      </c>
      <c r="D241" s="16" t="s">
        <v>124</v>
      </c>
      <c r="E241" s="167" t="s">
        <v>700</v>
      </c>
      <c r="F241" s="16" t="s">
        <v>13</v>
      </c>
      <c r="G241" s="101" t="s">
        <v>381</v>
      </c>
      <c r="H241" s="39">
        <v>700</v>
      </c>
      <c r="I241" s="39">
        <v>700</v>
      </c>
      <c r="J241" s="39">
        <v>700</v>
      </c>
    </row>
    <row r="242" spans="1:10" ht="76.5" x14ac:dyDescent="0.2">
      <c r="A242" s="148"/>
      <c r="B242" s="25"/>
      <c r="C242" s="16" t="s">
        <v>96</v>
      </c>
      <c r="D242" s="16" t="s">
        <v>124</v>
      </c>
      <c r="E242" s="167" t="s">
        <v>741</v>
      </c>
      <c r="F242" s="16"/>
      <c r="G242" s="101" t="s">
        <v>742</v>
      </c>
      <c r="H242" s="39">
        <f>H243</f>
        <v>288.10000000000002</v>
      </c>
      <c r="I242" s="39">
        <f t="shared" ref="I242:J242" si="92">I243</f>
        <v>0</v>
      </c>
      <c r="J242" s="39">
        <f t="shared" si="92"/>
        <v>0</v>
      </c>
    </row>
    <row r="243" spans="1:10" ht="63.75" x14ac:dyDescent="0.2">
      <c r="A243" s="148"/>
      <c r="B243" s="25"/>
      <c r="C243" s="16" t="s">
        <v>96</v>
      </c>
      <c r="D243" s="16" t="s">
        <v>124</v>
      </c>
      <c r="E243" s="167" t="s">
        <v>741</v>
      </c>
      <c r="F243" s="16" t="s">
        <v>13</v>
      </c>
      <c r="G243" s="101" t="s">
        <v>381</v>
      </c>
      <c r="H243" s="39">
        <f>300-11.9</f>
        <v>288.10000000000002</v>
      </c>
      <c r="I243" s="39">
        <v>0</v>
      </c>
      <c r="J243" s="39">
        <v>0</v>
      </c>
    </row>
    <row r="244" spans="1:10" ht="76.5" x14ac:dyDescent="0.2">
      <c r="A244" s="148"/>
      <c r="B244" s="25"/>
      <c r="C244" s="5" t="s">
        <v>96</v>
      </c>
      <c r="D244" s="5" t="s">
        <v>124</v>
      </c>
      <c r="E244" s="73" t="s">
        <v>148</v>
      </c>
      <c r="F244" s="16"/>
      <c r="G244" s="63" t="s">
        <v>644</v>
      </c>
      <c r="H244" s="99">
        <f t="shared" ref="H244:J244" si="93">H245</f>
        <v>300</v>
      </c>
      <c r="I244" s="99">
        <f t="shared" si="93"/>
        <v>1321.4</v>
      </c>
      <c r="J244" s="99">
        <f t="shared" si="93"/>
        <v>300</v>
      </c>
    </row>
    <row r="245" spans="1:10" ht="63.75" x14ac:dyDescent="0.2">
      <c r="A245" s="148"/>
      <c r="B245" s="25"/>
      <c r="C245" s="47" t="s">
        <v>96</v>
      </c>
      <c r="D245" s="47" t="s">
        <v>124</v>
      </c>
      <c r="E245" s="52" t="s">
        <v>149</v>
      </c>
      <c r="F245" s="16"/>
      <c r="G245" s="48" t="s">
        <v>546</v>
      </c>
      <c r="H245" s="96">
        <f>H246</f>
        <v>300</v>
      </c>
      <c r="I245" s="96">
        <f>I246</f>
        <v>1321.4</v>
      </c>
      <c r="J245" s="96">
        <f>J246</f>
        <v>300</v>
      </c>
    </row>
    <row r="246" spans="1:10" ht="89.25" x14ac:dyDescent="0.2">
      <c r="A246" s="148"/>
      <c r="B246" s="25"/>
      <c r="C246" s="16" t="s">
        <v>96</v>
      </c>
      <c r="D246" s="16" t="s">
        <v>124</v>
      </c>
      <c r="E246" s="21" t="s">
        <v>213</v>
      </c>
      <c r="F246" s="16"/>
      <c r="G246" s="103" t="s">
        <v>547</v>
      </c>
      <c r="H246" s="102">
        <f>H247+H249+H251+H253</f>
        <v>300</v>
      </c>
      <c r="I246" s="102">
        <f>I247+I249+I251+I253</f>
        <v>1321.4</v>
      </c>
      <c r="J246" s="102">
        <f t="shared" ref="J246" si="94">J247+J249+J251+J253</f>
        <v>300</v>
      </c>
    </row>
    <row r="247" spans="1:10" ht="51" x14ac:dyDescent="0.2">
      <c r="A247" s="148"/>
      <c r="B247" s="25"/>
      <c r="C247" s="16" t="s">
        <v>96</v>
      </c>
      <c r="D247" s="16" t="s">
        <v>124</v>
      </c>
      <c r="E247" s="170" t="s">
        <v>548</v>
      </c>
      <c r="F247" s="16"/>
      <c r="G247" s="103" t="s">
        <v>664</v>
      </c>
      <c r="H247" s="39">
        <f>H248</f>
        <v>300</v>
      </c>
      <c r="I247" s="39">
        <f>I248</f>
        <v>0</v>
      </c>
      <c r="J247" s="39">
        <f>J248</f>
        <v>0</v>
      </c>
    </row>
    <row r="248" spans="1:10" ht="38.25" x14ac:dyDescent="0.2">
      <c r="A248" s="148"/>
      <c r="B248" s="25"/>
      <c r="C248" s="16" t="s">
        <v>96</v>
      </c>
      <c r="D248" s="16" t="s">
        <v>124</v>
      </c>
      <c r="E248" s="170" t="s">
        <v>548</v>
      </c>
      <c r="F248" s="84" t="s">
        <v>214</v>
      </c>
      <c r="G248" s="101" t="s">
        <v>215</v>
      </c>
      <c r="H248" s="39">
        <v>300</v>
      </c>
      <c r="I248" s="39">
        <v>0</v>
      </c>
      <c r="J248" s="39">
        <v>0</v>
      </c>
    </row>
    <row r="249" spans="1:10" ht="76.5" x14ac:dyDescent="0.2">
      <c r="A249" s="148"/>
      <c r="B249" s="25"/>
      <c r="C249" s="16" t="s">
        <v>96</v>
      </c>
      <c r="D249" s="16" t="s">
        <v>124</v>
      </c>
      <c r="E249" s="74">
        <v>810123102</v>
      </c>
      <c r="F249" s="16"/>
      <c r="G249" s="103" t="s">
        <v>549</v>
      </c>
      <c r="H249" s="39">
        <f>H250</f>
        <v>0</v>
      </c>
      <c r="I249" s="39">
        <f>I250</f>
        <v>591</v>
      </c>
      <c r="J249" s="39">
        <f>J250</f>
        <v>0</v>
      </c>
    </row>
    <row r="250" spans="1:10" ht="38.25" x14ac:dyDescent="0.2">
      <c r="A250" s="148"/>
      <c r="B250" s="25"/>
      <c r="C250" s="16" t="s">
        <v>96</v>
      </c>
      <c r="D250" s="16" t="s">
        <v>124</v>
      </c>
      <c r="E250" s="74">
        <v>810123102</v>
      </c>
      <c r="F250" s="84" t="s">
        <v>214</v>
      </c>
      <c r="G250" s="101" t="s">
        <v>215</v>
      </c>
      <c r="H250" s="39">
        <v>0</v>
      </c>
      <c r="I250" s="39">
        <v>591</v>
      </c>
      <c r="J250" s="39">
        <v>0</v>
      </c>
    </row>
    <row r="251" spans="1:10" ht="76.5" x14ac:dyDescent="0.2">
      <c r="A251" s="148"/>
      <c r="B251" s="25"/>
      <c r="C251" s="16" t="s">
        <v>96</v>
      </c>
      <c r="D251" s="16" t="s">
        <v>124</v>
      </c>
      <c r="E251" s="74">
        <v>810123103</v>
      </c>
      <c r="F251" s="84"/>
      <c r="G251" s="101" t="s">
        <v>550</v>
      </c>
      <c r="H251" s="39">
        <f t="shared" ref="H251:J251" si="95">H252</f>
        <v>0</v>
      </c>
      <c r="I251" s="39">
        <f t="shared" si="95"/>
        <v>435</v>
      </c>
      <c r="J251" s="39">
        <f t="shared" si="95"/>
        <v>0</v>
      </c>
    </row>
    <row r="252" spans="1:10" ht="38.25" x14ac:dyDescent="0.2">
      <c r="A252" s="148"/>
      <c r="B252" s="25"/>
      <c r="C252" s="16" t="s">
        <v>96</v>
      </c>
      <c r="D252" s="16" t="s">
        <v>124</v>
      </c>
      <c r="E252" s="74">
        <v>810123103</v>
      </c>
      <c r="F252" s="84" t="s">
        <v>214</v>
      </c>
      <c r="G252" s="101" t="s">
        <v>215</v>
      </c>
      <c r="H252" s="39">
        <v>0</v>
      </c>
      <c r="I252" s="39">
        <v>435</v>
      </c>
      <c r="J252" s="39"/>
    </row>
    <row r="253" spans="1:10" ht="89.25" x14ac:dyDescent="0.2">
      <c r="A253" s="148"/>
      <c r="B253" s="25"/>
      <c r="C253" s="16" t="s">
        <v>96</v>
      </c>
      <c r="D253" s="16" t="s">
        <v>124</v>
      </c>
      <c r="E253" s="74">
        <v>810123104</v>
      </c>
      <c r="F253" s="84"/>
      <c r="G253" s="101" t="s">
        <v>551</v>
      </c>
      <c r="H253" s="39">
        <f>H254</f>
        <v>0</v>
      </c>
      <c r="I253" s="39">
        <f t="shared" ref="I253:J253" si="96">I254</f>
        <v>295.39999999999998</v>
      </c>
      <c r="J253" s="39">
        <f t="shared" si="96"/>
        <v>300</v>
      </c>
    </row>
    <row r="254" spans="1:10" ht="38.25" x14ac:dyDescent="0.2">
      <c r="A254" s="148"/>
      <c r="B254" s="25"/>
      <c r="C254" s="16" t="s">
        <v>96</v>
      </c>
      <c r="D254" s="16" t="s">
        <v>124</v>
      </c>
      <c r="E254" s="74">
        <v>810123104</v>
      </c>
      <c r="F254" s="84" t="s">
        <v>214</v>
      </c>
      <c r="G254" s="101" t="s">
        <v>215</v>
      </c>
      <c r="H254" s="39">
        <v>0</v>
      </c>
      <c r="I254" s="39">
        <v>295.39999999999998</v>
      </c>
      <c r="J254" s="39">
        <v>300</v>
      </c>
    </row>
    <row r="255" spans="1:10" ht="30" x14ac:dyDescent="0.25">
      <c r="A255" s="1"/>
      <c r="B255" s="25"/>
      <c r="C255" s="4" t="s">
        <v>97</v>
      </c>
      <c r="D255" s="3"/>
      <c r="E255" s="3"/>
      <c r="F255" s="3"/>
      <c r="G255" s="49" t="s">
        <v>49</v>
      </c>
      <c r="H255" s="95">
        <f>H256+H294+H329+H437</f>
        <v>128427</v>
      </c>
      <c r="I255" s="95">
        <f>I256+I294+I329+I437</f>
        <v>57137.599999999999</v>
      </c>
      <c r="J255" s="95">
        <f>J256+J294+J329+J437</f>
        <v>31793.7</v>
      </c>
    </row>
    <row r="256" spans="1:10" ht="14.25" x14ac:dyDescent="0.2">
      <c r="A256" s="1"/>
      <c r="B256" s="25"/>
      <c r="C256" s="30" t="s">
        <v>97</v>
      </c>
      <c r="D256" s="30" t="s">
        <v>90</v>
      </c>
      <c r="E256" s="30"/>
      <c r="F256" s="30"/>
      <c r="G256" s="27" t="s">
        <v>44</v>
      </c>
      <c r="H256" s="40">
        <f>H257+H288</f>
        <v>9541.1</v>
      </c>
      <c r="I256" s="40">
        <f t="shared" ref="I256:J256" si="97">I257+I288</f>
        <v>7017.8</v>
      </c>
      <c r="J256" s="40">
        <f t="shared" si="97"/>
        <v>6087.7999999999993</v>
      </c>
    </row>
    <row r="257" spans="1:10" ht="76.5" x14ac:dyDescent="0.2">
      <c r="A257" s="1"/>
      <c r="B257" s="25"/>
      <c r="C257" s="5" t="s">
        <v>97</v>
      </c>
      <c r="D257" s="5" t="s">
        <v>90</v>
      </c>
      <c r="E257" s="73" t="s">
        <v>156</v>
      </c>
      <c r="F257" s="16"/>
      <c r="G257" s="185" t="s">
        <v>638</v>
      </c>
      <c r="H257" s="99">
        <f>H258+H266+H281</f>
        <v>6584.4</v>
      </c>
      <c r="I257" s="99">
        <f t="shared" ref="I257:J257" si="98">I258+I266+I281</f>
        <v>7017.8</v>
      </c>
      <c r="J257" s="99">
        <f t="shared" si="98"/>
        <v>6087.7999999999993</v>
      </c>
    </row>
    <row r="258" spans="1:10" ht="38.25" x14ac:dyDescent="0.2">
      <c r="A258" s="1"/>
      <c r="B258" s="25"/>
      <c r="C258" s="47" t="s">
        <v>97</v>
      </c>
      <c r="D258" s="47" t="s">
        <v>90</v>
      </c>
      <c r="E258" s="52" t="s">
        <v>152</v>
      </c>
      <c r="F258" s="16"/>
      <c r="G258" s="48" t="s">
        <v>304</v>
      </c>
      <c r="H258" s="96">
        <f>H259+H263</f>
        <v>1702.4999999999998</v>
      </c>
      <c r="I258" s="96">
        <f t="shared" ref="I258:J258" si="99">I259+I263</f>
        <v>950</v>
      </c>
      <c r="J258" s="96">
        <f t="shared" si="99"/>
        <v>950</v>
      </c>
    </row>
    <row r="259" spans="1:10" ht="38.25" x14ac:dyDescent="0.2">
      <c r="A259" s="1"/>
      <c r="B259" s="25"/>
      <c r="C259" s="84" t="s">
        <v>97</v>
      </c>
      <c r="D259" s="84" t="s">
        <v>90</v>
      </c>
      <c r="E259" s="21" t="s">
        <v>268</v>
      </c>
      <c r="F259" s="16"/>
      <c r="G259" s="103" t="s">
        <v>270</v>
      </c>
      <c r="H259" s="96">
        <f>H260</f>
        <v>1151.6999999999998</v>
      </c>
      <c r="I259" s="96">
        <f>I260</f>
        <v>150</v>
      </c>
      <c r="J259" s="96">
        <f>J260</f>
        <v>150</v>
      </c>
    </row>
    <row r="260" spans="1:10" ht="51" x14ac:dyDescent="0.25">
      <c r="A260" s="1"/>
      <c r="B260" s="25"/>
      <c r="C260" s="16" t="s">
        <v>97</v>
      </c>
      <c r="D260" s="16" t="s">
        <v>90</v>
      </c>
      <c r="E260" s="169" t="s">
        <v>520</v>
      </c>
      <c r="F260" s="3"/>
      <c r="G260" s="101" t="s">
        <v>269</v>
      </c>
      <c r="H260" s="41">
        <f>SUM(H261:H262)</f>
        <v>1151.6999999999998</v>
      </c>
      <c r="I260" s="41">
        <f t="shared" ref="I260:J260" si="100">SUM(I261:I262)</f>
        <v>150</v>
      </c>
      <c r="J260" s="41">
        <f t="shared" si="100"/>
        <v>150</v>
      </c>
    </row>
    <row r="261" spans="1:10" ht="38.25" x14ac:dyDescent="0.2">
      <c r="A261" s="1"/>
      <c r="B261" s="25"/>
      <c r="C261" s="16" t="s">
        <v>97</v>
      </c>
      <c r="D261" s="16" t="s">
        <v>90</v>
      </c>
      <c r="E261" s="169" t="s">
        <v>520</v>
      </c>
      <c r="F261" s="84" t="s">
        <v>214</v>
      </c>
      <c r="G261" s="101" t="s">
        <v>215</v>
      </c>
      <c r="H261" s="41">
        <f>150+892.1-4-2+11.6+155.2-4.8-53.4</f>
        <v>1144.6999999999998</v>
      </c>
      <c r="I261" s="41">
        <v>150</v>
      </c>
      <c r="J261" s="41">
        <v>150</v>
      </c>
    </row>
    <row r="262" spans="1:10" x14ac:dyDescent="0.2">
      <c r="A262" s="148"/>
      <c r="B262" s="25"/>
      <c r="C262" s="16" t="s">
        <v>97</v>
      </c>
      <c r="D262" s="16" t="s">
        <v>90</v>
      </c>
      <c r="E262" s="169" t="s">
        <v>520</v>
      </c>
      <c r="F262" s="84" t="s">
        <v>693</v>
      </c>
      <c r="G262" s="101" t="s">
        <v>694</v>
      </c>
      <c r="H262" s="41">
        <f>4+2+1</f>
        <v>7</v>
      </c>
      <c r="I262" s="41">
        <v>0</v>
      </c>
      <c r="J262" s="41">
        <v>0</v>
      </c>
    </row>
    <row r="263" spans="1:10" ht="38.25" x14ac:dyDescent="0.2">
      <c r="A263" s="1"/>
      <c r="B263" s="25"/>
      <c r="C263" s="16" t="s">
        <v>97</v>
      </c>
      <c r="D263" s="16" t="s">
        <v>90</v>
      </c>
      <c r="E263" s="21" t="s">
        <v>305</v>
      </c>
      <c r="F263" s="16"/>
      <c r="G263" s="103" t="s">
        <v>271</v>
      </c>
      <c r="H263" s="96">
        <f t="shared" ref="H263:J264" si="101">H264</f>
        <v>550.79999999999995</v>
      </c>
      <c r="I263" s="96">
        <f t="shared" si="101"/>
        <v>800</v>
      </c>
      <c r="J263" s="96">
        <f t="shared" si="101"/>
        <v>800</v>
      </c>
    </row>
    <row r="264" spans="1:10" ht="25.5" x14ac:dyDescent="0.25">
      <c r="A264" s="1"/>
      <c r="B264" s="25"/>
      <c r="C264" s="16" t="s">
        <v>97</v>
      </c>
      <c r="D264" s="16" t="s">
        <v>90</v>
      </c>
      <c r="E264" s="21" t="s">
        <v>521</v>
      </c>
      <c r="F264" s="3"/>
      <c r="G264" s="101" t="s">
        <v>347</v>
      </c>
      <c r="H264" s="41">
        <f t="shared" si="101"/>
        <v>550.79999999999995</v>
      </c>
      <c r="I264" s="41">
        <f t="shared" si="101"/>
        <v>800</v>
      </c>
      <c r="J264" s="41">
        <f t="shared" si="101"/>
        <v>800</v>
      </c>
    </row>
    <row r="265" spans="1:10" ht="38.25" x14ac:dyDescent="0.2">
      <c r="A265" s="1"/>
      <c r="B265" s="25"/>
      <c r="C265" s="16" t="s">
        <v>97</v>
      </c>
      <c r="D265" s="16" t="s">
        <v>90</v>
      </c>
      <c r="E265" s="21" t="s">
        <v>521</v>
      </c>
      <c r="F265" s="84" t="s">
        <v>214</v>
      </c>
      <c r="G265" s="101" t="s">
        <v>215</v>
      </c>
      <c r="H265" s="39">
        <f>697.9+8.1-155.2</f>
        <v>550.79999999999995</v>
      </c>
      <c r="I265" s="39">
        <v>800</v>
      </c>
      <c r="J265" s="39">
        <v>800</v>
      </c>
    </row>
    <row r="266" spans="1:10" ht="38.25" x14ac:dyDescent="0.2">
      <c r="A266" s="1"/>
      <c r="B266" s="25"/>
      <c r="C266" s="47" t="s">
        <v>97</v>
      </c>
      <c r="D266" s="47" t="s">
        <v>90</v>
      </c>
      <c r="E266" s="52" t="s">
        <v>153</v>
      </c>
      <c r="F266" s="16"/>
      <c r="G266" s="48" t="s">
        <v>150</v>
      </c>
      <c r="H266" s="96">
        <f>H267+H274</f>
        <v>1262.9000000000001</v>
      </c>
      <c r="I266" s="96">
        <f t="shared" ref="I266:J266" si="102">I267+I274</f>
        <v>2180</v>
      </c>
      <c r="J266" s="96">
        <f t="shared" si="102"/>
        <v>2223.6999999999998</v>
      </c>
    </row>
    <row r="267" spans="1:10" ht="25.5" x14ac:dyDescent="0.2">
      <c r="A267" s="1"/>
      <c r="B267" s="25"/>
      <c r="C267" s="16" t="s">
        <v>97</v>
      </c>
      <c r="D267" s="16" t="s">
        <v>90</v>
      </c>
      <c r="E267" s="21" t="s">
        <v>272</v>
      </c>
      <c r="F267" s="84"/>
      <c r="G267" s="103" t="s">
        <v>273</v>
      </c>
      <c r="H267" s="96">
        <f>H268+H270+H272</f>
        <v>200</v>
      </c>
      <c r="I267" s="96">
        <f t="shared" ref="I267:J267" si="103">I268+I270+I272</f>
        <v>270</v>
      </c>
      <c r="J267" s="96">
        <f t="shared" si="103"/>
        <v>160</v>
      </c>
    </row>
    <row r="268" spans="1:10" ht="127.5" x14ac:dyDescent="0.25">
      <c r="A268" s="148"/>
      <c r="B268" s="25"/>
      <c r="C268" s="16" t="s">
        <v>97</v>
      </c>
      <c r="D268" s="16" t="s">
        <v>90</v>
      </c>
      <c r="E268" s="80">
        <v>520123261</v>
      </c>
      <c r="F268" s="3"/>
      <c r="G268" s="101" t="s">
        <v>274</v>
      </c>
      <c r="H268" s="41">
        <f>H269</f>
        <v>0</v>
      </c>
      <c r="I268" s="41">
        <f>I269</f>
        <v>100</v>
      </c>
      <c r="J268" s="41">
        <f>J269</f>
        <v>0</v>
      </c>
    </row>
    <row r="269" spans="1:10" ht="38.25" x14ac:dyDescent="0.2">
      <c r="A269" s="148"/>
      <c r="B269" s="25"/>
      <c r="C269" s="16" t="s">
        <v>97</v>
      </c>
      <c r="D269" s="16" t="s">
        <v>90</v>
      </c>
      <c r="E269" s="80">
        <v>520123261</v>
      </c>
      <c r="F269" s="84" t="s">
        <v>214</v>
      </c>
      <c r="G269" s="101" t="s">
        <v>215</v>
      </c>
      <c r="H269" s="41">
        <v>0</v>
      </c>
      <c r="I269" s="41">
        <v>100</v>
      </c>
      <c r="J269" s="41">
        <v>0</v>
      </c>
    </row>
    <row r="270" spans="1:10" ht="51" x14ac:dyDescent="0.2">
      <c r="A270" s="148"/>
      <c r="B270" s="25"/>
      <c r="C270" s="16" t="s">
        <v>97</v>
      </c>
      <c r="D270" s="16" t="s">
        <v>90</v>
      </c>
      <c r="E270" s="80">
        <v>520123262</v>
      </c>
      <c r="F270" s="16"/>
      <c r="G270" s="101" t="s">
        <v>306</v>
      </c>
      <c r="H270" s="41">
        <f>H271</f>
        <v>0</v>
      </c>
      <c r="I270" s="41">
        <f>I271</f>
        <v>20</v>
      </c>
      <c r="J270" s="41">
        <f>J271</f>
        <v>0</v>
      </c>
    </row>
    <row r="271" spans="1:10" ht="38.25" x14ac:dyDescent="0.2">
      <c r="A271" s="148"/>
      <c r="B271" s="25"/>
      <c r="C271" s="16" t="s">
        <v>97</v>
      </c>
      <c r="D271" s="16" t="s">
        <v>90</v>
      </c>
      <c r="E271" s="80">
        <v>520123262</v>
      </c>
      <c r="F271" s="84" t="s">
        <v>214</v>
      </c>
      <c r="G271" s="101" t="s">
        <v>215</v>
      </c>
      <c r="H271" s="41">
        <v>0</v>
      </c>
      <c r="I271" s="41">
        <v>20</v>
      </c>
      <c r="J271" s="41">
        <v>0</v>
      </c>
    </row>
    <row r="272" spans="1:10" ht="25.5" x14ac:dyDescent="0.2">
      <c r="A272" s="1"/>
      <c r="B272" s="25"/>
      <c r="C272" s="16" t="s">
        <v>97</v>
      </c>
      <c r="D272" s="16" t="s">
        <v>90</v>
      </c>
      <c r="E272" s="169" t="s">
        <v>522</v>
      </c>
      <c r="F272" s="84"/>
      <c r="G272" s="101" t="s">
        <v>523</v>
      </c>
      <c r="H272" s="41">
        <f>H273</f>
        <v>200</v>
      </c>
      <c r="I272" s="41">
        <f t="shared" ref="I272:J272" si="104">I273</f>
        <v>150</v>
      </c>
      <c r="J272" s="41">
        <f t="shared" si="104"/>
        <v>160</v>
      </c>
    </row>
    <row r="273" spans="1:10" ht="38.25" x14ac:dyDescent="0.2">
      <c r="A273" s="1"/>
      <c r="B273" s="25"/>
      <c r="C273" s="16" t="s">
        <v>97</v>
      </c>
      <c r="D273" s="16" t="s">
        <v>90</v>
      </c>
      <c r="E273" s="169" t="s">
        <v>522</v>
      </c>
      <c r="F273" s="84" t="s">
        <v>214</v>
      </c>
      <c r="G273" s="101" t="s">
        <v>215</v>
      </c>
      <c r="H273" s="41">
        <f>400-200</f>
        <v>200</v>
      </c>
      <c r="I273" s="41">
        <v>150</v>
      </c>
      <c r="J273" s="41">
        <v>160</v>
      </c>
    </row>
    <row r="274" spans="1:10" ht="25.5" x14ac:dyDescent="0.2">
      <c r="A274" s="1"/>
      <c r="B274" s="25"/>
      <c r="C274" s="16" t="s">
        <v>97</v>
      </c>
      <c r="D274" s="16" t="s">
        <v>90</v>
      </c>
      <c r="E274" s="21" t="s">
        <v>275</v>
      </c>
      <c r="F274" s="84"/>
      <c r="G274" s="103" t="s">
        <v>524</v>
      </c>
      <c r="H274" s="41">
        <f>H275+H277+H279</f>
        <v>1062.9000000000001</v>
      </c>
      <c r="I274" s="41">
        <f t="shared" ref="I274:J274" si="105">I275+I277+I279</f>
        <v>1910</v>
      </c>
      <c r="J274" s="41">
        <f t="shared" si="105"/>
        <v>2063.6999999999998</v>
      </c>
    </row>
    <row r="275" spans="1:10" ht="53.25" customHeight="1" x14ac:dyDescent="0.2">
      <c r="A275" s="1"/>
      <c r="B275" s="25"/>
      <c r="C275" s="16" t="s">
        <v>97</v>
      </c>
      <c r="D275" s="16" t="s">
        <v>90</v>
      </c>
      <c r="E275" s="80">
        <v>520223264</v>
      </c>
      <c r="F275" s="84"/>
      <c r="G275" s="101" t="s">
        <v>525</v>
      </c>
      <c r="H275" s="41">
        <f>H276</f>
        <v>0</v>
      </c>
      <c r="I275" s="41">
        <f t="shared" ref="I275:J275" si="106">I276</f>
        <v>490</v>
      </c>
      <c r="J275" s="41">
        <f t="shared" si="106"/>
        <v>600</v>
      </c>
    </row>
    <row r="276" spans="1:10" x14ac:dyDescent="0.2">
      <c r="A276" s="1"/>
      <c r="B276" s="25"/>
      <c r="C276" s="16" t="s">
        <v>97</v>
      </c>
      <c r="D276" s="16" t="s">
        <v>90</v>
      </c>
      <c r="E276" s="80">
        <v>520223264</v>
      </c>
      <c r="F276" s="84" t="s">
        <v>133</v>
      </c>
      <c r="G276" s="101" t="s">
        <v>134</v>
      </c>
      <c r="H276" s="41">
        <v>0</v>
      </c>
      <c r="I276" s="41">
        <v>490</v>
      </c>
      <c r="J276" s="41">
        <v>600</v>
      </c>
    </row>
    <row r="277" spans="1:10" ht="63.75" x14ac:dyDescent="0.2">
      <c r="A277" s="1"/>
      <c r="B277" s="25"/>
      <c r="C277" s="16" t="s">
        <v>97</v>
      </c>
      <c r="D277" s="16" t="s">
        <v>90</v>
      </c>
      <c r="E277" s="80">
        <v>520223265</v>
      </c>
      <c r="F277" s="84"/>
      <c r="G277" s="101" t="s">
        <v>526</v>
      </c>
      <c r="H277" s="41">
        <f>H278</f>
        <v>1062.9000000000001</v>
      </c>
      <c r="I277" s="41">
        <f t="shared" ref="I277:J277" si="107">I278</f>
        <v>1220</v>
      </c>
      <c r="J277" s="41">
        <f t="shared" si="107"/>
        <v>1463.7</v>
      </c>
    </row>
    <row r="278" spans="1:10" x14ac:dyDescent="0.2">
      <c r="A278" s="1"/>
      <c r="B278" s="25"/>
      <c r="C278" s="16" t="s">
        <v>97</v>
      </c>
      <c r="D278" s="16" t="s">
        <v>90</v>
      </c>
      <c r="E278" s="80">
        <v>520223265</v>
      </c>
      <c r="F278" s="112" t="s">
        <v>253</v>
      </c>
      <c r="G278" s="109" t="s">
        <v>277</v>
      </c>
      <c r="H278" s="41">
        <v>1062.9000000000001</v>
      </c>
      <c r="I278" s="41">
        <v>1220</v>
      </c>
      <c r="J278" s="41">
        <v>1463.7</v>
      </c>
    </row>
    <row r="279" spans="1:10" ht="42" customHeight="1" x14ac:dyDescent="0.2">
      <c r="A279" s="1"/>
      <c r="B279" s="25"/>
      <c r="C279" s="16" t="s">
        <v>97</v>
      </c>
      <c r="D279" s="16" t="s">
        <v>90</v>
      </c>
      <c r="E279" s="21" t="s">
        <v>527</v>
      </c>
      <c r="F279" s="84"/>
      <c r="G279" s="103" t="s">
        <v>278</v>
      </c>
      <c r="H279" s="41">
        <f>H280</f>
        <v>0</v>
      </c>
      <c r="I279" s="41">
        <f>I280</f>
        <v>200</v>
      </c>
      <c r="J279" s="41">
        <f>J280</f>
        <v>0</v>
      </c>
    </row>
    <row r="280" spans="1:10" ht="38.25" x14ac:dyDescent="0.2">
      <c r="A280" s="1"/>
      <c r="B280" s="25"/>
      <c r="C280" s="16" t="s">
        <v>97</v>
      </c>
      <c r="D280" s="16" t="s">
        <v>90</v>
      </c>
      <c r="E280" s="21" t="s">
        <v>527</v>
      </c>
      <c r="F280" s="84" t="s">
        <v>214</v>
      </c>
      <c r="G280" s="101" t="s">
        <v>215</v>
      </c>
      <c r="H280" s="110">
        <v>0</v>
      </c>
      <c r="I280" s="111">
        <v>200</v>
      </c>
      <c r="J280" s="111">
        <v>0</v>
      </c>
    </row>
    <row r="281" spans="1:10" ht="66" customHeight="1" x14ac:dyDescent="0.2">
      <c r="A281" s="1"/>
      <c r="B281" s="25"/>
      <c r="C281" s="16" t="s">
        <v>97</v>
      </c>
      <c r="D281" s="16" t="s">
        <v>90</v>
      </c>
      <c r="E281" s="52" t="s">
        <v>154</v>
      </c>
      <c r="F281" s="16"/>
      <c r="G281" s="48" t="s">
        <v>151</v>
      </c>
      <c r="H281" s="96">
        <f>H282+H285</f>
        <v>3619</v>
      </c>
      <c r="I281" s="96">
        <f>I282+I285</f>
        <v>3887.8</v>
      </c>
      <c r="J281" s="96">
        <f>J282+J285</f>
        <v>2914.1</v>
      </c>
    </row>
    <row r="282" spans="1:10" ht="76.5" x14ac:dyDescent="0.2">
      <c r="A282" s="1"/>
      <c r="B282" s="25"/>
      <c r="C282" s="16" t="s">
        <v>97</v>
      </c>
      <c r="D282" s="16" t="s">
        <v>90</v>
      </c>
      <c r="E282" s="21" t="s">
        <v>279</v>
      </c>
      <c r="F282" s="84"/>
      <c r="G282" s="103" t="s">
        <v>319</v>
      </c>
      <c r="H282" s="102">
        <f t="shared" ref="H282:J283" si="108">H283</f>
        <v>1635.7</v>
      </c>
      <c r="I282" s="102">
        <f t="shared" si="108"/>
        <v>1487.8</v>
      </c>
      <c r="J282" s="102">
        <f t="shared" si="108"/>
        <v>1487.8</v>
      </c>
    </row>
    <row r="283" spans="1:10" ht="63.75" x14ac:dyDescent="0.2">
      <c r="A283" s="1"/>
      <c r="B283" s="25"/>
      <c r="C283" s="84" t="s">
        <v>97</v>
      </c>
      <c r="D283" s="84" t="s">
        <v>90</v>
      </c>
      <c r="E283" s="80">
        <v>530123271</v>
      </c>
      <c r="F283" s="16"/>
      <c r="G283" s="101" t="s">
        <v>155</v>
      </c>
      <c r="H283" s="41">
        <f t="shared" si="108"/>
        <v>1635.7</v>
      </c>
      <c r="I283" s="41">
        <f t="shared" si="108"/>
        <v>1487.8</v>
      </c>
      <c r="J283" s="41">
        <f t="shared" si="108"/>
        <v>1487.8</v>
      </c>
    </row>
    <row r="284" spans="1:10" ht="38.25" x14ac:dyDescent="0.2">
      <c r="A284" s="1"/>
      <c r="B284" s="25"/>
      <c r="C284" s="16" t="s">
        <v>97</v>
      </c>
      <c r="D284" s="16" t="s">
        <v>90</v>
      </c>
      <c r="E284" s="80">
        <v>530123271</v>
      </c>
      <c r="F284" s="84" t="s">
        <v>214</v>
      </c>
      <c r="G284" s="101" t="s">
        <v>215</v>
      </c>
      <c r="H284" s="148">
        <v>1635.7</v>
      </c>
      <c r="I284" s="148">
        <v>1487.8</v>
      </c>
      <c r="J284" s="148">
        <v>1487.8</v>
      </c>
    </row>
    <row r="285" spans="1:10" ht="51" x14ac:dyDescent="0.2">
      <c r="A285" s="1"/>
      <c r="B285" s="25"/>
      <c r="C285" s="16" t="s">
        <v>97</v>
      </c>
      <c r="D285" s="16" t="s">
        <v>90</v>
      </c>
      <c r="E285" s="21" t="s">
        <v>280</v>
      </c>
      <c r="F285" s="16"/>
      <c r="G285" s="103" t="s">
        <v>528</v>
      </c>
      <c r="H285" s="41">
        <f t="shared" ref="H285:J286" si="109">H286</f>
        <v>1983.3</v>
      </c>
      <c r="I285" s="41">
        <f t="shared" si="109"/>
        <v>2400</v>
      </c>
      <c r="J285" s="41">
        <f t="shared" si="109"/>
        <v>1426.3</v>
      </c>
    </row>
    <row r="286" spans="1:10" ht="51" x14ac:dyDescent="0.2">
      <c r="A286" s="1"/>
      <c r="B286" s="25"/>
      <c r="C286" s="16" t="s">
        <v>97</v>
      </c>
      <c r="D286" s="16" t="s">
        <v>90</v>
      </c>
      <c r="E286" s="80">
        <v>530223272</v>
      </c>
      <c r="F286" s="16"/>
      <c r="G286" s="101" t="s">
        <v>529</v>
      </c>
      <c r="H286" s="41">
        <f t="shared" si="109"/>
        <v>1983.3</v>
      </c>
      <c r="I286" s="41">
        <f t="shared" si="109"/>
        <v>2400</v>
      </c>
      <c r="J286" s="41">
        <f t="shared" si="109"/>
        <v>1426.3</v>
      </c>
    </row>
    <row r="287" spans="1:10" ht="38.25" x14ac:dyDescent="0.2">
      <c r="A287" s="1"/>
      <c r="B287" s="25"/>
      <c r="C287" s="16" t="s">
        <v>97</v>
      </c>
      <c r="D287" s="16" t="s">
        <v>90</v>
      </c>
      <c r="E287" s="80">
        <v>530223272</v>
      </c>
      <c r="F287" s="84" t="s">
        <v>214</v>
      </c>
      <c r="G287" s="101" t="s">
        <v>215</v>
      </c>
      <c r="H287" s="41">
        <f>2400-416.7</f>
        <v>1983.3</v>
      </c>
      <c r="I287" s="41">
        <v>2400</v>
      </c>
      <c r="J287" s="41">
        <v>1426.3</v>
      </c>
    </row>
    <row r="288" spans="1:10" ht="127.5" x14ac:dyDescent="0.2">
      <c r="A288" s="148"/>
      <c r="B288" s="25"/>
      <c r="C288" s="5" t="s">
        <v>97</v>
      </c>
      <c r="D288" s="5" t="s">
        <v>90</v>
      </c>
      <c r="E288" s="73" t="s">
        <v>598</v>
      </c>
      <c r="F288" s="84"/>
      <c r="G288" s="187" t="s">
        <v>651</v>
      </c>
      <c r="H288" s="99">
        <f>H289</f>
        <v>2956.7000000000003</v>
      </c>
      <c r="I288" s="99">
        <f t="shared" ref="I288:J288" si="110">I289</f>
        <v>0</v>
      </c>
      <c r="J288" s="99">
        <f t="shared" si="110"/>
        <v>0</v>
      </c>
    </row>
    <row r="289" spans="1:10" ht="63.75" x14ac:dyDescent="0.2">
      <c r="A289" s="148"/>
      <c r="B289" s="25"/>
      <c r="C289" s="47" t="s">
        <v>97</v>
      </c>
      <c r="D289" s="47" t="s">
        <v>90</v>
      </c>
      <c r="E289" s="175">
        <v>1520000000</v>
      </c>
      <c r="F289" s="47"/>
      <c r="G289" s="189" t="s">
        <v>707</v>
      </c>
      <c r="H289" s="96">
        <f>H290</f>
        <v>2956.7000000000003</v>
      </c>
      <c r="I289" s="96">
        <f t="shared" ref="I289:J289" si="111">I290</f>
        <v>0</v>
      </c>
      <c r="J289" s="96">
        <f t="shared" si="111"/>
        <v>0</v>
      </c>
    </row>
    <row r="290" spans="1:10" ht="25.5" x14ac:dyDescent="0.2">
      <c r="A290" s="148"/>
      <c r="B290" s="25"/>
      <c r="C290" s="16" t="s">
        <v>97</v>
      </c>
      <c r="D290" s="16" t="s">
        <v>90</v>
      </c>
      <c r="E290" s="154">
        <v>1520300000</v>
      </c>
      <c r="F290" s="92"/>
      <c r="G290" s="100" t="s">
        <v>705</v>
      </c>
      <c r="H290" s="41">
        <f>H291</f>
        <v>2956.7000000000003</v>
      </c>
      <c r="I290" s="41">
        <f>I291</f>
        <v>0</v>
      </c>
      <c r="J290" s="41">
        <f>J291</f>
        <v>0</v>
      </c>
    </row>
    <row r="291" spans="1:10" ht="51" x14ac:dyDescent="0.2">
      <c r="A291" s="148"/>
      <c r="B291" s="25"/>
      <c r="C291" s="16" t="s">
        <v>97</v>
      </c>
      <c r="D291" s="16" t="s">
        <v>90</v>
      </c>
      <c r="E291" s="154">
        <v>1520324012</v>
      </c>
      <c r="F291" s="84"/>
      <c r="G291" s="100" t="s">
        <v>706</v>
      </c>
      <c r="H291" s="41">
        <f>SUM(H292:H293)</f>
        <v>2956.7000000000003</v>
      </c>
      <c r="I291" s="41">
        <f>I292</f>
        <v>0</v>
      </c>
      <c r="J291" s="41">
        <f>J292</f>
        <v>0</v>
      </c>
    </row>
    <row r="292" spans="1:10" ht="38.25" x14ac:dyDescent="0.2">
      <c r="A292" s="148"/>
      <c r="B292" s="25"/>
      <c r="C292" s="16" t="s">
        <v>97</v>
      </c>
      <c r="D292" s="16" t="s">
        <v>90</v>
      </c>
      <c r="E292" s="154">
        <v>1520324012</v>
      </c>
      <c r="F292" s="84" t="s">
        <v>214</v>
      </c>
      <c r="G292" s="101" t="s">
        <v>215</v>
      </c>
      <c r="H292" s="41">
        <f>2993-41.1</f>
        <v>2951.9</v>
      </c>
      <c r="I292" s="41">
        <v>0</v>
      </c>
      <c r="J292" s="41">
        <v>0</v>
      </c>
    </row>
    <row r="293" spans="1:10" x14ac:dyDescent="0.2">
      <c r="A293" s="148"/>
      <c r="B293" s="25"/>
      <c r="C293" s="16" t="s">
        <v>97</v>
      </c>
      <c r="D293" s="16" t="s">
        <v>90</v>
      </c>
      <c r="E293" s="188">
        <v>1520324012</v>
      </c>
      <c r="F293" s="84" t="s">
        <v>693</v>
      </c>
      <c r="G293" s="101" t="s">
        <v>694</v>
      </c>
      <c r="H293" s="41">
        <v>4.8</v>
      </c>
      <c r="I293" s="41">
        <v>0</v>
      </c>
      <c r="J293" s="41">
        <v>0</v>
      </c>
    </row>
    <row r="294" spans="1:10" ht="14.25" x14ac:dyDescent="0.2">
      <c r="A294" s="1"/>
      <c r="B294" s="25"/>
      <c r="C294" s="30" t="s">
        <v>97</v>
      </c>
      <c r="D294" s="30" t="s">
        <v>91</v>
      </c>
      <c r="E294" s="30"/>
      <c r="F294" s="30"/>
      <c r="G294" s="27" t="s">
        <v>43</v>
      </c>
      <c r="H294" s="40">
        <f>H295+H300+H326</f>
        <v>30000.3</v>
      </c>
      <c r="I294" s="40">
        <f t="shared" ref="I294:J294" si="112">I295+I300</f>
        <v>20461</v>
      </c>
      <c r="J294" s="40">
        <f t="shared" si="112"/>
        <v>5715</v>
      </c>
    </row>
    <row r="295" spans="1:10" ht="90" customHeight="1" x14ac:dyDescent="0.2">
      <c r="A295" s="1"/>
      <c r="B295" s="25"/>
      <c r="C295" s="5" t="s">
        <v>97</v>
      </c>
      <c r="D295" s="5" t="s">
        <v>91</v>
      </c>
      <c r="E295" s="76">
        <v>400000000</v>
      </c>
      <c r="F295" s="16"/>
      <c r="G295" s="185" t="s">
        <v>639</v>
      </c>
      <c r="H295" s="99">
        <f t="shared" ref="H295:J295" si="113">H296</f>
        <v>24955.200000000001</v>
      </c>
      <c r="I295" s="99">
        <f t="shared" si="113"/>
        <v>11576</v>
      </c>
      <c r="J295" s="99">
        <f t="shared" si="113"/>
        <v>1250</v>
      </c>
    </row>
    <row r="296" spans="1:10" ht="127.5" x14ac:dyDescent="0.2">
      <c r="A296" s="1"/>
      <c r="B296" s="25"/>
      <c r="C296" s="16" t="s">
        <v>97</v>
      </c>
      <c r="D296" s="16" t="s">
        <v>91</v>
      </c>
      <c r="E296" s="75">
        <v>430000000</v>
      </c>
      <c r="F296" s="16"/>
      <c r="G296" s="46" t="s">
        <v>307</v>
      </c>
      <c r="H296" s="96">
        <f>H298</f>
        <v>24955.200000000001</v>
      </c>
      <c r="I296" s="96">
        <f>I298</f>
        <v>11576</v>
      </c>
      <c r="J296" s="96">
        <f>J298</f>
        <v>1250</v>
      </c>
    </row>
    <row r="297" spans="1:10" ht="38.25" x14ac:dyDescent="0.2">
      <c r="A297" s="1"/>
      <c r="B297" s="25"/>
      <c r="C297" s="16" t="s">
        <v>97</v>
      </c>
      <c r="D297" s="16" t="s">
        <v>91</v>
      </c>
      <c r="E297" s="74">
        <v>430200000</v>
      </c>
      <c r="F297" s="16"/>
      <c r="G297" s="100" t="s">
        <v>300</v>
      </c>
      <c r="H297" s="41">
        <f t="shared" ref="H297:J297" si="114">H298</f>
        <v>24955.200000000001</v>
      </c>
      <c r="I297" s="41">
        <f t="shared" si="114"/>
        <v>11576</v>
      </c>
      <c r="J297" s="41">
        <f t="shared" si="114"/>
        <v>1250</v>
      </c>
    </row>
    <row r="298" spans="1:10" ht="63.75" x14ac:dyDescent="0.2">
      <c r="A298" s="1"/>
      <c r="B298" s="25"/>
      <c r="C298" s="16" t="s">
        <v>97</v>
      </c>
      <c r="D298" s="16" t="s">
        <v>91</v>
      </c>
      <c r="E298" s="74">
        <v>430227330</v>
      </c>
      <c r="F298" s="16"/>
      <c r="G298" s="101" t="s">
        <v>172</v>
      </c>
      <c r="H298" s="41">
        <f>H299</f>
        <v>24955.200000000001</v>
      </c>
      <c r="I298" s="41">
        <f>I299</f>
        <v>11576</v>
      </c>
      <c r="J298" s="41">
        <f>J299</f>
        <v>1250</v>
      </c>
    </row>
    <row r="299" spans="1:10" ht="63.75" x14ac:dyDescent="0.2">
      <c r="A299" s="1"/>
      <c r="B299" s="25"/>
      <c r="C299" s="16" t="s">
        <v>97</v>
      </c>
      <c r="D299" s="16" t="s">
        <v>91</v>
      </c>
      <c r="E299" s="74">
        <v>430227330</v>
      </c>
      <c r="F299" s="16" t="s">
        <v>13</v>
      </c>
      <c r="G299" s="101" t="s">
        <v>329</v>
      </c>
      <c r="H299" s="39">
        <f>12819.1-2000+14136.1</f>
        <v>24955.200000000001</v>
      </c>
      <c r="I299" s="39">
        <f>11619.1-43.1</f>
        <v>11576</v>
      </c>
      <c r="J299" s="39">
        <v>1250</v>
      </c>
    </row>
    <row r="300" spans="1:10" ht="91.5" customHeight="1" x14ac:dyDescent="0.2">
      <c r="A300" s="1"/>
      <c r="B300" s="25"/>
      <c r="C300" s="5" t="s">
        <v>97</v>
      </c>
      <c r="D300" s="5" t="s">
        <v>91</v>
      </c>
      <c r="E300" s="82" t="s">
        <v>34</v>
      </c>
      <c r="F300" s="16"/>
      <c r="G300" s="53" t="s">
        <v>641</v>
      </c>
      <c r="H300" s="99">
        <f>H301+H310+H319</f>
        <v>4945.0999999999995</v>
      </c>
      <c r="I300" s="99">
        <f t="shared" ref="I300:J300" si="115">I301+I310+I319</f>
        <v>8885</v>
      </c>
      <c r="J300" s="99">
        <f t="shared" si="115"/>
        <v>4465</v>
      </c>
    </row>
    <row r="301" spans="1:10" ht="38.25" x14ac:dyDescent="0.2">
      <c r="A301" s="1"/>
      <c r="B301" s="25"/>
      <c r="C301" s="16" t="s">
        <v>97</v>
      </c>
      <c r="D301" s="16" t="s">
        <v>91</v>
      </c>
      <c r="E301" s="52" t="s">
        <v>35</v>
      </c>
      <c r="F301" s="16"/>
      <c r="G301" s="48" t="s">
        <v>606</v>
      </c>
      <c r="H301" s="96">
        <f>H302+H305</f>
        <v>452.9</v>
      </c>
      <c r="I301" s="96">
        <f>I302+I305</f>
        <v>485</v>
      </c>
      <c r="J301" s="96">
        <f>J302+J305</f>
        <v>565</v>
      </c>
    </row>
    <row r="302" spans="1:10" ht="38.25" x14ac:dyDescent="0.2">
      <c r="A302" s="1"/>
      <c r="B302" s="25"/>
      <c r="C302" s="16" t="s">
        <v>97</v>
      </c>
      <c r="D302" s="16" t="s">
        <v>91</v>
      </c>
      <c r="E302" s="21" t="s">
        <v>238</v>
      </c>
      <c r="F302" s="16"/>
      <c r="G302" s="103" t="s">
        <v>237</v>
      </c>
      <c r="H302" s="96">
        <f t="shared" ref="H302:J303" si="116">H303</f>
        <v>442.9</v>
      </c>
      <c r="I302" s="96">
        <f t="shared" si="116"/>
        <v>445</v>
      </c>
      <c r="J302" s="96">
        <f t="shared" si="116"/>
        <v>445</v>
      </c>
    </row>
    <row r="303" spans="1:10" ht="25.5" x14ac:dyDescent="0.25">
      <c r="A303" s="1"/>
      <c r="B303" s="25"/>
      <c r="C303" s="16" t="s">
        <v>97</v>
      </c>
      <c r="D303" s="16" t="s">
        <v>91</v>
      </c>
      <c r="E303" s="21" t="s">
        <v>533</v>
      </c>
      <c r="F303" s="3"/>
      <c r="G303" s="101" t="s">
        <v>191</v>
      </c>
      <c r="H303" s="41">
        <f t="shared" si="116"/>
        <v>442.9</v>
      </c>
      <c r="I303" s="41">
        <f t="shared" si="116"/>
        <v>445</v>
      </c>
      <c r="J303" s="41">
        <f t="shared" si="116"/>
        <v>445</v>
      </c>
    </row>
    <row r="304" spans="1:10" ht="38.25" x14ac:dyDescent="0.2">
      <c r="A304" s="1"/>
      <c r="B304" s="25"/>
      <c r="C304" s="16" t="s">
        <v>97</v>
      </c>
      <c r="D304" s="16" t="s">
        <v>91</v>
      </c>
      <c r="E304" s="21" t="s">
        <v>533</v>
      </c>
      <c r="F304" s="84" t="s">
        <v>214</v>
      </c>
      <c r="G304" s="101" t="s">
        <v>215</v>
      </c>
      <c r="H304" s="41">
        <f>443-0.1</f>
        <v>442.9</v>
      </c>
      <c r="I304" s="39">
        <v>445</v>
      </c>
      <c r="J304" s="39">
        <v>445</v>
      </c>
    </row>
    <row r="305" spans="1:10" ht="38.25" x14ac:dyDescent="0.2">
      <c r="A305" s="1"/>
      <c r="B305" s="25"/>
      <c r="C305" s="16" t="s">
        <v>97</v>
      </c>
      <c r="D305" s="16" t="s">
        <v>91</v>
      </c>
      <c r="E305" s="21" t="s">
        <v>535</v>
      </c>
      <c r="F305" s="84"/>
      <c r="G305" s="103" t="s">
        <v>346</v>
      </c>
      <c r="H305" s="41">
        <f>H306+H308</f>
        <v>10</v>
      </c>
      <c r="I305" s="41">
        <f t="shared" ref="I305:J305" si="117">I306+I308</f>
        <v>40</v>
      </c>
      <c r="J305" s="41">
        <f t="shared" si="117"/>
        <v>120</v>
      </c>
    </row>
    <row r="306" spans="1:10" ht="25.5" x14ac:dyDescent="0.2">
      <c r="A306" s="1"/>
      <c r="B306" s="25"/>
      <c r="C306" s="16" t="s">
        <v>97</v>
      </c>
      <c r="D306" s="16" t="s">
        <v>91</v>
      </c>
      <c r="E306" s="21" t="s">
        <v>534</v>
      </c>
      <c r="F306" s="16"/>
      <c r="G306" s="101" t="s">
        <v>345</v>
      </c>
      <c r="H306" s="41">
        <f t="shared" ref="H306:J306" si="118">H307</f>
        <v>10</v>
      </c>
      <c r="I306" s="41">
        <f t="shared" si="118"/>
        <v>40</v>
      </c>
      <c r="J306" s="41">
        <f t="shared" si="118"/>
        <v>40</v>
      </c>
    </row>
    <row r="307" spans="1:10" ht="38.25" x14ac:dyDescent="0.2">
      <c r="A307" s="1"/>
      <c r="B307" s="25"/>
      <c r="C307" s="16" t="s">
        <v>97</v>
      </c>
      <c r="D307" s="16" t="s">
        <v>91</v>
      </c>
      <c r="E307" s="21" t="s">
        <v>534</v>
      </c>
      <c r="F307" s="84" t="s">
        <v>214</v>
      </c>
      <c r="G307" s="101" t="s">
        <v>215</v>
      </c>
      <c r="H307" s="41">
        <f>40-30</f>
        <v>10</v>
      </c>
      <c r="I307" s="41">
        <v>40</v>
      </c>
      <c r="J307" s="41">
        <v>40</v>
      </c>
    </row>
    <row r="308" spans="1:10" ht="38.25" x14ac:dyDescent="0.2">
      <c r="A308" s="148"/>
      <c r="B308" s="25"/>
      <c r="C308" s="16" t="s">
        <v>97</v>
      </c>
      <c r="D308" s="16" t="s">
        <v>91</v>
      </c>
      <c r="E308" s="21" t="s">
        <v>607</v>
      </c>
      <c r="F308" s="84"/>
      <c r="G308" s="101" t="s">
        <v>608</v>
      </c>
      <c r="H308" s="41">
        <f>H309</f>
        <v>0</v>
      </c>
      <c r="I308" s="41">
        <f t="shared" ref="I308:J308" si="119">I309</f>
        <v>0</v>
      </c>
      <c r="J308" s="41">
        <f t="shared" si="119"/>
        <v>80</v>
      </c>
    </row>
    <row r="309" spans="1:10" ht="38.25" x14ac:dyDescent="0.2">
      <c r="A309" s="148"/>
      <c r="B309" s="25"/>
      <c r="C309" s="16" t="s">
        <v>97</v>
      </c>
      <c r="D309" s="16" t="s">
        <v>91</v>
      </c>
      <c r="E309" s="21" t="s">
        <v>607</v>
      </c>
      <c r="F309" s="84" t="s">
        <v>214</v>
      </c>
      <c r="G309" s="101" t="s">
        <v>215</v>
      </c>
      <c r="H309" s="41">
        <v>0</v>
      </c>
      <c r="I309" s="41">
        <v>0</v>
      </c>
      <c r="J309" s="41">
        <v>80</v>
      </c>
    </row>
    <row r="310" spans="1:10" ht="25.5" x14ac:dyDescent="0.2">
      <c r="A310" s="148"/>
      <c r="B310" s="25"/>
      <c r="C310" s="47" t="s">
        <v>97</v>
      </c>
      <c r="D310" s="47" t="s">
        <v>91</v>
      </c>
      <c r="E310" s="52" t="s">
        <v>386</v>
      </c>
      <c r="F310" s="16"/>
      <c r="G310" s="46" t="s">
        <v>354</v>
      </c>
      <c r="H310" s="96">
        <f>H311+H316</f>
        <v>1094.9000000000001</v>
      </c>
      <c r="I310" s="96">
        <f t="shared" ref="I310:J310" si="120">I311+I316</f>
        <v>2800</v>
      </c>
      <c r="J310" s="96">
        <f t="shared" si="120"/>
        <v>2900</v>
      </c>
    </row>
    <row r="311" spans="1:10" ht="38.25" x14ac:dyDescent="0.2">
      <c r="A311" s="148"/>
      <c r="B311" s="25"/>
      <c r="C311" s="16" t="s">
        <v>97</v>
      </c>
      <c r="D311" s="16" t="s">
        <v>91</v>
      </c>
      <c r="E311" s="21" t="s">
        <v>536</v>
      </c>
      <c r="F311" s="16"/>
      <c r="G311" s="103" t="s">
        <v>310</v>
      </c>
      <c r="H311" s="102">
        <f>H312+H314</f>
        <v>1094.9000000000001</v>
      </c>
      <c r="I311" s="102">
        <f t="shared" ref="I311:J311" si="121">I312+I314</f>
        <v>800</v>
      </c>
      <c r="J311" s="102">
        <f t="shared" si="121"/>
        <v>800</v>
      </c>
    </row>
    <row r="312" spans="1:10" ht="38.25" x14ac:dyDescent="0.2">
      <c r="A312" s="148"/>
      <c r="B312" s="25"/>
      <c r="C312" s="16" t="s">
        <v>97</v>
      </c>
      <c r="D312" s="16" t="s">
        <v>91</v>
      </c>
      <c r="E312" s="21" t="s">
        <v>537</v>
      </c>
      <c r="F312" s="16"/>
      <c r="G312" s="100" t="s">
        <v>192</v>
      </c>
      <c r="H312" s="41">
        <f>H313</f>
        <v>178</v>
      </c>
      <c r="I312" s="41">
        <f>I313</f>
        <v>250</v>
      </c>
      <c r="J312" s="41">
        <f>J313</f>
        <v>250</v>
      </c>
    </row>
    <row r="313" spans="1:10" ht="38.25" x14ac:dyDescent="0.2">
      <c r="A313" s="148"/>
      <c r="B313" s="25"/>
      <c r="C313" s="16" t="s">
        <v>97</v>
      </c>
      <c r="D313" s="16" t="s">
        <v>91</v>
      </c>
      <c r="E313" s="21" t="s">
        <v>537</v>
      </c>
      <c r="F313" s="84" t="s">
        <v>214</v>
      </c>
      <c r="G313" s="101" t="s">
        <v>215</v>
      </c>
      <c r="H313" s="41">
        <f>250-72</f>
        <v>178</v>
      </c>
      <c r="I313" s="41">
        <v>250</v>
      </c>
      <c r="J313" s="41">
        <v>250</v>
      </c>
    </row>
    <row r="314" spans="1:10" ht="25.5" x14ac:dyDescent="0.2">
      <c r="A314" s="1"/>
      <c r="B314" s="25"/>
      <c r="C314" s="16" t="s">
        <v>97</v>
      </c>
      <c r="D314" s="16" t="s">
        <v>91</v>
      </c>
      <c r="E314" s="21" t="s">
        <v>539</v>
      </c>
      <c r="F314" s="84"/>
      <c r="G314" s="101" t="s">
        <v>538</v>
      </c>
      <c r="H314" s="41">
        <f>H315</f>
        <v>916.9</v>
      </c>
      <c r="I314" s="41">
        <f t="shared" ref="I314:J314" si="122">I315</f>
        <v>550</v>
      </c>
      <c r="J314" s="41">
        <f t="shared" si="122"/>
        <v>550</v>
      </c>
    </row>
    <row r="315" spans="1:10" ht="38.25" x14ac:dyDescent="0.2">
      <c r="A315" s="1"/>
      <c r="B315" s="25"/>
      <c r="C315" s="16" t="s">
        <v>97</v>
      </c>
      <c r="D315" s="16" t="s">
        <v>91</v>
      </c>
      <c r="E315" s="21" t="s">
        <v>539</v>
      </c>
      <c r="F315" s="84" t="s">
        <v>214</v>
      </c>
      <c r="G315" s="101" t="s">
        <v>215</v>
      </c>
      <c r="H315" s="41">
        <f>590+146.9+180</f>
        <v>916.9</v>
      </c>
      <c r="I315" s="41">
        <v>550</v>
      </c>
      <c r="J315" s="41">
        <v>550</v>
      </c>
    </row>
    <row r="316" spans="1:10" ht="38.25" x14ac:dyDescent="0.2">
      <c r="A316" s="1"/>
      <c r="B316" s="25"/>
      <c r="C316" s="16" t="s">
        <v>97</v>
      </c>
      <c r="D316" s="16" t="s">
        <v>91</v>
      </c>
      <c r="E316" s="21" t="s">
        <v>541</v>
      </c>
      <c r="F316" s="84"/>
      <c r="G316" s="103" t="s">
        <v>385</v>
      </c>
      <c r="H316" s="41">
        <f t="shared" ref="H316:J317" si="123">H317</f>
        <v>0</v>
      </c>
      <c r="I316" s="41">
        <f t="shared" si="123"/>
        <v>2000</v>
      </c>
      <c r="J316" s="41">
        <f t="shared" si="123"/>
        <v>2100</v>
      </c>
    </row>
    <row r="317" spans="1:10" ht="51.75" customHeight="1" x14ac:dyDescent="0.2">
      <c r="A317" s="1"/>
      <c r="B317" s="25"/>
      <c r="C317" s="16" t="s">
        <v>97</v>
      </c>
      <c r="D317" s="16" t="s">
        <v>91</v>
      </c>
      <c r="E317" s="21" t="s">
        <v>540</v>
      </c>
      <c r="F317" s="16"/>
      <c r="G317" s="101" t="s">
        <v>643</v>
      </c>
      <c r="H317" s="110">
        <f t="shared" si="123"/>
        <v>0</v>
      </c>
      <c r="I317" s="41">
        <f t="shared" si="123"/>
        <v>2000</v>
      </c>
      <c r="J317" s="41">
        <f t="shared" si="123"/>
        <v>2100</v>
      </c>
    </row>
    <row r="318" spans="1:10" ht="38.25" x14ac:dyDescent="0.2">
      <c r="A318" s="148"/>
      <c r="B318" s="25"/>
      <c r="C318" s="16" t="s">
        <v>97</v>
      </c>
      <c r="D318" s="16" t="s">
        <v>91</v>
      </c>
      <c r="E318" s="21" t="s">
        <v>540</v>
      </c>
      <c r="F318" s="84" t="s">
        <v>214</v>
      </c>
      <c r="G318" s="101" t="s">
        <v>215</v>
      </c>
      <c r="H318" s="110">
        <v>0</v>
      </c>
      <c r="I318" s="41">
        <v>2000</v>
      </c>
      <c r="J318" s="41">
        <v>2100</v>
      </c>
    </row>
    <row r="319" spans="1:10" ht="38.25" x14ac:dyDescent="0.2">
      <c r="A319" s="148"/>
      <c r="B319" s="25"/>
      <c r="C319" s="16" t="s">
        <v>97</v>
      </c>
      <c r="D319" s="16" t="s">
        <v>91</v>
      </c>
      <c r="E319" s="52" t="s">
        <v>36</v>
      </c>
      <c r="F319" s="16"/>
      <c r="G319" s="46" t="s">
        <v>542</v>
      </c>
      <c r="H319" s="110">
        <f>H320+H323</f>
        <v>3397.2999999999993</v>
      </c>
      <c r="I319" s="110">
        <f t="shared" ref="I319:J319" si="124">I320+I323</f>
        <v>5600</v>
      </c>
      <c r="J319" s="110">
        <f t="shared" si="124"/>
        <v>1000</v>
      </c>
    </row>
    <row r="320" spans="1:10" ht="51" x14ac:dyDescent="0.2">
      <c r="A320" s="148"/>
      <c r="B320" s="25"/>
      <c r="C320" s="16" t="s">
        <v>97</v>
      </c>
      <c r="D320" s="16" t="s">
        <v>91</v>
      </c>
      <c r="E320" s="21" t="s">
        <v>239</v>
      </c>
      <c r="F320" s="16"/>
      <c r="G320" s="103" t="s">
        <v>752</v>
      </c>
      <c r="H320" s="110">
        <f>H321</f>
        <v>2523.9999999999991</v>
      </c>
      <c r="I320" s="110">
        <f t="shared" ref="I320:J321" si="125">I321</f>
        <v>1000</v>
      </c>
      <c r="J320" s="110">
        <f t="shared" si="125"/>
        <v>1000</v>
      </c>
    </row>
    <row r="321" spans="1:10" ht="38.25" x14ac:dyDescent="0.2">
      <c r="A321" s="148"/>
      <c r="B321" s="25"/>
      <c r="C321" s="16" t="s">
        <v>97</v>
      </c>
      <c r="D321" s="16" t="s">
        <v>91</v>
      </c>
      <c r="E321" s="21" t="s">
        <v>544</v>
      </c>
      <c r="F321" s="16"/>
      <c r="G321" s="103" t="s">
        <v>543</v>
      </c>
      <c r="H321" s="110">
        <f>H322</f>
        <v>2523.9999999999991</v>
      </c>
      <c r="I321" s="110">
        <f t="shared" si="125"/>
        <v>1000</v>
      </c>
      <c r="J321" s="110">
        <f t="shared" si="125"/>
        <v>1000</v>
      </c>
    </row>
    <row r="322" spans="1:10" ht="38.25" x14ac:dyDescent="0.2">
      <c r="A322" s="148"/>
      <c r="B322" s="25"/>
      <c r="C322" s="16" t="s">
        <v>97</v>
      </c>
      <c r="D322" s="16" t="s">
        <v>91</v>
      </c>
      <c r="E322" s="21" t="s">
        <v>544</v>
      </c>
      <c r="F322" s="84" t="s">
        <v>214</v>
      </c>
      <c r="G322" s="101" t="s">
        <v>215</v>
      </c>
      <c r="H322" s="110">
        <f>19821.8-14859.1-3849.7+127.9+68+500+722.9-7.8</f>
        <v>2523.9999999999991</v>
      </c>
      <c r="I322" s="41">
        <v>1000</v>
      </c>
      <c r="J322" s="41">
        <v>1000</v>
      </c>
    </row>
    <row r="323" spans="1:10" ht="25.5" x14ac:dyDescent="0.2">
      <c r="A323" s="148"/>
      <c r="B323" s="25"/>
      <c r="C323" s="16" t="s">
        <v>97</v>
      </c>
      <c r="D323" s="16" t="s">
        <v>91</v>
      </c>
      <c r="E323" s="21" t="s">
        <v>384</v>
      </c>
      <c r="F323" s="84"/>
      <c r="G323" s="103" t="s">
        <v>642</v>
      </c>
      <c r="H323" s="110">
        <f>H324</f>
        <v>873.3</v>
      </c>
      <c r="I323" s="110">
        <f t="shared" ref="I323:J324" si="126">I324</f>
        <v>4600</v>
      </c>
      <c r="J323" s="110">
        <f t="shared" si="126"/>
        <v>0</v>
      </c>
    </row>
    <row r="324" spans="1:10" ht="25.5" x14ac:dyDescent="0.2">
      <c r="A324" s="148"/>
      <c r="B324" s="25"/>
      <c r="C324" s="16" t="s">
        <v>97</v>
      </c>
      <c r="D324" s="16" t="s">
        <v>91</v>
      </c>
      <c r="E324" s="21" t="s">
        <v>545</v>
      </c>
      <c r="F324" s="16"/>
      <c r="G324" s="103" t="s">
        <v>388</v>
      </c>
      <c r="H324" s="110">
        <f>H325</f>
        <v>873.3</v>
      </c>
      <c r="I324" s="110">
        <f t="shared" si="126"/>
        <v>4600</v>
      </c>
      <c r="J324" s="110">
        <f t="shared" si="126"/>
        <v>0</v>
      </c>
    </row>
    <row r="325" spans="1:10" x14ac:dyDescent="0.2">
      <c r="A325" s="148"/>
      <c r="B325" s="25"/>
      <c r="C325" s="16" t="s">
        <v>97</v>
      </c>
      <c r="D325" s="16" t="s">
        <v>91</v>
      </c>
      <c r="E325" s="21" t="s">
        <v>545</v>
      </c>
      <c r="F325" s="112" t="s">
        <v>253</v>
      </c>
      <c r="G325" s="109" t="s">
        <v>277</v>
      </c>
      <c r="H325" s="110">
        <f>910.3-37</f>
        <v>873.3</v>
      </c>
      <c r="I325" s="41">
        <v>4600</v>
      </c>
      <c r="J325" s="41">
        <v>0</v>
      </c>
    </row>
    <row r="326" spans="1:10" ht="25.5" x14ac:dyDescent="0.2">
      <c r="A326" s="148"/>
      <c r="B326" s="25"/>
      <c r="C326" s="16" t="s">
        <v>97</v>
      </c>
      <c r="D326" s="16" t="s">
        <v>91</v>
      </c>
      <c r="E326" s="84" t="s">
        <v>26</v>
      </c>
      <c r="F326" s="84"/>
      <c r="G326" s="103" t="s">
        <v>40</v>
      </c>
      <c r="H326" s="41">
        <f>H327</f>
        <v>100</v>
      </c>
      <c r="I326" s="41">
        <f t="shared" ref="I326:J326" si="127">I327</f>
        <v>0</v>
      </c>
      <c r="J326" s="41">
        <f t="shared" si="127"/>
        <v>0</v>
      </c>
    </row>
    <row r="327" spans="1:10" ht="50.25" customHeight="1" x14ac:dyDescent="0.2">
      <c r="A327" s="148"/>
      <c r="B327" s="25"/>
      <c r="C327" s="16" t="s">
        <v>97</v>
      </c>
      <c r="D327" s="16" t="s">
        <v>91</v>
      </c>
      <c r="E327" s="84" t="s">
        <v>628</v>
      </c>
      <c r="F327" s="16"/>
      <c r="G327" s="54" t="s">
        <v>627</v>
      </c>
      <c r="H327" s="41">
        <f>SUM(H328:H328)</f>
        <v>100</v>
      </c>
      <c r="I327" s="41">
        <f>SUM(I328:I328)</f>
        <v>0</v>
      </c>
      <c r="J327" s="41">
        <f>SUM(J328:J328)</f>
        <v>0</v>
      </c>
    </row>
    <row r="328" spans="1:10" ht="38.25" x14ac:dyDescent="0.2">
      <c r="A328" s="148"/>
      <c r="B328" s="25"/>
      <c r="C328" s="16" t="s">
        <v>97</v>
      </c>
      <c r="D328" s="16" t="s">
        <v>91</v>
      </c>
      <c r="E328" s="84" t="s">
        <v>628</v>
      </c>
      <c r="F328" s="84" t="s">
        <v>214</v>
      </c>
      <c r="G328" s="101" t="s">
        <v>215</v>
      </c>
      <c r="H328" s="39">
        <v>100</v>
      </c>
      <c r="I328" s="39">
        <v>0</v>
      </c>
      <c r="J328" s="39">
        <v>0</v>
      </c>
    </row>
    <row r="329" spans="1:10" ht="14.25" x14ac:dyDescent="0.2">
      <c r="A329" s="1"/>
      <c r="B329" s="25"/>
      <c r="C329" s="30" t="s">
        <v>97</v>
      </c>
      <c r="D329" s="30" t="s">
        <v>95</v>
      </c>
      <c r="E329" s="30"/>
      <c r="F329" s="30"/>
      <c r="G329" s="27" t="s">
        <v>50</v>
      </c>
      <c r="H329" s="40">
        <f>H330+H337+H381+H397+H434</f>
        <v>87476.5</v>
      </c>
      <c r="I329" s="40">
        <f>I330+I337+I381+I397</f>
        <v>28477.9</v>
      </c>
      <c r="J329" s="40">
        <f>J330+J337+J381+J397</f>
        <v>18810</v>
      </c>
    </row>
    <row r="330" spans="1:10" ht="90" customHeight="1" x14ac:dyDescent="0.2">
      <c r="A330" s="1"/>
      <c r="B330" s="25"/>
      <c r="C330" s="84" t="s">
        <v>97</v>
      </c>
      <c r="D330" s="84" t="s">
        <v>95</v>
      </c>
      <c r="E330" s="78" t="s">
        <v>67</v>
      </c>
      <c r="F330" s="16"/>
      <c r="G330" s="63" t="s">
        <v>637</v>
      </c>
      <c r="H330" s="99">
        <f t="shared" ref="H330:J333" si="128">H331</f>
        <v>629.29999999999995</v>
      </c>
      <c r="I330" s="99">
        <f t="shared" si="128"/>
        <v>529.29999999999995</v>
      </c>
      <c r="J330" s="99">
        <f t="shared" si="128"/>
        <v>529.29999999999995</v>
      </c>
    </row>
    <row r="331" spans="1:10" ht="51" x14ac:dyDescent="0.2">
      <c r="A331" s="1"/>
      <c r="B331" s="25"/>
      <c r="C331" s="47" t="s">
        <v>97</v>
      </c>
      <c r="D331" s="47" t="s">
        <v>95</v>
      </c>
      <c r="E331" s="77" t="s">
        <v>68</v>
      </c>
      <c r="F331" s="16"/>
      <c r="G331" s="60" t="s">
        <v>532</v>
      </c>
      <c r="H331" s="96">
        <f t="shared" si="128"/>
        <v>629.29999999999995</v>
      </c>
      <c r="I331" s="96">
        <f t="shared" si="128"/>
        <v>529.29999999999995</v>
      </c>
      <c r="J331" s="96">
        <f t="shared" si="128"/>
        <v>529.29999999999995</v>
      </c>
    </row>
    <row r="332" spans="1:10" ht="63.75" x14ac:dyDescent="0.2">
      <c r="A332" s="1"/>
      <c r="B332" s="25"/>
      <c r="C332" s="84" t="s">
        <v>97</v>
      </c>
      <c r="D332" s="84" t="s">
        <v>95</v>
      </c>
      <c r="E332" s="74">
        <v>610100000</v>
      </c>
      <c r="F332" s="16"/>
      <c r="G332" s="101" t="s">
        <v>531</v>
      </c>
      <c r="H332" s="102">
        <f>H333+H335</f>
        <v>629.29999999999995</v>
      </c>
      <c r="I332" s="102">
        <f t="shared" ref="I332:J332" si="129">I333+I335</f>
        <v>529.29999999999995</v>
      </c>
      <c r="J332" s="102">
        <f t="shared" si="129"/>
        <v>529.29999999999995</v>
      </c>
    </row>
    <row r="333" spans="1:10" ht="38.25" x14ac:dyDescent="0.2">
      <c r="A333" s="1"/>
      <c r="B333" s="25"/>
      <c r="C333" s="84" t="s">
        <v>97</v>
      </c>
      <c r="D333" s="84" t="s">
        <v>95</v>
      </c>
      <c r="E333" s="170" t="s">
        <v>530</v>
      </c>
      <c r="F333" s="16"/>
      <c r="G333" s="101" t="s">
        <v>806</v>
      </c>
      <c r="H333" s="41">
        <f t="shared" si="128"/>
        <v>620.29999999999995</v>
      </c>
      <c r="I333" s="41">
        <f t="shared" si="128"/>
        <v>520.29999999999995</v>
      </c>
      <c r="J333" s="41">
        <f t="shared" si="128"/>
        <v>520.29999999999995</v>
      </c>
    </row>
    <row r="334" spans="1:10" ht="38.25" x14ac:dyDescent="0.2">
      <c r="A334" s="1"/>
      <c r="B334" s="25"/>
      <c r="C334" s="84" t="s">
        <v>97</v>
      </c>
      <c r="D334" s="84" t="s">
        <v>95</v>
      </c>
      <c r="E334" s="170" t="s">
        <v>530</v>
      </c>
      <c r="F334" s="84" t="s">
        <v>214</v>
      </c>
      <c r="G334" s="101" t="s">
        <v>215</v>
      </c>
      <c r="H334" s="41">
        <v>620.29999999999995</v>
      </c>
      <c r="I334" s="41">
        <v>520.29999999999995</v>
      </c>
      <c r="J334" s="41">
        <v>520.29999999999995</v>
      </c>
    </row>
    <row r="335" spans="1:10" ht="38.25" x14ac:dyDescent="0.2">
      <c r="A335" s="148"/>
      <c r="B335" s="25"/>
      <c r="C335" s="84" t="s">
        <v>97</v>
      </c>
      <c r="D335" s="84" t="s">
        <v>95</v>
      </c>
      <c r="E335" s="170" t="s">
        <v>603</v>
      </c>
      <c r="F335" s="84"/>
      <c r="G335" s="101" t="s">
        <v>604</v>
      </c>
      <c r="H335" s="41">
        <f>H336</f>
        <v>9</v>
      </c>
      <c r="I335" s="41">
        <f t="shared" ref="I335:J335" si="130">I336</f>
        <v>9</v>
      </c>
      <c r="J335" s="41">
        <f t="shared" si="130"/>
        <v>9</v>
      </c>
    </row>
    <row r="336" spans="1:10" ht="38.25" x14ac:dyDescent="0.2">
      <c r="A336" s="148"/>
      <c r="B336" s="25"/>
      <c r="C336" s="84" t="s">
        <v>97</v>
      </c>
      <c r="D336" s="84" t="s">
        <v>95</v>
      </c>
      <c r="E336" s="170" t="s">
        <v>603</v>
      </c>
      <c r="F336" s="84" t="s">
        <v>214</v>
      </c>
      <c r="G336" s="101" t="s">
        <v>215</v>
      </c>
      <c r="H336" s="41">
        <v>9</v>
      </c>
      <c r="I336" s="41">
        <v>9</v>
      </c>
      <c r="J336" s="41">
        <v>9</v>
      </c>
    </row>
    <row r="337" spans="1:10" ht="89.25" customHeight="1" x14ac:dyDescent="0.2">
      <c r="A337" s="1"/>
      <c r="B337" s="25"/>
      <c r="C337" s="5" t="s">
        <v>97</v>
      </c>
      <c r="D337" s="5" t="s">
        <v>95</v>
      </c>
      <c r="E337" s="73" t="s">
        <v>57</v>
      </c>
      <c r="F337" s="16"/>
      <c r="G337" s="53" t="s">
        <v>648</v>
      </c>
      <c r="H337" s="99">
        <f>H338+H351+H358+H366</f>
        <v>31360.100000000002</v>
      </c>
      <c r="I337" s="99">
        <f>I338+I351+I358+I366</f>
        <v>16307</v>
      </c>
      <c r="J337" s="99">
        <f t="shared" ref="J337" si="131">J338+J351+J358+J366</f>
        <v>16307</v>
      </c>
    </row>
    <row r="338" spans="1:10" ht="52.5" customHeight="1" x14ac:dyDescent="0.2">
      <c r="A338" s="148"/>
      <c r="B338" s="25"/>
      <c r="C338" s="84" t="s">
        <v>97</v>
      </c>
      <c r="D338" s="84" t="s">
        <v>95</v>
      </c>
      <c r="E338" s="52" t="s">
        <v>58</v>
      </c>
      <c r="F338" s="47"/>
      <c r="G338" s="48" t="s">
        <v>815</v>
      </c>
      <c r="H338" s="96">
        <f>H339+H348</f>
        <v>11363.000000000002</v>
      </c>
      <c r="I338" s="96">
        <f>I339+I348</f>
        <v>5450</v>
      </c>
      <c r="J338" s="96">
        <f t="shared" ref="J338" si="132">J339+J348</f>
        <v>5450</v>
      </c>
    </row>
    <row r="339" spans="1:10" ht="25.5" x14ac:dyDescent="0.2">
      <c r="A339" s="148"/>
      <c r="B339" s="25"/>
      <c r="C339" s="16" t="s">
        <v>97</v>
      </c>
      <c r="D339" s="84" t="s">
        <v>95</v>
      </c>
      <c r="E339" s="21" t="s">
        <v>240</v>
      </c>
      <c r="F339" s="47"/>
      <c r="G339" s="103" t="s">
        <v>257</v>
      </c>
      <c r="H339" s="96">
        <f>H340+H342+H344+H346</f>
        <v>11063.000000000002</v>
      </c>
      <c r="I339" s="96">
        <f t="shared" ref="I339:J339" si="133">I340+I342+I344+I346</f>
        <v>5100</v>
      </c>
      <c r="J339" s="96">
        <f t="shared" si="133"/>
        <v>5100</v>
      </c>
    </row>
    <row r="340" spans="1:10" ht="38.25" x14ac:dyDescent="0.2">
      <c r="A340" s="148"/>
      <c r="B340" s="25"/>
      <c r="C340" s="16" t="s">
        <v>97</v>
      </c>
      <c r="D340" s="84" t="s">
        <v>95</v>
      </c>
      <c r="E340" s="74">
        <v>1210123505</v>
      </c>
      <c r="F340" s="21"/>
      <c r="G340" s="101" t="s">
        <v>559</v>
      </c>
      <c r="H340" s="41">
        <f>H341</f>
        <v>4995.4000000000005</v>
      </c>
      <c r="I340" s="41">
        <f>I341</f>
        <v>1750</v>
      </c>
      <c r="J340" s="41">
        <f>J341</f>
        <v>1750</v>
      </c>
    </row>
    <row r="341" spans="1:10" ht="38.25" x14ac:dyDescent="0.2">
      <c r="A341" s="148"/>
      <c r="B341" s="25"/>
      <c r="C341" s="84" t="s">
        <v>97</v>
      </c>
      <c r="D341" s="84" t="s">
        <v>95</v>
      </c>
      <c r="E341" s="74">
        <v>1210123505</v>
      </c>
      <c r="F341" s="84" t="s">
        <v>214</v>
      </c>
      <c r="G341" s="101" t="s">
        <v>215</v>
      </c>
      <c r="H341" s="39">
        <f>3473.5-275.7+100+875.8+293.2+275.7-875.8-59.2+300+491.8+337.1+136.5-77.5</f>
        <v>4995.4000000000005</v>
      </c>
      <c r="I341" s="39">
        <v>1750</v>
      </c>
      <c r="J341" s="39">
        <v>1750</v>
      </c>
    </row>
    <row r="342" spans="1:10" ht="63.75" x14ac:dyDescent="0.2">
      <c r="A342" s="148"/>
      <c r="B342" s="25"/>
      <c r="C342" s="84" t="s">
        <v>97</v>
      </c>
      <c r="D342" s="84" t="s">
        <v>95</v>
      </c>
      <c r="E342" s="74">
        <v>1210123510</v>
      </c>
      <c r="F342" s="21"/>
      <c r="G342" s="101" t="s">
        <v>241</v>
      </c>
      <c r="H342" s="41">
        <f>H343</f>
        <v>4043.5</v>
      </c>
      <c r="I342" s="41">
        <f>I343</f>
        <v>2850</v>
      </c>
      <c r="J342" s="41">
        <f>J343</f>
        <v>2850</v>
      </c>
    </row>
    <row r="343" spans="1:10" ht="38.25" x14ac:dyDescent="0.2">
      <c r="A343" s="148"/>
      <c r="B343" s="25"/>
      <c r="C343" s="16" t="s">
        <v>97</v>
      </c>
      <c r="D343" s="84" t="s">
        <v>95</v>
      </c>
      <c r="E343" s="74">
        <v>1210123510</v>
      </c>
      <c r="F343" s="84" t="s">
        <v>214</v>
      </c>
      <c r="G343" s="101" t="s">
        <v>215</v>
      </c>
      <c r="H343" s="41">
        <f>5279.4-898.9-337.1+0.1</f>
        <v>4043.5</v>
      </c>
      <c r="I343" s="41">
        <v>2850</v>
      </c>
      <c r="J343" s="41">
        <v>2850</v>
      </c>
    </row>
    <row r="344" spans="1:10" ht="25.5" x14ac:dyDescent="0.2">
      <c r="A344" s="148"/>
      <c r="B344" s="25"/>
      <c r="C344" s="84" t="s">
        <v>97</v>
      </c>
      <c r="D344" s="84" t="s">
        <v>95</v>
      </c>
      <c r="E344" s="74">
        <v>1210123515</v>
      </c>
      <c r="F344" s="16"/>
      <c r="G344" s="101" t="s">
        <v>24</v>
      </c>
      <c r="H344" s="41">
        <f>H345</f>
        <v>645.6</v>
      </c>
      <c r="I344" s="41">
        <f>I345</f>
        <v>500</v>
      </c>
      <c r="J344" s="41">
        <f>J345</f>
        <v>500</v>
      </c>
    </row>
    <row r="345" spans="1:10" ht="38.25" x14ac:dyDescent="0.2">
      <c r="A345" s="148"/>
      <c r="B345" s="25"/>
      <c r="C345" s="84" t="s">
        <v>97</v>
      </c>
      <c r="D345" s="84" t="s">
        <v>95</v>
      </c>
      <c r="E345" s="74">
        <v>1210123515</v>
      </c>
      <c r="F345" s="84" t="s">
        <v>214</v>
      </c>
      <c r="G345" s="101" t="s">
        <v>215</v>
      </c>
      <c r="H345" s="41">
        <f>500+145.6</f>
        <v>645.6</v>
      </c>
      <c r="I345" s="41">
        <v>500</v>
      </c>
      <c r="J345" s="41">
        <v>500</v>
      </c>
    </row>
    <row r="346" spans="1:10" ht="62.25" customHeight="1" x14ac:dyDescent="0.2">
      <c r="A346" s="148"/>
      <c r="B346" s="25"/>
      <c r="C346" s="84" t="s">
        <v>97</v>
      </c>
      <c r="D346" s="84" t="s">
        <v>95</v>
      </c>
      <c r="E346" s="154" t="s">
        <v>687</v>
      </c>
      <c r="F346" s="84"/>
      <c r="G346" s="126" t="s">
        <v>688</v>
      </c>
      <c r="H346" s="41">
        <f>H347</f>
        <v>1378.5</v>
      </c>
      <c r="I346" s="41">
        <f t="shared" ref="I346:J346" si="134">I347</f>
        <v>0</v>
      </c>
      <c r="J346" s="41">
        <f t="shared" si="134"/>
        <v>0</v>
      </c>
    </row>
    <row r="347" spans="1:10" ht="38.25" x14ac:dyDescent="0.2">
      <c r="A347" s="148"/>
      <c r="B347" s="25"/>
      <c r="C347" s="84" t="s">
        <v>97</v>
      </c>
      <c r="D347" s="84" t="s">
        <v>95</v>
      </c>
      <c r="E347" s="188" t="s">
        <v>687</v>
      </c>
      <c r="F347" s="84" t="s">
        <v>214</v>
      </c>
      <c r="G347" s="101" t="s">
        <v>215</v>
      </c>
      <c r="H347" s="41">
        <f>275.7+1102.8</f>
        <v>1378.5</v>
      </c>
      <c r="I347" s="41">
        <v>0</v>
      </c>
      <c r="J347" s="41">
        <v>0</v>
      </c>
    </row>
    <row r="348" spans="1:10" ht="40.5" customHeight="1" x14ac:dyDescent="0.2">
      <c r="A348" s="148"/>
      <c r="B348" s="25"/>
      <c r="C348" s="47" t="s">
        <v>97</v>
      </c>
      <c r="D348" s="47" t="s">
        <v>95</v>
      </c>
      <c r="E348" s="21" t="s">
        <v>296</v>
      </c>
      <c r="F348" s="84"/>
      <c r="G348" s="103" t="s">
        <v>297</v>
      </c>
      <c r="H348" s="41">
        <f>H349</f>
        <v>300</v>
      </c>
      <c r="I348" s="41">
        <f t="shared" ref="I348:J348" si="135">I349</f>
        <v>350</v>
      </c>
      <c r="J348" s="41">
        <f t="shared" si="135"/>
        <v>350</v>
      </c>
    </row>
    <row r="349" spans="1:10" ht="25.5" x14ac:dyDescent="0.2">
      <c r="A349" s="148"/>
      <c r="B349" s="25"/>
      <c r="C349" s="16" t="s">
        <v>97</v>
      </c>
      <c r="D349" s="84" t="s">
        <v>95</v>
      </c>
      <c r="E349" s="74">
        <v>1210223520</v>
      </c>
      <c r="F349" s="16"/>
      <c r="G349" s="101" t="s">
        <v>242</v>
      </c>
      <c r="H349" s="41">
        <f>H350</f>
        <v>300</v>
      </c>
      <c r="I349" s="41">
        <f>I350</f>
        <v>350</v>
      </c>
      <c r="J349" s="41">
        <f>J350</f>
        <v>350</v>
      </c>
    </row>
    <row r="350" spans="1:10" ht="38.25" x14ac:dyDescent="0.2">
      <c r="A350" s="148"/>
      <c r="B350" s="25"/>
      <c r="C350" s="84" t="s">
        <v>97</v>
      </c>
      <c r="D350" s="84" t="s">
        <v>95</v>
      </c>
      <c r="E350" s="74">
        <v>1210223520</v>
      </c>
      <c r="F350" s="84" t="s">
        <v>214</v>
      </c>
      <c r="G350" s="101" t="s">
        <v>215</v>
      </c>
      <c r="H350" s="39">
        <v>300</v>
      </c>
      <c r="I350" s="39">
        <v>350</v>
      </c>
      <c r="J350" s="39">
        <v>350</v>
      </c>
    </row>
    <row r="351" spans="1:10" ht="25.5" x14ac:dyDescent="0.2">
      <c r="A351" s="148"/>
      <c r="B351" s="25"/>
      <c r="C351" s="84" t="s">
        <v>97</v>
      </c>
      <c r="D351" s="84" t="s">
        <v>95</v>
      </c>
      <c r="E351" s="52" t="s">
        <v>59</v>
      </c>
      <c r="F351" s="47"/>
      <c r="G351" s="48" t="s">
        <v>27</v>
      </c>
      <c r="H351" s="96">
        <f>H352+H356</f>
        <v>1560.6</v>
      </c>
      <c r="I351" s="96">
        <f>I352+I356</f>
        <v>1325</v>
      </c>
      <c r="J351" s="96">
        <f t="shared" ref="J351" si="136">J352+J356</f>
        <v>1325</v>
      </c>
    </row>
    <row r="352" spans="1:10" x14ac:dyDescent="0.2">
      <c r="A352" s="1"/>
      <c r="B352" s="25"/>
      <c r="C352" s="84" t="s">
        <v>97</v>
      </c>
      <c r="D352" s="84" t="s">
        <v>95</v>
      </c>
      <c r="E352" s="21" t="s">
        <v>243</v>
      </c>
      <c r="F352" s="47"/>
      <c r="G352" s="103" t="s">
        <v>244</v>
      </c>
      <c r="H352" s="102">
        <f t="shared" ref="H352:J353" si="137">H353</f>
        <v>1560.6</v>
      </c>
      <c r="I352" s="102">
        <f t="shared" si="137"/>
        <v>850</v>
      </c>
      <c r="J352" s="102">
        <f t="shared" si="137"/>
        <v>850</v>
      </c>
    </row>
    <row r="353" spans="1:10" ht="25.5" x14ac:dyDescent="0.2">
      <c r="A353" s="1"/>
      <c r="B353" s="25"/>
      <c r="C353" s="84" t="s">
        <v>97</v>
      </c>
      <c r="D353" s="84" t="s">
        <v>95</v>
      </c>
      <c r="E353" s="80">
        <v>1220123525</v>
      </c>
      <c r="F353" s="16"/>
      <c r="G353" s="101" t="s">
        <v>193</v>
      </c>
      <c r="H353" s="41">
        <f t="shared" si="137"/>
        <v>1560.6</v>
      </c>
      <c r="I353" s="41">
        <f t="shared" si="137"/>
        <v>850</v>
      </c>
      <c r="J353" s="41">
        <f t="shared" si="137"/>
        <v>850</v>
      </c>
    </row>
    <row r="354" spans="1:10" ht="38.25" x14ac:dyDescent="0.2">
      <c r="A354" s="1"/>
      <c r="B354" s="25"/>
      <c r="C354" s="84" t="s">
        <v>97</v>
      </c>
      <c r="D354" s="84" t="s">
        <v>95</v>
      </c>
      <c r="E354" s="80">
        <v>1220123525</v>
      </c>
      <c r="F354" s="84" t="s">
        <v>214</v>
      </c>
      <c r="G354" s="101" t="s">
        <v>215</v>
      </c>
      <c r="H354" s="41">
        <f>1610.5-49.9</f>
        <v>1560.6</v>
      </c>
      <c r="I354" s="41">
        <v>850</v>
      </c>
      <c r="J354" s="41">
        <v>850</v>
      </c>
    </row>
    <row r="355" spans="1:10" ht="38.25" x14ac:dyDescent="0.2">
      <c r="A355" s="1"/>
      <c r="B355" s="25"/>
      <c r="C355" s="84" t="s">
        <v>97</v>
      </c>
      <c r="D355" s="84" t="s">
        <v>95</v>
      </c>
      <c r="E355" s="21" t="s">
        <v>561</v>
      </c>
      <c r="F355" s="84"/>
      <c r="G355" s="103" t="s">
        <v>560</v>
      </c>
      <c r="H355" s="41">
        <f>H356</f>
        <v>0</v>
      </c>
      <c r="I355" s="41">
        <f t="shared" ref="I355:J355" si="138">I356</f>
        <v>475</v>
      </c>
      <c r="J355" s="41">
        <f t="shared" si="138"/>
        <v>475</v>
      </c>
    </row>
    <row r="356" spans="1:10" ht="25.5" x14ac:dyDescent="0.2">
      <c r="A356" s="1"/>
      <c r="B356" s="25"/>
      <c r="C356" s="84" t="s">
        <v>97</v>
      </c>
      <c r="D356" s="84" t="s">
        <v>95</v>
      </c>
      <c r="E356" s="80">
        <v>1220223530</v>
      </c>
      <c r="F356" s="16"/>
      <c r="G356" s="101" t="s">
        <v>194</v>
      </c>
      <c r="H356" s="41">
        <f>H357</f>
        <v>0</v>
      </c>
      <c r="I356" s="41">
        <f>I357</f>
        <v>475</v>
      </c>
      <c r="J356" s="41">
        <f>J357</f>
        <v>475</v>
      </c>
    </row>
    <row r="357" spans="1:10" ht="38.25" x14ac:dyDescent="0.2">
      <c r="A357" s="1"/>
      <c r="B357" s="25"/>
      <c r="C357" s="84" t="s">
        <v>97</v>
      </c>
      <c r="D357" s="84" t="s">
        <v>95</v>
      </c>
      <c r="E357" s="80">
        <v>1220223530</v>
      </c>
      <c r="F357" s="84" t="s">
        <v>214</v>
      </c>
      <c r="G357" s="101" t="s">
        <v>215</v>
      </c>
      <c r="H357" s="39">
        <v>0</v>
      </c>
      <c r="I357" s="39">
        <v>475</v>
      </c>
      <c r="J357" s="39">
        <v>475</v>
      </c>
    </row>
    <row r="358" spans="1:10" ht="51.75" customHeight="1" x14ac:dyDescent="0.2">
      <c r="A358" s="1"/>
      <c r="B358" s="25"/>
      <c r="C358" s="84" t="s">
        <v>97</v>
      </c>
      <c r="D358" s="84" t="s">
        <v>95</v>
      </c>
      <c r="E358" s="52" t="s">
        <v>60</v>
      </c>
      <c r="F358" s="47"/>
      <c r="G358" s="48" t="s">
        <v>816</v>
      </c>
      <c r="H358" s="96">
        <f>H359</f>
        <v>5240.1000000000004</v>
      </c>
      <c r="I358" s="96">
        <f>I359</f>
        <v>4407</v>
      </c>
      <c r="J358" s="96">
        <f t="shared" ref="J358" si="139">J359</f>
        <v>4407</v>
      </c>
    </row>
    <row r="359" spans="1:10" ht="51" x14ac:dyDescent="0.2">
      <c r="A359" s="1"/>
      <c r="B359" s="25"/>
      <c r="C359" s="84" t="s">
        <v>97</v>
      </c>
      <c r="D359" s="84" t="s">
        <v>95</v>
      </c>
      <c r="E359" s="21" t="s">
        <v>245</v>
      </c>
      <c r="F359" s="47"/>
      <c r="G359" s="103" t="s">
        <v>246</v>
      </c>
      <c r="H359" s="102">
        <f>H360+H362+H364</f>
        <v>5240.1000000000004</v>
      </c>
      <c r="I359" s="102">
        <f>I360+I362+I364</f>
        <v>4407</v>
      </c>
      <c r="J359" s="102">
        <f t="shared" ref="J359" si="140">J360+J362+J364</f>
        <v>4407</v>
      </c>
    </row>
    <row r="360" spans="1:10" ht="25.5" x14ac:dyDescent="0.2">
      <c r="A360" s="148"/>
      <c r="B360" s="25"/>
      <c r="C360" s="84" t="s">
        <v>97</v>
      </c>
      <c r="D360" s="84" t="s">
        <v>95</v>
      </c>
      <c r="E360" s="21" t="s">
        <v>562</v>
      </c>
      <c r="F360" s="16"/>
      <c r="G360" s="101" t="s">
        <v>312</v>
      </c>
      <c r="H360" s="41">
        <f>H361</f>
        <v>2944.4</v>
      </c>
      <c r="I360" s="41">
        <f>I361</f>
        <v>3800</v>
      </c>
      <c r="J360" s="41">
        <f>J361</f>
        <v>3800</v>
      </c>
    </row>
    <row r="361" spans="1:10" ht="38.25" x14ac:dyDescent="0.2">
      <c r="A361" s="148"/>
      <c r="B361" s="25"/>
      <c r="C361" s="84" t="s">
        <v>97</v>
      </c>
      <c r="D361" s="84" t="s">
        <v>95</v>
      </c>
      <c r="E361" s="21" t="s">
        <v>562</v>
      </c>
      <c r="F361" s="84" t="s">
        <v>214</v>
      </c>
      <c r="G361" s="101" t="s">
        <v>215</v>
      </c>
      <c r="H361" s="41">
        <f>3800-1000+144.4</f>
        <v>2944.4</v>
      </c>
      <c r="I361" s="41">
        <v>3800</v>
      </c>
      <c r="J361" s="41">
        <v>3800</v>
      </c>
    </row>
    <row r="362" spans="1:10" ht="25.5" x14ac:dyDescent="0.2">
      <c r="A362" s="148"/>
      <c r="B362" s="25"/>
      <c r="C362" s="84" t="s">
        <v>97</v>
      </c>
      <c r="D362" s="84" t="s">
        <v>95</v>
      </c>
      <c r="E362" s="21" t="s">
        <v>563</v>
      </c>
      <c r="F362" s="16"/>
      <c r="G362" s="101" t="s">
        <v>25</v>
      </c>
      <c r="H362" s="41">
        <f>H363</f>
        <v>2290.6999999999998</v>
      </c>
      <c r="I362" s="41">
        <f>I363</f>
        <v>600</v>
      </c>
      <c r="J362" s="41">
        <f>J363</f>
        <v>600</v>
      </c>
    </row>
    <row r="363" spans="1:10" ht="38.25" x14ac:dyDescent="0.2">
      <c r="A363" s="148"/>
      <c r="B363" s="25"/>
      <c r="C363" s="84" t="s">
        <v>97</v>
      </c>
      <c r="D363" s="84" t="s">
        <v>95</v>
      </c>
      <c r="E363" s="21" t="s">
        <v>563</v>
      </c>
      <c r="F363" s="84" t="s">
        <v>214</v>
      </c>
      <c r="G363" s="101" t="s">
        <v>215</v>
      </c>
      <c r="H363" s="41">
        <f>1170+1070.7+59.2-9.2</f>
        <v>2290.6999999999998</v>
      </c>
      <c r="I363" s="41">
        <v>600</v>
      </c>
      <c r="J363" s="41">
        <v>600</v>
      </c>
    </row>
    <row r="364" spans="1:10" ht="25.5" x14ac:dyDescent="0.2">
      <c r="A364" s="148"/>
      <c r="B364" s="25"/>
      <c r="C364" s="84" t="s">
        <v>97</v>
      </c>
      <c r="D364" s="84" t="s">
        <v>95</v>
      </c>
      <c r="E364" s="21" t="s">
        <v>564</v>
      </c>
      <c r="F364" s="16"/>
      <c r="G364" s="101" t="s">
        <v>195</v>
      </c>
      <c r="H364" s="41">
        <f>H365</f>
        <v>5</v>
      </c>
      <c r="I364" s="41">
        <f>I365</f>
        <v>7</v>
      </c>
      <c r="J364" s="41">
        <f>J365</f>
        <v>7</v>
      </c>
    </row>
    <row r="365" spans="1:10" ht="38.25" x14ac:dyDescent="0.2">
      <c r="A365" s="148"/>
      <c r="B365" s="25"/>
      <c r="C365" s="84" t="s">
        <v>97</v>
      </c>
      <c r="D365" s="84" t="s">
        <v>95</v>
      </c>
      <c r="E365" s="21" t="s">
        <v>564</v>
      </c>
      <c r="F365" s="84" t="s">
        <v>214</v>
      </c>
      <c r="G365" s="101" t="s">
        <v>215</v>
      </c>
      <c r="H365" s="41">
        <v>5</v>
      </c>
      <c r="I365" s="41">
        <v>7</v>
      </c>
      <c r="J365" s="41">
        <v>7</v>
      </c>
    </row>
    <row r="366" spans="1:10" ht="51" x14ac:dyDescent="0.2">
      <c r="A366" s="148"/>
      <c r="B366" s="25"/>
      <c r="C366" s="84" t="s">
        <v>97</v>
      </c>
      <c r="D366" s="84" t="s">
        <v>95</v>
      </c>
      <c r="E366" s="52" t="s">
        <v>565</v>
      </c>
      <c r="F366" s="16"/>
      <c r="G366" s="60" t="s">
        <v>566</v>
      </c>
      <c r="H366" s="41">
        <f>H367+H372+H375</f>
        <v>13196.399999999998</v>
      </c>
      <c r="I366" s="41">
        <f>I367+I372+I375</f>
        <v>5125</v>
      </c>
      <c r="J366" s="41">
        <f>J367+J372+J375</f>
        <v>5125</v>
      </c>
    </row>
    <row r="367" spans="1:10" ht="63.75" x14ac:dyDescent="0.2">
      <c r="A367" s="148"/>
      <c r="B367" s="25"/>
      <c r="C367" s="84" t="s">
        <v>97</v>
      </c>
      <c r="D367" s="84" t="s">
        <v>95</v>
      </c>
      <c r="E367" s="21" t="s">
        <v>568</v>
      </c>
      <c r="F367" s="16"/>
      <c r="G367" s="103" t="s">
        <v>567</v>
      </c>
      <c r="H367" s="41">
        <f>H368+H370</f>
        <v>318.50000000000006</v>
      </c>
      <c r="I367" s="41">
        <f t="shared" ref="I367:J367" si="141">I368+I370</f>
        <v>265</v>
      </c>
      <c r="J367" s="41">
        <f t="shared" si="141"/>
        <v>265</v>
      </c>
    </row>
    <row r="368" spans="1:10" ht="25.5" x14ac:dyDescent="0.2">
      <c r="A368" s="148"/>
      <c r="B368" s="25"/>
      <c r="C368" s="84" t="s">
        <v>97</v>
      </c>
      <c r="D368" s="84" t="s">
        <v>95</v>
      </c>
      <c r="E368" s="21" t="s">
        <v>569</v>
      </c>
      <c r="F368" s="16"/>
      <c r="G368" s="101" t="s">
        <v>387</v>
      </c>
      <c r="H368" s="41">
        <f>H369</f>
        <v>289.20000000000005</v>
      </c>
      <c r="I368" s="41">
        <f>I369</f>
        <v>250</v>
      </c>
      <c r="J368" s="41">
        <f>J369</f>
        <v>250</v>
      </c>
    </row>
    <row r="369" spans="1:10" ht="38.25" x14ac:dyDescent="0.2">
      <c r="A369" s="148"/>
      <c r="B369" s="25"/>
      <c r="C369" s="84" t="s">
        <v>97</v>
      </c>
      <c r="D369" s="84" t="s">
        <v>95</v>
      </c>
      <c r="E369" s="21" t="s">
        <v>569</v>
      </c>
      <c r="F369" s="84" t="s">
        <v>214</v>
      </c>
      <c r="G369" s="101" t="s">
        <v>215</v>
      </c>
      <c r="H369" s="41">
        <f>500+162.5-29.3-344</f>
        <v>289.20000000000005</v>
      </c>
      <c r="I369" s="41">
        <v>250</v>
      </c>
      <c r="J369" s="41">
        <v>250</v>
      </c>
    </row>
    <row r="370" spans="1:10" ht="51" x14ac:dyDescent="0.2">
      <c r="A370" s="148"/>
      <c r="B370" s="25"/>
      <c r="C370" s="84" t="s">
        <v>97</v>
      </c>
      <c r="D370" s="84" t="s">
        <v>95</v>
      </c>
      <c r="E370" s="21" t="s">
        <v>571</v>
      </c>
      <c r="F370" s="84"/>
      <c r="G370" s="101" t="s">
        <v>570</v>
      </c>
      <c r="H370" s="41">
        <f>H371</f>
        <v>29.3</v>
      </c>
      <c r="I370" s="41">
        <f t="shared" ref="I370:J370" si="142">I371</f>
        <v>15</v>
      </c>
      <c r="J370" s="41">
        <f t="shared" si="142"/>
        <v>15</v>
      </c>
    </row>
    <row r="371" spans="1:10" ht="38.25" x14ac:dyDescent="0.2">
      <c r="A371" s="148"/>
      <c r="B371" s="25"/>
      <c r="C371" s="84" t="s">
        <v>97</v>
      </c>
      <c r="D371" s="84" t="s">
        <v>95</v>
      </c>
      <c r="E371" s="21" t="s">
        <v>571</v>
      </c>
      <c r="F371" s="84" t="s">
        <v>214</v>
      </c>
      <c r="G371" s="101" t="s">
        <v>215</v>
      </c>
      <c r="H371" s="41">
        <v>29.3</v>
      </c>
      <c r="I371" s="41">
        <v>15</v>
      </c>
      <c r="J371" s="41">
        <v>15</v>
      </c>
    </row>
    <row r="372" spans="1:10" ht="38.25" x14ac:dyDescent="0.2">
      <c r="A372" s="148"/>
      <c r="B372" s="25"/>
      <c r="C372" s="84" t="s">
        <v>97</v>
      </c>
      <c r="D372" s="84" t="s">
        <v>95</v>
      </c>
      <c r="E372" s="21" t="s">
        <v>572</v>
      </c>
      <c r="F372" s="16"/>
      <c r="G372" s="103" t="s">
        <v>573</v>
      </c>
      <c r="H372" s="41">
        <f>H373</f>
        <v>0</v>
      </c>
      <c r="I372" s="41">
        <f t="shared" ref="I372:J373" si="143">I373</f>
        <v>10</v>
      </c>
      <c r="J372" s="41">
        <f t="shared" si="143"/>
        <v>10</v>
      </c>
    </row>
    <row r="373" spans="1:10" ht="51" x14ac:dyDescent="0.2">
      <c r="A373" s="148"/>
      <c r="B373" s="25"/>
      <c r="C373" s="84" t="s">
        <v>97</v>
      </c>
      <c r="D373" s="84" t="s">
        <v>95</v>
      </c>
      <c r="E373" s="21" t="s">
        <v>579</v>
      </c>
      <c r="F373" s="84"/>
      <c r="G373" s="101" t="s">
        <v>580</v>
      </c>
      <c r="H373" s="41">
        <f>H374</f>
        <v>0</v>
      </c>
      <c r="I373" s="41">
        <f t="shared" si="143"/>
        <v>10</v>
      </c>
      <c r="J373" s="41">
        <f t="shared" si="143"/>
        <v>10</v>
      </c>
    </row>
    <row r="374" spans="1:10" ht="38.25" x14ac:dyDescent="0.2">
      <c r="A374" s="1"/>
      <c r="B374" s="25"/>
      <c r="C374" s="16" t="s">
        <v>97</v>
      </c>
      <c r="D374" s="16" t="s">
        <v>95</v>
      </c>
      <c r="E374" s="21" t="s">
        <v>579</v>
      </c>
      <c r="F374" s="84" t="s">
        <v>214</v>
      </c>
      <c r="G374" s="101" t="s">
        <v>215</v>
      </c>
      <c r="H374" s="41">
        <v>0</v>
      </c>
      <c r="I374" s="41">
        <v>10</v>
      </c>
      <c r="J374" s="41">
        <v>10</v>
      </c>
    </row>
    <row r="375" spans="1:10" ht="51" x14ac:dyDescent="0.2">
      <c r="A375" s="1"/>
      <c r="B375" s="25"/>
      <c r="C375" s="16" t="s">
        <v>97</v>
      </c>
      <c r="D375" s="16" t="s">
        <v>95</v>
      </c>
      <c r="E375" s="21" t="s">
        <v>574</v>
      </c>
      <c r="F375" s="16"/>
      <c r="G375" s="101" t="s">
        <v>751</v>
      </c>
      <c r="H375" s="41">
        <f>H376+H379</f>
        <v>12877.899999999998</v>
      </c>
      <c r="I375" s="41">
        <f>I376+I379</f>
        <v>4850</v>
      </c>
      <c r="J375" s="41">
        <f t="shared" ref="J375" si="144">J376+J379</f>
        <v>4850</v>
      </c>
    </row>
    <row r="376" spans="1:10" ht="38.25" x14ac:dyDescent="0.2">
      <c r="A376" s="1"/>
      <c r="B376" s="25"/>
      <c r="C376" s="16" t="s">
        <v>97</v>
      </c>
      <c r="D376" s="16" t="s">
        <v>95</v>
      </c>
      <c r="E376" s="21" t="s">
        <v>575</v>
      </c>
      <c r="F376" s="84"/>
      <c r="G376" s="101" t="s">
        <v>578</v>
      </c>
      <c r="H376" s="41">
        <f>SUM(H377:H378)</f>
        <v>9492.1999999999989</v>
      </c>
      <c r="I376" s="41">
        <f t="shared" ref="I376:J376" si="145">SUM(I377:I378)</f>
        <v>3800</v>
      </c>
      <c r="J376" s="41">
        <f t="shared" si="145"/>
        <v>3800</v>
      </c>
    </row>
    <row r="377" spans="1:10" ht="38.25" x14ac:dyDescent="0.2">
      <c r="A377" s="1"/>
      <c r="B377" s="25"/>
      <c r="C377" s="16" t="s">
        <v>97</v>
      </c>
      <c r="D377" s="16" t="s">
        <v>95</v>
      </c>
      <c r="E377" s="21" t="s">
        <v>575</v>
      </c>
      <c r="F377" s="84" t="s">
        <v>214</v>
      </c>
      <c r="G377" s="101" t="s">
        <v>215</v>
      </c>
      <c r="H377" s="41">
        <f>9500-8.6</f>
        <v>9491.4</v>
      </c>
      <c r="I377" s="41">
        <v>3800</v>
      </c>
      <c r="J377" s="41">
        <v>3800</v>
      </c>
    </row>
    <row r="378" spans="1:10" x14ac:dyDescent="0.2">
      <c r="A378" s="148"/>
      <c r="B378" s="25"/>
      <c r="C378" s="16" t="s">
        <v>97</v>
      </c>
      <c r="D378" s="16" t="s">
        <v>95</v>
      </c>
      <c r="E378" s="21" t="s">
        <v>575</v>
      </c>
      <c r="F378" s="84" t="s">
        <v>693</v>
      </c>
      <c r="G378" s="54" t="s">
        <v>694</v>
      </c>
      <c r="H378" s="41">
        <v>0.8</v>
      </c>
      <c r="I378" s="41">
        <v>0</v>
      </c>
      <c r="J378" s="41">
        <v>0</v>
      </c>
    </row>
    <row r="379" spans="1:10" x14ac:dyDescent="0.2">
      <c r="A379" s="1"/>
      <c r="B379" s="25"/>
      <c r="C379" s="16" t="s">
        <v>97</v>
      </c>
      <c r="D379" s="16" t="s">
        <v>95</v>
      </c>
      <c r="E379" s="21" t="s">
        <v>576</v>
      </c>
      <c r="F379" s="84"/>
      <c r="G379" s="101" t="s">
        <v>577</v>
      </c>
      <c r="H379" s="41">
        <f>H380</f>
        <v>3385.7</v>
      </c>
      <c r="I379" s="41">
        <f t="shared" ref="I379:J379" si="146">I380</f>
        <v>1050</v>
      </c>
      <c r="J379" s="41">
        <f t="shared" si="146"/>
        <v>1050</v>
      </c>
    </row>
    <row r="380" spans="1:10" ht="38.25" x14ac:dyDescent="0.2">
      <c r="A380" s="1"/>
      <c r="B380" s="25"/>
      <c r="C380" s="16" t="s">
        <v>97</v>
      </c>
      <c r="D380" s="16" t="s">
        <v>95</v>
      </c>
      <c r="E380" s="21" t="s">
        <v>576</v>
      </c>
      <c r="F380" s="84" t="s">
        <v>214</v>
      </c>
      <c r="G380" s="101" t="s">
        <v>215</v>
      </c>
      <c r="H380" s="41">
        <f>3108.9-59.4+344-7.8</f>
        <v>3385.7</v>
      </c>
      <c r="I380" s="41">
        <v>1050</v>
      </c>
      <c r="J380" s="41">
        <v>1050</v>
      </c>
    </row>
    <row r="381" spans="1:10" ht="89.25" x14ac:dyDescent="0.2">
      <c r="A381" s="1"/>
      <c r="B381" s="25"/>
      <c r="C381" s="5" t="s">
        <v>97</v>
      </c>
      <c r="D381" s="5" t="s">
        <v>95</v>
      </c>
      <c r="E381" s="76">
        <v>1400000000</v>
      </c>
      <c r="F381" s="16"/>
      <c r="G381" s="185" t="s">
        <v>650</v>
      </c>
      <c r="H381" s="99">
        <f>H382</f>
        <v>46054.5</v>
      </c>
      <c r="I381" s="99">
        <f t="shared" ref="I381:J381" si="147">I382</f>
        <v>10141.6</v>
      </c>
      <c r="J381" s="99">
        <f t="shared" si="147"/>
        <v>717.4</v>
      </c>
    </row>
    <row r="382" spans="1:10" ht="78" customHeight="1" x14ac:dyDescent="0.2">
      <c r="A382" s="1"/>
      <c r="B382" s="25"/>
      <c r="C382" s="47" t="s">
        <v>97</v>
      </c>
      <c r="D382" s="47" t="s">
        <v>95</v>
      </c>
      <c r="E382" s="75">
        <v>1410000000</v>
      </c>
      <c r="F382" s="16"/>
      <c r="G382" s="48" t="s">
        <v>219</v>
      </c>
      <c r="H382" s="96">
        <f>H383+H392</f>
        <v>46054.5</v>
      </c>
      <c r="I382" s="96">
        <f>I383+I392</f>
        <v>10141.6</v>
      </c>
      <c r="J382" s="96">
        <f>J383+J392</f>
        <v>717.4</v>
      </c>
    </row>
    <row r="383" spans="1:10" ht="102.75" customHeight="1" x14ac:dyDescent="0.2">
      <c r="A383" s="1"/>
      <c r="B383" s="25"/>
      <c r="C383" s="16" t="s">
        <v>97</v>
      </c>
      <c r="D383" s="16" t="s">
        <v>95</v>
      </c>
      <c r="E383" s="74">
        <v>1410200000</v>
      </c>
      <c r="F383" s="16"/>
      <c r="G383" s="101" t="s">
        <v>379</v>
      </c>
      <c r="H383" s="41">
        <f>H384+H386+H388+H390</f>
        <v>25897.1</v>
      </c>
      <c r="I383" s="41">
        <f t="shared" ref="I383:J383" si="148">I384+I386+I388</f>
        <v>0</v>
      </c>
      <c r="J383" s="41">
        <f t="shared" si="148"/>
        <v>0</v>
      </c>
    </row>
    <row r="384" spans="1:10" ht="25.5" x14ac:dyDescent="0.2">
      <c r="A384" s="1"/>
      <c r="B384" s="25"/>
      <c r="C384" s="84" t="s">
        <v>97</v>
      </c>
      <c r="D384" s="84" t="s">
        <v>95</v>
      </c>
      <c r="E384" s="74">
        <v>1410223125</v>
      </c>
      <c r="F384" s="84"/>
      <c r="G384" s="101" t="s">
        <v>383</v>
      </c>
      <c r="H384" s="41">
        <f>H385</f>
        <v>689.6</v>
      </c>
      <c r="I384" s="41">
        <f>I385</f>
        <v>0</v>
      </c>
      <c r="J384" s="41">
        <f>J385</f>
        <v>0</v>
      </c>
    </row>
    <row r="385" spans="1:13" ht="38.25" x14ac:dyDescent="0.2">
      <c r="A385" s="1"/>
      <c r="B385" s="25"/>
      <c r="C385" s="84" t="s">
        <v>97</v>
      </c>
      <c r="D385" s="84" t="s">
        <v>95</v>
      </c>
      <c r="E385" s="74">
        <v>1410223125</v>
      </c>
      <c r="F385" s="84" t="s">
        <v>214</v>
      </c>
      <c r="G385" s="101" t="s">
        <v>215</v>
      </c>
      <c r="H385" s="41">
        <f>538.6+60+278.4-16.5-174.4+3.5</f>
        <v>689.6</v>
      </c>
      <c r="I385" s="41">
        <v>0</v>
      </c>
      <c r="J385" s="41">
        <v>0</v>
      </c>
    </row>
    <row r="386" spans="1:13" ht="25.5" x14ac:dyDescent="0.2">
      <c r="A386" s="148"/>
      <c r="B386" s="25"/>
      <c r="C386" s="84" t="s">
        <v>97</v>
      </c>
      <c r="D386" s="84" t="s">
        <v>95</v>
      </c>
      <c r="E386" s="74">
        <v>1410223130</v>
      </c>
      <c r="F386" s="84"/>
      <c r="G386" s="126" t="s">
        <v>708</v>
      </c>
      <c r="H386" s="41">
        <f>H387</f>
        <v>23651.1</v>
      </c>
      <c r="I386" s="41">
        <f t="shared" ref="I386:J386" si="149">I387</f>
        <v>0</v>
      </c>
      <c r="J386" s="41">
        <f t="shared" si="149"/>
        <v>0</v>
      </c>
    </row>
    <row r="387" spans="1:13" ht="38.25" x14ac:dyDescent="0.2">
      <c r="A387" s="148"/>
      <c r="B387" s="25"/>
      <c r="C387" s="84" t="s">
        <v>97</v>
      </c>
      <c r="D387" s="84" t="s">
        <v>95</v>
      </c>
      <c r="E387" s="74">
        <v>1410223130</v>
      </c>
      <c r="F387" s="84" t="s">
        <v>214</v>
      </c>
      <c r="G387" s="101" t="s">
        <v>215</v>
      </c>
      <c r="H387" s="41">
        <f>9651.1+14000</f>
        <v>23651.1</v>
      </c>
      <c r="I387" s="41">
        <v>0</v>
      </c>
      <c r="J387" s="41">
        <v>0</v>
      </c>
    </row>
    <row r="388" spans="1:13" ht="38.25" x14ac:dyDescent="0.2">
      <c r="A388" s="148"/>
      <c r="B388" s="25"/>
      <c r="C388" s="84" t="s">
        <v>97</v>
      </c>
      <c r="D388" s="84" t="s">
        <v>95</v>
      </c>
      <c r="E388" s="74">
        <v>1410223135</v>
      </c>
      <c r="F388" s="84"/>
      <c r="G388" s="153" t="s">
        <v>704</v>
      </c>
      <c r="H388" s="41">
        <f>H389</f>
        <v>556.4</v>
      </c>
      <c r="I388" s="41">
        <f t="shared" ref="I388:J388" si="150">I389</f>
        <v>0</v>
      </c>
      <c r="J388" s="41">
        <f t="shared" si="150"/>
        <v>0</v>
      </c>
    </row>
    <row r="389" spans="1:13" ht="38.25" x14ac:dyDescent="0.2">
      <c r="A389" s="148"/>
      <c r="B389" s="25"/>
      <c r="C389" s="84" t="s">
        <v>97</v>
      </c>
      <c r="D389" s="84" t="s">
        <v>95</v>
      </c>
      <c r="E389" s="74">
        <v>1410223135</v>
      </c>
      <c r="F389" s="84" t="s">
        <v>214</v>
      </c>
      <c r="G389" s="101" t="s">
        <v>215</v>
      </c>
      <c r="H389" s="41">
        <f>84.4+284.9+12.7+174.4</f>
        <v>556.4</v>
      </c>
      <c r="I389" s="41">
        <v>0</v>
      </c>
      <c r="J389" s="41">
        <v>0</v>
      </c>
    </row>
    <row r="390" spans="1:13" ht="25.5" x14ac:dyDescent="0.2">
      <c r="A390" s="148"/>
      <c r="B390" s="25"/>
      <c r="C390" s="84" t="s">
        <v>97</v>
      </c>
      <c r="D390" s="84" t="s">
        <v>95</v>
      </c>
      <c r="E390" s="74">
        <v>1410211180</v>
      </c>
      <c r="F390" s="84"/>
      <c r="G390" s="101" t="s">
        <v>740</v>
      </c>
      <c r="H390" s="41">
        <v>1000</v>
      </c>
      <c r="I390" s="41">
        <v>0</v>
      </c>
      <c r="J390" s="41">
        <v>0</v>
      </c>
    </row>
    <row r="391" spans="1:13" ht="38.25" x14ac:dyDescent="0.2">
      <c r="A391" s="148"/>
      <c r="B391" s="25"/>
      <c r="C391" s="84" t="s">
        <v>97</v>
      </c>
      <c r="D391" s="84" t="s">
        <v>95</v>
      </c>
      <c r="E391" s="74">
        <v>1410211180</v>
      </c>
      <c r="F391" s="84" t="s">
        <v>214</v>
      </c>
      <c r="G391" s="101" t="s">
        <v>215</v>
      </c>
      <c r="H391" s="41">
        <v>1000</v>
      </c>
      <c r="I391" s="41">
        <v>0</v>
      </c>
      <c r="J391" s="41">
        <v>0</v>
      </c>
    </row>
    <row r="392" spans="1:13" ht="51" x14ac:dyDescent="0.2">
      <c r="A392" s="148"/>
      <c r="B392" s="25"/>
      <c r="C392" s="16" t="s">
        <v>97</v>
      </c>
      <c r="D392" s="16" t="s">
        <v>95</v>
      </c>
      <c r="E392" s="74" t="s">
        <v>398</v>
      </c>
      <c r="F392" s="84"/>
      <c r="G392" s="101" t="s">
        <v>399</v>
      </c>
      <c r="H392" s="41">
        <f>H393+H395</f>
        <v>20157.400000000001</v>
      </c>
      <c r="I392" s="41">
        <f>I393+I395</f>
        <v>10141.6</v>
      </c>
      <c r="J392" s="41">
        <f>J393+J395</f>
        <v>717.4</v>
      </c>
    </row>
    <row r="393" spans="1:13" ht="38.25" x14ac:dyDescent="0.2">
      <c r="A393" s="148"/>
      <c r="B393" s="25"/>
      <c r="C393" s="16" t="s">
        <v>97</v>
      </c>
      <c r="D393" s="16" t="s">
        <v>95</v>
      </c>
      <c r="E393" s="74" t="s">
        <v>362</v>
      </c>
      <c r="F393" s="16"/>
      <c r="G393" s="101" t="s">
        <v>327</v>
      </c>
      <c r="H393" s="41">
        <f>H394</f>
        <v>12070.4</v>
      </c>
      <c r="I393" s="41">
        <f>I394</f>
        <v>10141.6</v>
      </c>
      <c r="J393" s="41">
        <f>J394</f>
        <v>717.4</v>
      </c>
    </row>
    <row r="394" spans="1:13" ht="38.25" x14ac:dyDescent="0.2">
      <c r="A394" s="1"/>
      <c r="B394" s="25"/>
      <c r="C394" s="84" t="s">
        <v>97</v>
      </c>
      <c r="D394" s="16" t="s">
        <v>95</v>
      </c>
      <c r="E394" s="74" t="s">
        <v>362</v>
      </c>
      <c r="F394" s="84" t="s">
        <v>214</v>
      </c>
      <c r="G394" s="101" t="s">
        <v>215</v>
      </c>
      <c r="H394" s="41">
        <v>12070.4</v>
      </c>
      <c r="I394" s="41">
        <f>717.4+9424.2</f>
        <v>10141.6</v>
      </c>
      <c r="J394" s="41">
        <v>717.4</v>
      </c>
    </row>
    <row r="395" spans="1:13" ht="63.75" x14ac:dyDescent="0.2">
      <c r="A395" s="1"/>
      <c r="B395" s="25"/>
      <c r="C395" s="84" t="s">
        <v>97</v>
      </c>
      <c r="D395" s="84" t="s">
        <v>95</v>
      </c>
      <c r="E395" s="159" t="s">
        <v>366</v>
      </c>
      <c r="F395" s="16"/>
      <c r="G395" s="101" t="s">
        <v>367</v>
      </c>
      <c r="H395" s="41">
        <f>H396</f>
        <v>8087</v>
      </c>
      <c r="I395" s="41">
        <f>I396</f>
        <v>0</v>
      </c>
      <c r="J395" s="41">
        <f>J396</f>
        <v>0</v>
      </c>
    </row>
    <row r="396" spans="1:13" ht="38.25" x14ac:dyDescent="0.2">
      <c r="A396" s="1"/>
      <c r="B396" s="25"/>
      <c r="C396" s="84" t="s">
        <v>97</v>
      </c>
      <c r="D396" s="16" t="s">
        <v>95</v>
      </c>
      <c r="E396" s="159" t="s">
        <v>366</v>
      </c>
      <c r="F396" s="84" t="s">
        <v>214</v>
      </c>
      <c r="G396" s="101" t="s">
        <v>215</v>
      </c>
      <c r="H396" s="41">
        <f>70000-61913</f>
        <v>8087</v>
      </c>
      <c r="I396" s="41">
        <v>0</v>
      </c>
      <c r="J396" s="41">
        <v>0</v>
      </c>
    </row>
    <row r="397" spans="1:13" ht="127.5" x14ac:dyDescent="0.2">
      <c r="A397" s="148"/>
      <c r="B397" s="25"/>
      <c r="C397" s="5" t="s">
        <v>97</v>
      </c>
      <c r="D397" s="5" t="s">
        <v>95</v>
      </c>
      <c r="E397" s="73" t="s">
        <v>598</v>
      </c>
      <c r="F397" s="84"/>
      <c r="G397" s="187" t="s">
        <v>651</v>
      </c>
      <c r="H397" s="99">
        <f>H398+H430</f>
        <v>9332.6</v>
      </c>
      <c r="I397" s="99">
        <f>I398+I430</f>
        <v>1500</v>
      </c>
      <c r="J397" s="99">
        <f>J398+J430</f>
        <v>1256.3</v>
      </c>
      <c r="M397" s="107"/>
    </row>
    <row r="398" spans="1:13" ht="51" x14ac:dyDescent="0.2">
      <c r="A398" s="148"/>
      <c r="B398" s="25"/>
      <c r="C398" s="47" t="s">
        <v>97</v>
      </c>
      <c r="D398" s="47" t="s">
        <v>95</v>
      </c>
      <c r="E398" s="175">
        <v>1510000000</v>
      </c>
      <c r="F398" s="84"/>
      <c r="G398" s="48" t="s">
        <v>377</v>
      </c>
      <c r="H398" s="41">
        <f>H399</f>
        <v>6773.9000000000005</v>
      </c>
      <c r="I398" s="41">
        <f t="shared" ref="I398:J398" si="151">I399</f>
        <v>1500</v>
      </c>
      <c r="J398" s="41">
        <f t="shared" si="151"/>
        <v>1256.3</v>
      </c>
    </row>
    <row r="399" spans="1:13" ht="51" x14ac:dyDescent="0.2">
      <c r="A399" s="148"/>
      <c r="B399" s="25"/>
      <c r="C399" s="84" t="s">
        <v>97</v>
      </c>
      <c r="D399" s="16" t="s">
        <v>95</v>
      </c>
      <c r="E399" s="159">
        <v>1510300000</v>
      </c>
      <c r="F399" s="84"/>
      <c r="G399" s="101" t="s">
        <v>600</v>
      </c>
      <c r="H399" s="41">
        <f>H400+H402+H404+H406+H408+H410+H412+H414+H416+H418+H420+H422+H424+H426+H428</f>
        <v>6773.9000000000005</v>
      </c>
      <c r="I399" s="41">
        <f t="shared" ref="I399:J399" si="152">I400+I402+I404+I406+I408+I410+I412+I414+I416+I418</f>
        <v>1500</v>
      </c>
      <c r="J399" s="41">
        <f t="shared" si="152"/>
        <v>1256.3</v>
      </c>
    </row>
    <row r="400" spans="1:13" ht="51" x14ac:dyDescent="0.2">
      <c r="A400" s="148"/>
      <c r="B400" s="25"/>
      <c r="C400" s="84" t="s">
        <v>97</v>
      </c>
      <c r="D400" s="16" t="s">
        <v>95</v>
      </c>
      <c r="E400" s="159" t="s">
        <v>601</v>
      </c>
      <c r="F400" s="84"/>
      <c r="G400" s="101" t="s">
        <v>599</v>
      </c>
      <c r="H400" s="41">
        <f>H401</f>
        <v>0</v>
      </c>
      <c r="I400" s="41">
        <f>I401</f>
        <v>1500</v>
      </c>
      <c r="J400" s="41">
        <f>J401</f>
        <v>1256.3</v>
      </c>
    </row>
    <row r="401" spans="1:10" ht="38.25" x14ac:dyDescent="0.2">
      <c r="A401" s="148"/>
      <c r="B401" s="25"/>
      <c r="C401" s="84" t="s">
        <v>97</v>
      </c>
      <c r="D401" s="16" t="s">
        <v>95</v>
      </c>
      <c r="E401" s="159" t="s">
        <v>601</v>
      </c>
      <c r="F401" s="84" t="s">
        <v>214</v>
      </c>
      <c r="G401" s="101" t="s">
        <v>215</v>
      </c>
      <c r="H401" s="41">
        <f>2381.9+734.4-3116.3</f>
        <v>0</v>
      </c>
      <c r="I401" s="41">
        <v>1500</v>
      </c>
      <c r="J401" s="41">
        <v>1256.3</v>
      </c>
    </row>
    <row r="402" spans="1:10" ht="38.25" x14ac:dyDescent="0.2">
      <c r="A402" s="148"/>
      <c r="B402" s="25"/>
      <c r="C402" s="84" t="s">
        <v>97</v>
      </c>
      <c r="D402" s="16" t="s">
        <v>95</v>
      </c>
      <c r="E402" s="51" t="s">
        <v>673</v>
      </c>
      <c r="F402" s="84"/>
      <c r="G402" s="126" t="s">
        <v>678</v>
      </c>
      <c r="H402" s="41">
        <f>H403</f>
        <v>262.5</v>
      </c>
      <c r="I402" s="41">
        <f t="shared" ref="I402:J402" si="153">I403</f>
        <v>0</v>
      </c>
      <c r="J402" s="41">
        <f t="shared" si="153"/>
        <v>0</v>
      </c>
    </row>
    <row r="403" spans="1:10" ht="38.25" x14ac:dyDescent="0.2">
      <c r="A403" s="148"/>
      <c r="B403" s="25"/>
      <c r="C403" s="84" t="s">
        <v>97</v>
      </c>
      <c r="D403" s="16" t="s">
        <v>95</v>
      </c>
      <c r="E403" s="51" t="s">
        <v>673</v>
      </c>
      <c r="F403" s="84" t="s">
        <v>214</v>
      </c>
      <c r="G403" s="101" t="s">
        <v>215</v>
      </c>
      <c r="H403" s="41">
        <f>114.1+148.4</f>
        <v>262.5</v>
      </c>
      <c r="I403" s="41">
        <v>0</v>
      </c>
      <c r="J403" s="41">
        <v>0</v>
      </c>
    </row>
    <row r="404" spans="1:10" ht="51" x14ac:dyDescent="0.2">
      <c r="A404" s="148"/>
      <c r="B404" s="25"/>
      <c r="C404" s="84" t="s">
        <v>97</v>
      </c>
      <c r="D404" s="16" t="s">
        <v>95</v>
      </c>
      <c r="E404" s="51" t="s">
        <v>674</v>
      </c>
      <c r="F404" s="84"/>
      <c r="G404" s="126" t="s">
        <v>679</v>
      </c>
      <c r="H404" s="41">
        <f>H405</f>
        <v>608.1</v>
      </c>
      <c r="I404" s="41">
        <f t="shared" ref="I404:J404" si="154">I405</f>
        <v>0</v>
      </c>
      <c r="J404" s="41">
        <f t="shared" si="154"/>
        <v>0</v>
      </c>
    </row>
    <row r="405" spans="1:10" ht="38.25" x14ac:dyDescent="0.2">
      <c r="A405" s="148"/>
      <c r="B405" s="25"/>
      <c r="C405" s="84" t="s">
        <v>97</v>
      </c>
      <c r="D405" s="16" t="s">
        <v>95</v>
      </c>
      <c r="E405" s="51" t="s">
        <v>674</v>
      </c>
      <c r="F405" s="84" t="s">
        <v>214</v>
      </c>
      <c r="G405" s="101" t="s">
        <v>215</v>
      </c>
      <c r="H405" s="41">
        <f>496.8+127+0.5-3.3-12.9</f>
        <v>608.1</v>
      </c>
      <c r="I405" s="41">
        <v>0</v>
      </c>
      <c r="J405" s="41">
        <v>0</v>
      </c>
    </row>
    <row r="406" spans="1:10" ht="51" x14ac:dyDescent="0.2">
      <c r="A406" s="148"/>
      <c r="B406" s="25"/>
      <c r="C406" s="84" t="s">
        <v>97</v>
      </c>
      <c r="D406" s="16" t="s">
        <v>95</v>
      </c>
      <c r="E406" s="51" t="s">
        <v>675</v>
      </c>
      <c r="F406" s="84"/>
      <c r="G406" s="126" t="s">
        <v>680</v>
      </c>
      <c r="H406" s="41">
        <f>H407</f>
        <v>685.1</v>
      </c>
      <c r="I406" s="41">
        <f t="shared" ref="I406:J406" si="155">I407</f>
        <v>0</v>
      </c>
      <c r="J406" s="41">
        <f t="shared" si="155"/>
        <v>0</v>
      </c>
    </row>
    <row r="407" spans="1:10" ht="38.25" x14ac:dyDescent="0.2">
      <c r="A407" s="148"/>
      <c r="B407" s="25"/>
      <c r="C407" s="84" t="s">
        <v>97</v>
      </c>
      <c r="D407" s="16" t="s">
        <v>95</v>
      </c>
      <c r="E407" s="51" t="s">
        <v>675</v>
      </c>
      <c r="F407" s="84" t="s">
        <v>214</v>
      </c>
      <c r="G407" s="101" t="s">
        <v>215</v>
      </c>
      <c r="H407" s="41">
        <f>561+143.5-4+0.1-15.5</f>
        <v>685.1</v>
      </c>
      <c r="I407" s="41">
        <v>0</v>
      </c>
      <c r="J407" s="41">
        <v>0</v>
      </c>
    </row>
    <row r="408" spans="1:10" ht="51" x14ac:dyDescent="0.2">
      <c r="A408" s="148"/>
      <c r="B408" s="25"/>
      <c r="C408" s="84" t="s">
        <v>97</v>
      </c>
      <c r="D408" s="16" t="s">
        <v>95</v>
      </c>
      <c r="E408" s="51" t="s">
        <v>676</v>
      </c>
      <c r="F408" s="84"/>
      <c r="G408" s="126" t="s">
        <v>681</v>
      </c>
      <c r="H408" s="41">
        <f>H409</f>
        <v>801.9</v>
      </c>
      <c r="I408" s="41">
        <f t="shared" ref="I408:J408" si="156">I409</f>
        <v>0</v>
      </c>
      <c r="J408" s="41">
        <f t="shared" si="156"/>
        <v>0</v>
      </c>
    </row>
    <row r="409" spans="1:10" ht="38.25" x14ac:dyDescent="0.2">
      <c r="A409" s="148"/>
      <c r="B409" s="25"/>
      <c r="C409" s="84" t="s">
        <v>97</v>
      </c>
      <c r="D409" s="16" t="s">
        <v>95</v>
      </c>
      <c r="E409" s="51" t="s">
        <v>676</v>
      </c>
      <c r="F409" s="84" t="s">
        <v>214</v>
      </c>
      <c r="G409" s="101" t="s">
        <v>215</v>
      </c>
      <c r="H409" s="41">
        <f>711.4+186.6-96.1</f>
        <v>801.9</v>
      </c>
      <c r="I409" s="41">
        <v>0</v>
      </c>
      <c r="J409" s="41">
        <v>0</v>
      </c>
    </row>
    <row r="410" spans="1:10" ht="51" x14ac:dyDescent="0.2">
      <c r="A410" s="148"/>
      <c r="B410" s="25"/>
      <c r="C410" s="84" t="s">
        <v>97</v>
      </c>
      <c r="D410" s="16" t="s">
        <v>95</v>
      </c>
      <c r="E410" s="51" t="s">
        <v>677</v>
      </c>
      <c r="F410" s="84"/>
      <c r="G410" s="126" t="s">
        <v>682</v>
      </c>
      <c r="H410" s="41">
        <f>H411</f>
        <v>610.70000000000005</v>
      </c>
      <c r="I410" s="41">
        <f t="shared" ref="I410:J410" si="157">I411</f>
        <v>0</v>
      </c>
      <c r="J410" s="41">
        <f t="shared" si="157"/>
        <v>0</v>
      </c>
    </row>
    <row r="411" spans="1:10" ht="38.25" x14ac:dyDescent="0.2">
      <c r="A411" s="148"/>
      <c r="B411" s="25"/>
      <c r="C411" s="84" t="s">
        <v>97</v>
      </c>
      <c r="D411" s="16" t="s">
        <v>95</v>
      </c>
      <c r="E411" s="51" t="s">
        <v>677</v>
      </c>
      <c r="F411" s="84" t="s">
        <v>214</v>
      </c>
      <c r="G411" s="101" t="s">
        <v>215</v>
      </c>
      <c r="H411" s="41">
        <f>498.6+128.4-3.3-0.1-13+0.1</f>
        <v>610.70000000000005</v>
      </c>
      <c r="I411" s="41">
        <v>0</v>
      </c>
      <c r="J411" s="41">
        <v>0</v>
      </c>
    </row>
    <row r="412" spans="1:10" ht="51" x14ac:dyDescent="0.2">
      <c r="A412" s="148"/>
      <c r="B412" s="25"/>
      <c r="C412" s="84" t="s">
        <v>97</v>
      </c>
      <c r="D412" s="16" t="s">
        <v>95</v>
      </c>
      <c r="E412" s="188">
        <v>1510319313</v>
      </c>
      <c r="F412" s="84"/>
      <c r="G412" s="126" t="s">
        <v>679</v>
      </c>
      <c r="H412" s="41">
        <f>H413</f>
        <v>10</v>
      </c>
      <c r="I412" s="41">
        <f t="shared" ref="I412:J412" si="158">I413</f>
        <v>0</v>
      </c>
      <c r="J412" s="41">
        <f t="shared" si="158"/>
        <v>0</v>
      </c>
    </row>
    <row r="413" spans="1:10" ht="38.25" x14ac:dyDescent="0.2">
      <c r="A413" s="148"/>
      <c r="B413" s="25"/>
      <c r="C413" s="84" t="s">
        <v>97</v>
      </c>
      <c r="D413" s="16" t="s">
        <v>95</v>
      </c>
      <c r="E413" s="154">
        <v>1510319313</v>
      </c>
      <c r="F413" s="84" t="s">
        <v>214</v>
      </c>
      <c r="G413" s="101" t="s">
        <v>215</v>
      </c>
      <c r="H413" s="41">
        <v>10</v>
      </c>
      <c r="I413" s="41">
        <v>0</v>
      </c>
      <c r="J413" s="41">
        <v>0</v>
      </c>
    </row>
    <row r="414" spans="1:10" ht="51" x14ac:dyDescent="0.2">
      <c r="A414" s="148"/>
      <c r="B414" s="25"/>
      <c r="C414" s="84" t="s">
        <v>97</v>
      </c>
      <c r="D414" s="16" t="s">
        <v>95</v>
      </c>
      <c r="E414" s="154">
        <v>1510319314</v>
      </c>
      <c r="F414" s="84"/>
      <c r="G414" s="126" t="s">
        <v>680</v>
      </c>
      <c r="H414" s="41">
        <f>H415</f>
        <v>10</v>
      </c>
      <c r="I414" s="41">
        <f t="shared" ref="I414:J414" si="159">I415</f>
        <v>0</v>
      </c>
      <c r="J414" s="41">
        <f t="shared" si="159"/>
        <v>0</v>
      </c>
    </row>
    <row r="415" spans="1:10" ht="38.25" x14ac:dyDescent="0.2">
      <c r="A415" s="148"/>
      <c r="B415" s="25"/>
      <c r="C415" s="84" t="s">
        <v>97</v>
      </c>
      <c r="D415" s="16" t="s">
        <v>95</v>
      </c>
      <c r="E415" s="188">
        <v>1510319314</v>
      </c>
      <c r="F415" s="84" t="s">
        <v>214</v>
      </c>
      <c r="G415" s="101" t="s">
        <v>215</v>
      </c>
      <c r="H415" s="41">
        <v>10</v>
      </c>
      <c r="I415" s="41">
        <v>0</v>
      </c>
      <c r="J415" s="41">
        <v>0</v>
      </c>
    </row>
    <row r="416" spans="1:10" ht="51" x14ac:dyDescent="0.2">
      <c r="A416" s="148"/>
      <c r="B416" s="25"/>
      <c r="C416" s="84" t="s">
        <v>97</v>
      </c>
      <c r="D416" s="16" t="s">
        <v>95</v>
      </c>
      <c r="E416" s="154">
        <v>1510319315</v>
      </c>
      <c r="F416" s="84"/>
      <c r="G416" s="126" t="s">
        <v>690</v>
      </c>
      <c r="H416" s="41">
        <f>H417</f>
        <v>10</v>
      </c>
      <c r="I416" s="41">
        <f t="shared" ref="I416:J416" si="160">I417</f>
        <v>0</v>
      </c>
      <c r="J416" s="41">
        <f t="shared" si="160"/>
        <v>0</v>
      </c>
    </row>
    <row r="417" spans="1:10" ht="38.25" x14ac:dyDescent="0.2">
      <c r="A417" s="148"/>
      <c r="B417" s="25"/>
      <c r="C417" s="84" t="s">
        <v>97</v>
      </c>
      <c r="D417" s="16" t="s">
        <v>95</v>
      </c>
      <c r="E417" s="154">
        <v>1510319315</v>
      </c>
      <c r="F417" s="84" t="s">
        <v>214</v>
      </c>
      <c r="G417" s="101" t="s">
        <v>215</v>
      </c>
      <c r="H417" s="41">
        <v>10</v>
      </c>
      <c r="I417" s="41">
        <v>0</v>
      </c>
      <c r="J417" s="41">
        <v>0</v>
      </c>
    </row>
    <row r="418" spans="1:10" ht="51" x14ac:dyDescent="0.2">
      <c r="A418" s="148"/>
      <c r="B418" s="25"/>
      <c r="C418" s="84" t="s">
        <v>97</v>
      </c>
      <c r="D418" s="16" t="s">
        <v>95</v>
      </c>
      <c r="E418" s="154">
        <v>1510319316</v>
      </c>
      <c r="F418" s="84"/>
      <c r="G418" s="126" t="s">
        <v>682</v>
      </c>
      <c r="H418" s="41">
        <f>H419</f>
        <v>10</v>
      </c>
      <c r="I418" s="41">
        <f t="shared" ref="I418:J418" si="161">I419</f>
        <v>0</v>
      </c>
      <c r="J418" s="41">
        <f t="shared" si="161"/>
        <v>0</v>
      </c>
    </row>
    <row r="419" spans="1:10" ht="38.25" x14ac:dyDescent="0.2">
      <c r="A419" s="148"/>
      <c r="B419" s="25"/>
      <c r="C419" s="84" t="s">
        <v>97</v>
      </c>
      <c r="D419" s="16" t="s">
        <v>95</v>
      </c>
      <c r="E419" s="154">
        <v>1510319316</v>
      </c>
      <c r="F419" s="84" t="s">
        <v>214</v>
      </c>
      <c r="G419" s="101" t="s">
        <v>215</v>
      </c>
      <c r="H419" s="41">
        <v>10</v>
      </c>
      <c r="I419" s="41">
        <v>0</v>
      </c>
      <c r="J419" s="41">
        <v>0</v>
      </c>
    </row>
    <row r="420" spans="1:10" ht="38.25" x14ac:dyDescent="0.2">
      <c r="A420" s="148"/>
      <c r="B420" s="25"/>
      <c r="C420" s="84" t="s">
        <v>97</v>
      </c>
      <c r="D420" s="16" t="s">
        <v>95</v>
      </c>
      <c r="E420" s="154">
        <v>1510319012</v>
      </c>
      <c r="F420" s="84"/>
      <c r="G420" s="126" t="s">
        <v>678</v>
      </c>
      <c r="H420" s="41">
        <f>H421</f>
        <v>1021.8</v>
      </c>
      <c r="I420" s="41">
        <f t="shared" ref="I420:J420" si="162">I421</f>
        <v>0</v>
      </c>
      <c r="J420" s="41">
        <f t="shared" si="162"/>
        <v>0</v>
      </c>
    </row>
    <row r="421" spans="1:10" ht="38.25" x14ac:dyDescent="0.2">
      <c r="A421" s="148"/>
      <c r="B421" s="25"/>
      <c r="C421" s="84" t="s">
        <v>97</v>
      </c>
      <c r="D421" s="16" t="s">
        <v>95</v>
      </c>
      <c r="E421" s="188">
        <v>1510319012</v>
      </c>
      <c r="F421" s="84" t="s">
        <v>214</v>
      </c>
      <c r="G421" s="101" t="s">
        <v>215</v>
      </c>
      <c r="H421" s="41">
        <v>1021.8</v>
      </c>
      <c r="I421" s="41">
        <v>0</v>
      </c>
      <c r="J421" s="41">
        <v>0</v>
      </c>
    </row>
    <row r="422" spans="1:10" ht="51" x14ac:dyDescent="0.2">
      <c r="A422" s="148"/>
      <c r="B422" s="25"/>
      <c r="C422" s="84" t="s">
        <v>97</v>
      </c>
      <c r="D422" s="16" t="s">
        <v>95</v>
      </c>
      <c r="E422" s="154">
        <v>1510319013</v>
      </c>
      <c r="F422" s="84"/>
      <c r="G422" s="126" t="s">
        <v>679</v>
      </c>
      <c r="H422" s="41">
        <f>H423</f>
        <v>617.9</v>
      </c>
      <c r="I422" s="41">
        <f t="shared" ref="I422:J422" si="163">I423</f>
        <v>0</v>
      </c>
      <c r="J422" s="41">
        <f t="shared" si="163"/>
        <v>0</v>
      </c>
    </row>
    <row r="423" spans="1:10" ht="38.25" x14ac:dyDescent="0.2">
      <c r="A423" s="148"/>
      <c r="B423" s="25"/>
      <c r="C423" s="84" t="s">
        <v>97</v>
      </c>
      <c r="D423" s="16" t="s">
        <v>95</v>
      </c>
      <c r="E423" s="154">
        <v>1510319013</v>
      </c>
      <c r="F423" s="84" t="s">
        <v>214</v>
      </c>
      <c r="G423" s="101" t="s">
        <v>215</v>
      </c>
      <c r="H423" s="41">
        <f>634.4-16.5</f>
        <v>617.9</v>
      </c>
      <c r="I423" s="41">
        <v>0</v>
      </c>
      <c r="J423" s="41">
        <v>0</v>
      </c>
    </row>
    <row r="424" spans="1:10" ht="51" x14ac:dyDescent="0.2">
      <c r="A424" s="148"/>
      <c r="B424" s="25"/>
      <c r="C424" s="84" t="s">
        <v>97</v>
      </c>
      <c r="D424" s="16" t="s">
        <v>95</v>
      </c>
      <c r="E424" s="154">
        <v>1510319014</v>
      </c>
      <c r="F424" s="84"/>
      <c r="G424" s="126" t="s">
        <v>680</v>
      </c>
      <c r="H424" s="41">
        <f>H425</f>
        <v>694.8</v>
      </c>
      <c r="I424" s="41">
        <f t="shared" ref="I424:J424" si="164">I425</f>
        <v>0</v>
      </c>
      <c r="J424" s="41">
        <f t="shared" si="164"/>
        <v>0</v>
      </c>
    </row>
    <row r="425" spans="1:10" ht="38.25" x14ac:dyDescent="0.2">
      <c r="A425" s="148"/>
      <c r="B425" s="25"/>
      <c r="C425" s="84" t="s">
        <v>97</v>
      </c>
      <c r="D425" s="16" t="s">
        <v>95</v>
      </c>
      <c r="E425" s="154">
        <v>1510319014</v>
      </c>
      <c r="F425" s="84" t="s">
        <v>214</v>
      </c>
      <c r="G425" s="101" t="s">
        <v>215</v>
      </c>
      <c r="H425" s="41">
        <f>714.5-19.7</f>
        <v>694.8</v>
      </c>
      <c r="I425" s="41">
        <v>0</v>
      </c>
      <c r="J425" s="41">
        <v>0</v>
      </c>
    </row>
    <row r="426" spans="1:10" ht="51" x14ac:dyDescent="0.2">
      <c r="A426" s="148"/>
      <c r="B426" s="25"/>
      <c r="C426" s="84" t="s">
        <v>97</v>
      </c>
      <c r="D426" s="16" t="s">
        <v>95</v>
      </c>
      <c r="E426" s="154">
        <v>1510319015</v>
      </c>
      <c r="F426" s="84"/>
      <c r="G426" s="126" t="s">
        <v>691</v>
      </c>
      <c r="H426" s="41">
        <f>H427</f>
        <v>810.8</v>
      </c>
      <c r="I426" s="41">
        <f t="shared" ref="I426:J426" si="165">I427</f>
        <v>0</v>
      </c>
      <c r="J426" s="41">
        <f t="shared" si="165"/>
        <v>0</v>
      </c>
    </row>
    <row r="427" spans="1:10" ht="38.25" x14ac:dyDescent="0.2">
      <c r="A427" s="148"/>
      <c r="B427" s="25"/>
      <c r="C427" s="84" t="s">
        <v>97</v>
      </c>
      <c r="D427" s="16" t="s">
        <v>95</v>
      </c>
      <c r="E427" s="154">
        <v>1510319015</v>
      </c>
      <c r="F427" s="84" t="s">
        <v>214</v>
      </c>
      <c r="G427" s="101" t="s">
        <v>215</v>
      </c>
      <c r="H427" s="41">
        <f>908-97.2</f>
        <v>810.8</v>
      </c>
      <c r="I427" s="41">
        <v>0</v>
      </c>
      <c r="J427" s="41">
        <v>0</v>
      </c>
    </row>
    <row r="428" spans="1:10" ht="51" x14ac:dyDescent="0.2">
      <c r="A428" s="148"/>
      <c r="B428" s="25"/>
      <c r="C428" s="84" t="s">
        <v>97</v>
      </c>
      <c r="D428" s="16" t="s">
        <v>95</v>
      </c>
      <c r="E428" s="154">
        <v>1510319016</v>
      </c>
      <c r="F428" s="84"/>
      <c r="G428" s="126" t="s">
        <v>692</v>
      </c>
      <c r="H428" s="41">
        <f>H429</f>
        <v>620.29999999999995</v>
      </c>
      <c r="I428" s="41">
        <f t="shared" ref="I428:J428" si="166">I429</f>
        <v>0</v>
      </c>
      <c r="J428" s="41">
        <f t="shared" si="166"/>
        <v>0</v>
      </c>
    </row>
    <row r="429" spans="1:10" ht="38.25" x14ac:dyDescent="0.2">
      <c r="A429" s="148"/>
      <c r="B429" s="25"/>
      <c r="C429" s="84" t="s">
        <v>97</v>
      </c>
      <c r="D429" s="16" t="s">
        <v>95</v>
      </c>
      <c r="E429" s="154">
        <v>1510319016</v>
      </c>
      <c r="F429" s="84" t="s">
        <v>214</v>
      </c>
      <c r="G429" s="101" t="s">
        <v>215</v>
      </c>
      <c r="H429" s="41">
        <f>636.9-16.6</f>
        <v>620.29999999999995</v>
      </c>
      <c r="I429" s="41">
        <v>0</v>
      </c>
      <c r="J429" s="41">
        <v>0</v>
      </c>
    </row>
    <row r="430" spans="1:10" ht="63.75" x14ac:dyDescent="0.2">
      <c r="A430" s="148"/>
      <c r="B430" s="25"/>
      <c r="C430" s="84" t="s">
        <v>97</v>
      </c>
      <c r="D430" s="84" t="s">
        <v>95</v>
      </c>
      <c r="E430" s="175">
        <v>1520000000</v>
      </c>
      <c r="F430" s="84"/>
      <c r="G430" s="48" t="s">
        <v>602</v>
      </c>
      <c r="H430" s="41">
        <f t="shared" ref="H430:J431" si="167">H431</f>
        <v>2558.6999999999998</v>
      </c>
      <c r="I430" s="41">
        <f t="shared" si="167"/>
        <v>0</v>
      </c>
      <c r="J430" s="41">
        <f t="shared" si="167"/>
        <v>0</v>
      </c>
    </row>
    <row r="431" spans="1:10" ht="76.5" x14ac:dyDescent="0.2">
      <c r="A431" s="148"/>
      <c r="B431" s="25"/>
      <c r="C431" s="84" t="s">
        <v>97</v>
      </c>
      <c r="D431" s="16" t="s">
        <v>95</v>
      </c>
      <c r="E431" s="175">
        <v>1520200000</v>
      </c>
      <c r="F431" s="84"/>
      <c r="G431" s="101" t="s">
        <v>622</v>
      </c>
      <c r="H431" s="41">
        <f>H432</f>
        <v>2558.6999999999998</v>
      </c>
      <c r="I431" s="41">
        <f t="shared" si="167"/>
        <v>0</v>
      </c>
      <c r="J431" s="41">
        <f t="shared" si="167"/>
        <v>0</v>
      </c>
    </row>
    <row r="432" spans="1:10" ht="25.5" x14ac:dyDescent="0.2">
      <c r="A432" s="148"/>
      <c r="B432" s="25"/>
      <c r="C432" s="112" t="s">
        <v>97</v>
      </c>
      <c r="D432" s="124" t="s">
        <v>95</v>
      </c>
      <c r="E432" s="184">
        <v>1520224007</v>
      </c>
      <c r="F432" s="112"/>
      <c r="G432" s="101" t="s">
        <v>630</v>
      </c>
      <c r="H432" s="110">
        <f>H433</f>
        <v>2558.6999999999998</v>
      </c>
      <c r="I432" s="110">
        <f t="shared" ref="I432:J432" si="168">I433</f>
        <v>0</v>
      </c>
      <c r="J432" s="110">
        <f t="shared" si="168"/>
        <v>0</v>
      </c>
    </row>
    <row r="433" spans="1:10" ht="38.25" x14ac:dyDescent="0.2">
      <c r="A433" s="148"/>
      <c r="B433" s="25"/>
      <c r="C433" s="112" t="s">
        <v>97</v>
      </c>
      <c r="D433" s="124" t="s">
        <v>95</v>
      </c>
      <c r="E433" s="184">
        <v>1520224007</v>
      </c>
      <c r="F433" s="112" t="s">
        <v>214</v>
      </c>
      <c r="G433" s="101" t="s">
        <v>215</v>
      </c>
      <c r="H433" s="41">
        <f>2222.1+336.7-0.2+0.1</f>
        <v>2558.6999999999998</v>
      </c>
      <c r="I433" s="110">
        <v>0</v>
      </c>
      <c r="J433" s="110">
        <v>0</v>
      </c>
    </row>
    <row r="434" spans="1:10" ht="25.5" x14ac:dyDescent="0.2">
      <c r="A434" s="148"/>
      <c r="B434" s="25"/>
      <c r="C434" s="84" t="s">
        <v>97</v>
      </c>
      <c r="D434" s="16" t="s">
        <v>95</v>
      </c>
      <c r="E434" s="84" t="s">
        <v>26</v>
      </c>
      <c r="F434" s="84"/>
      <c r="G434" s="103" t="s">
        <v>40</v>
      </c>
      <c r="H434" s="41">
        <f>H435</f>
        <v>100</v>
      </c>
      <c r="I434" s="41">
        <f t="shared" ref="I434:J434" si="169">I435</f>
        <v>0</v>
      </c>
      <c r="J434" s="41">
        <f t="shared" si="169"/>
        <v>0</v>
      </c>
    </row>
    <row r="435" spans="1:10" ht="43.5" customHeight="1" x14ac:dyDescent="0.2">
      <c r="A435" s="148"/>
      <c r="B435" s="25"/>
      <c r="C435" s="84" t="s">
        <v>97</v>
      </c>
      <c r="D435" s="16" t="s">
        <v>95</v>
      </c>
      <c r="E435" s="84" t="s">
        <v>628</v>
      </c>
      <c r="F435" s="16"/>
      <c r="G435" s="54" t="s">
        <v>627</v>
      </c>
      <c r="H435" s="41">
        <f>SUM(H436:H436)</f>
        <v>100</v>
      </c>
      <c r="I435" s="41">
        <f>SUM(I436:I436)</f>
        <v>0</v>
      </c>
      <c r="J435" s="41">
        <f>SUM(J436:J436)</f>
        <v>0</v>
      </c>
    </row>
    <row r="436" spans="1:10" ht="38.25" x14ac:dyDescent="0.2">
      <c r="A436" s="148"/>
      <c r="B436" s="25"/>
      <c r="C436" s="84" t="s">
        <v>97</v>
      </c>
      <c r="D436" s="16" t="s">
        <v>95</v>
      </c>
      <c r="E436" s="84" t="s">
        <v>628</v>
      </c>
      <c r="F436" s="84" t="s">
        <v>214</v>
      </c>
      <c r="G436" s="101" t="s">
        <v>215</v>
      </c>
      <c r="H436" s="39">
        <v>100</v>
      </c>
      <c r="I436" s="39">
        <v>0</v>
      </c>
      <c r="J436" s="39">
        <v>0</v>
      </c>
    </row>
    <row r="437" spans="1:10" ht="29.25" customHeight="1" x14ac:dyDescent="0.2">
      <c r="A437" s="148"/>
      <c r="B437" s="25"/>
      <c r="C437" s="30" t="s">
        <v>97</v>
      </c>
      <c r="D437" s="30" t="s">
        <v>97</v>
      </c>
      <c r="E437" s="30"/>
      <c r="F437" s="30"/>
      <c r="G437" s="50" t="s">
        <v>518</v>
      </c>
      <c r="H437" s="96">
        <f>H438</f>
        <v>1409.1000000000001</v>
      </c>
      <c r="I437" s="96">
        <f t="shared" ref="I437:J437" si="170">I438</f>
        <v>1180.9000000000001</v>
      </c>
      <c r="J437" s="96">
        <f t="shared" si="170"/>
        <v>1180.9000000000001</v>
      </c>
    </row>
    <row r="438" spans="1:10" ht="63.75" x14ac:dyDescent="0.2">
      <c r="A438" s="148"/>
      <c r="B438" s="25"/>
      <c r="C438" s="5" t="s">
        <v>97</v>
      </c>
      <c r="D438" s="5" t="s">
        <v>97</v>
      </c>
      <c r="E438" s="76">
        <v>400000000</v>
      </c>
      <c r="F438" s="30"/>
      <c r="G438" s="64" t="s">
        <v>397</v>
      </c>
      <c r="H438" s="99">
        <f>H439</f>
        <v>1409.1000000000001</v>
      </c>
      <c r="I438" s="99">
        <f t="shared" ref="I438:J438" si="171">I439</f>
        <v>1180.9000000000001</v>
      </c>
      <c r="J438" s="99">
        <f t="shared" si="171"/>
        <v>1180.9000000000001</v>
      </c>
    </row>
    <row r="439" spans="1:10" ht="127.5" x14ac:dyDescent="0.2">
      <c r="A439" s="148"/>
      <c r="B439" s="25"/>
      <c r="C439" s="84" t="s">
        <v>97</v>
      </c>
      <c r="D439" s="84" t="s">
        <v>97</v>
      </c>
      <c r="E439" s="75">
        <v>430000000</v>
      </c>
      <c r="F439" s="16"/>
      <c r="G439" s="122" t="s">
        <v>517</v>
      </c>
      <c r="H439" s="39">
        <f>H440</f>
        <v>1409.1000000000001</v>
      </c>
      <c r="I439" s="39">
        <f t="shared" ref="I439:J439" si="172">I440</f>
        <v>1180.9000000000001</v>
      </c>
      <c r="J439" s="39">
        <f t="shared" si="172"/>
        <v>1180.9000000000001</v>
      </c>
    </row>
    <row r="440" spans="1:10" ht="51" x14ac:dyDescent="0.2">
      <c r="A440" s="148"/>
      <c r="B440" s="25"/>
      <c r="C440" s="84" t="s">
        <v>97</v>
      </c>
      <c r="D440" s="84" t="s">
        <v>97</v>
      </c>
      <c r="E440" s="74">
        <v>430100000</v>
      </c>
      <c r="F440" s="30"/>
      <c r="G440" s="100" t="s">
        <v>236</v>
      </c>
      <c r="H440" s="102">
        <f>H441+H443</f>
        <v>1409.1000000000001</v>
      </c>
      <c r="I440" s="102">
        <f t="shared" ref="I440:J440" si="173">I441+I443</f>
        <v>1180.9000000000001</v>
      </c>
      <c r="J440" s="102">
        <f t="shared" si="173"/>
        <v>1180.9000000000001</v>
      </c>
    </row>
    <row r="441" spans="1:10" ht="102" x14ac:dyDescent="0.2">
      <c r="A441" s="148"/>
      <c r="B441" s="25"/>
      <c r="C441" s="84" t="s">
        <v>97</v>
      </c>
      <c r="D441" s="84" t="s">
        <v>97</v>
      </c>
      <c r="E441" s="80">
        <v>430127310</v>
      </c>
      <c r="F441" s="16"/>
      <c r="G441" s="101" t="s">
        <v>341</v>
      </c>
      <c r="H441" s="41">
        <f>H442</f>
        <v>1228.2</v>
      </c>
      <c r="I441" s="41">
        <f>I442</f>
        <v>1000</v>
      </c>
      <c r="J441" s="41">
        <f>J442</f>
        <v>1000</v>
      </c>
    </row>
    <row r="442" spans="1:10" ht="63.75" x14ac:dyDescent="0.2">
      <c r="A442" s="148"/>
      <c r="B442" s="25"/>
      <c r="C442" s="84" t="s">
        <v>97</v>
      </c>
      <c r="D442" s="84" t="s">
        <v>97</v>
      </c>
      <c r="E442" s="80">
        <v>430127310</v>
      </c>
      <c r="F442" s="16" t="s">
        <v>13</v>
      </c>
      <c r="G442" s="101" t="s">
        <v>329</v>
      </c>
      <c r="H442" s="41">
        <f>1000+235.4-7.2</f>
        <v>1228.2</v>
      </c>
      <c r="I442" s="41">
        <v>1000</v>
      </c>
      <c r="J442" s="41">
        <v>1000</v>
      </c>
    </row>
    <row r="443" spans="1:10" ht="102" x14ac:dyDescent="0.2">
      <c r="A443" s="148"/>
      <c r="B443" s="25"/>
      <c r="C443" s="84" t="s">
        <v>97</v>
      </c>
      <c r="D443" s="84" t="s">
        <v>97</v>
      </c>
      <c r="E443" s="80">
        <v>430127320</v>
      </c>
      <c r="F443" s="16"/>
      <c r="G443" s="101" t="s">
        <v>519</v>
      </c>
      <c r="H443" s="41">
        <f>H444</f>
        <v>180.9</v>
      </c>
      <c r="I443" s="41">
        <f t="shared" ref="I443:J443" si="174">I444</f>
        <v>180.9</v>
      </c>
      <c r="J443" s="41">
        <f t="shared" si="174"/>
        <v>180.9</v>
      </c>
    </row>
    <row r="444" spans="1:10" ht="63.75" x14ac:dyDescent="0.2">
      <c r="A444" s="148"/>
      <c r="B444" s="25"/>
      <c r="C444" s="84" t="s">
        <v>97</v>
      </c>
      <c r="D444" s="84" t="s">
        <v>97</v>
      </c>
      <c r="E444" s="80">
        <v>430127320</v>
      </c>
      <c r="F444" s="16" t="s">
        <v>13</v>
      </c>
      <c r="G444" s="101" t="s">
        <v>329</v>
      </c>
      <c r="H444" s="41">
        <v>180.9</v>
      </c>
      <c r="I444" s="41">
        <v>180.9</v>
      </c>
      <c r="J444" s="41">
        <v>180.9</v>
      </c>
    </row>
    <row r="445" spans="1:10" ht="15.75" x14ac:dyDescent="0.25">
      <c r="A445" s="3"/>
      <c r="B445" s="94"/>
      <c r="C445" s="4" t="s">
        <v>112</v>
      </c>
      <c r="D445" s="3"/>
      <c r="E445" s="3"/>
      <c r="F445" s="3"/>
      <c r="G445" s="49" t="s">
        <v>113</v>
      </c>
      <c r="H445" s="95">
        <f>H446+H452+H462</f>
        <v>30241.899999999998</v>
      </c>
      <c r="I445" s="95">
        <f t="shared" ref="I445:J445" si="175">I446+I452+I462</f>
        <v>10847.9</v>
      </c>
      <c r="J445" s="95">
        <f t="shared" si="175"/>
        <v>13305.8</v>
      </c>
    </row>
    <row r="446" spans="1:10" ht="15.75" x14ac:dyDescent="0.25">
      <c r="A446" s="3"/>
      <c r="B446" s="94"/>
      <c r="C446" s="35" t="s">
        <v>112</v>
      </c>
      <c r="D446" s="35" t="s">
        <v>90</v>
      </c>
      <c r="E446" s="35"/>
      <c r="F446" s="35"/>
      <c r="G446" s="45" t="s">
        <v>114</v>
      </c>
      <c r="H446" s="42">
        <f t="shared" ref="H446:J447" si="176">H447</f>
        <v>1962.8000000000002</v>
      </c>
      <c r="I446" s="42">
        <f t="shared" si="176"/>
        <v>2310.8000000000002</v>
      </c>
      <c r="J446" s="42">
        <f t="shared" si="176"/>
        <v>2499.8000000000002</v>
      </c>
    </row>
    <row r="447" spans="1:10" ht="79.5" customHeight="1" x14ac:dyDescent="0.25">
      <c r="A447" s="3"/>
      <c r="B447" s="94"/>
      <c r="C447" s="5" t="s">
        <v>112</v>
      </c>
      <c r="D447" s="5" t="s">
        <v>90</v>
      </c>
      <c r="E447" s="73" t="s">
        <v>37</v>
      </c>
      <c r="F447" s="3"/>
      <c r="G447" s="185" t="s">
        <v>649</v>
      </c>
      <c r="H447" s="99">
        <f t="shared" si="176"/>
        <v>1962.8000000000002</v>
      </c>
      <c r="I447" s="99">
        <f t="shared" si="176"/>
        <v>2310.8000000000002</v>
      </c>
      <c r="J447" s="99">
        <f t="shared" si="176"/>
        <v>2499.8000000000002</v>
      </c>
    </row>
    <row r="448" spans="1:10" ht="26.25" x14ac:dyDescent="0.25">
      <c r="A448" s="3"/>
      <c r="B448" s="94"/>
      <c r="C448" s="16" t="s">
        <v>112</v>
      </c>
      <c r="D448" s="16" t="s">
        <v>90</v>
      </c>
      <c r="E448" s="52" t="s">
        <v>39</v>
      </c>
      <c r="F448" s="3"/>
      <c r="G448" s="46" t="s">
        <v>82</v>
      </c>
      <c r="H448" s="96">
        <f>H450</f>
        <v>1962.8000000000002</v>
      </c>
      <c r="I448" s="96">
        <f t="shared" ref="I448:J448" si="177">I450</f>
        <v>2310.8000000000002</v>
      </c>
      <c r="J448" s="96">
        <f t="shared" si="177"/>
        <v>2499.8000000000002</v>
      </c>
    </row>
    <row r="449" spans="1:13" ht="26.25" x14ac:dyDescent="0.25">
      <c r="A449" s="3"/>
      <c r="B449" s="94"/>
      <c r="C449" s="16" t="s">
        <v>112</v>
      </c>
      <c r="D449" s="16" t="s">
        <v>90</v>
      </c>
      <c r="E449" s="21" t="s">
        <v>284</v>
      </c>
      <c r="F449" s="3"/>
      <c r="G449" s="113" t="s">
        <v>287</v>
      </c>
      <c r="H449" s="102">
        <f t="shared" ref="H449:J450" si="178">H450</f>
        <v>1962.8000000000002</v>
      </c>
      <c r="I449" s="102">
        <f t="shared" si="178"/>
        <v>2310.8000000000002</v>
      </c>
      <c r="J449" s="102">
        <f t="shared" si="178"/>
        <v>2499.8000000000002</v>
      </c>
    </row>
    <row r="450" spans="1:13" ht="26.25" x14ac:dyDescent="0.25">
      <c r="A450" s="3"/>
      <c r="B450" s="94"/>
      <c r="C450" s="16" t="s">
        <v>112</v>
      </c>
      <c r="D450" s="16" t="s">
        <v>90</v>
      </c>
      <c r="E450" s="80">
        <v>1320225100</v>
      </c>
      <c r="F450" s="3"/>
      <c r="G450" s="171" t="s">
        <v>378</v>
      </c>
      <c r="H450" s="41">
        <f t="shared" si="178"/>
        <v>1962.8000000000002</v>
      </c>
      <c r="I450" s="41">
        <f t="shared" si="178"/>
        <v>2310.8000000000002</v>
      </c>
      <c r="J450" s="41">
        <f t="shared" si="178"/>
        <v>2499.8000000000002</v>
      </c>
    </row>
    <row r="451" spans="1:13" ht="25.5" x14ac:dyDescent="0.25">
      <c r="A451" s="3"/>
      <c r="B451" s="94"/>
      <c r="C451" s="16" t="s">
        <v>112</v>
      </c>
      <c r="D451" s="16" t="s">
        <v>90</v>
      </c>
      <c r="E451" s="80">
        <v>1320225100</v>
      </c>
      <c r="F451" s="84" t="s">
        <v>285</v>
      </c>
      <c r="G451" s="101" t="s">
        <v>286</v>
      </c>
      <c r="H451" s="39">
        <f>2710.8-801.4+53.4</f>
        <v>1962.8000000000002</v>
      </c>
      <c r="I451" s="39">
        <v>2310.8000000000002</v>
      </c>
      <c r="J451" s="39">
        <v>2499.8000000000002</v>
      </c>
    </row>
    <row r="452" spans="1:13" ht="15.75" x14ac:dyDescent="0.25">
      <c r="A452" s="3"/>
      <c r="B452" s="94"/>
      <c r="C452" s="35" t="s">
        <v>112</v>
      </c>
      <c r="D452" s="35" t="s">
        <v>95</v>
      </c>
      <c r="E452" s="35"/>
      <c r="F452" s="35"/>
      <c r="G452" s="45" t="s">
        <v>118</v>
      </c>
      <c r="H452" s="42">
        <f>H453+H458</f>
        <v>738</v>
      </c>
      <c r="I452" s="42">
        <f t="shared" ref="I452:J452" si="179">I453+I458</f>
        <v>638</v>
      </c>
      <c r="J452" s="42">
        <f t="shared" si="179"/>
        <v>638</v>
      </c>
    </row>
    <row r="453" spans="1:13" ht="75.75" customHeight="1" x14ac:dyDescent="0.25">
      <c r="A453" s="3"/>
      <c r="B453" s="94"/>
      <c r="C453" s="5" t="s">
        <v>112</v>
      </c>
      <c r="D453" s="5" t="s">
        <v>95</v>
      </c>
      <c r="E453" s="73" t="s">
        <v>37</v>
      </c>
      <c r="F453" s="3"/>
      <c r="G453" s="185" t="s">
        <v>649</v>
      </c>
      <c r="H453" s="59">
        <f t="shared" ref="H453:J453" si="180">H454</f>
        <v>688</v>
      </c>
      <c r="I453" s="59">
        <f t="shared" si="180"/>
        <v>638</v>
      </c>
      <c r="J453" s="59">
        <f t="shared" si="180"/>
        <v>638</v>
      </c>
      <c r="M453" s="107"/>
    </row>
    <row r="454" spans="1:13" ht="26.25" x14ac:dyDescent="0.25">
      <c r="A454" s="3"/>
      <c r="B454" s="94"/>
      <c r="C454" s="47" t="s">
        <v>112</v>
      </c>
      <c r="D454" s="47" t="s">
        <v>95</v>
      </c>
      <c r="E454" s="52" t="s">
        <v>39</v>
      </c>
      <c r="F454" s="16"/>
      <c r="G454" s="46" t="s">
        <v>82</v>
      </c>
      <c r="H454" s="96">
        <f>H456</f>
        <v>688</v>
      </c>
      <c r="I454" s="96">
        <f t="shared" ref="I454:J454" si="181">I456</f>
        <v>638</v>
      </c>
      <c r="J454" s="96">
        <f t="shared" si="181"/>
        <v>638</v>
      </c>
    </row>
    <row r="455" spans="1:13" ht="51.75" x14ac:dyDescent="0.25">
      <c r="A455" s="3"/>
      <c r="B455" s="94"/>
      <c r="C455" s="16" t="s">
        <v>112</v>
      </c>
      <c r="D455" s="16" t="s">
        <v>95</v>
      </c>
      <c r="E455" s="21" t="s">
        <v>284</v>
      </c>
      <c r="F455" s="16"/>
      <c r="G455" s="113" t="s">
        <v>309</v>
      </c>
      <c r="H455" s="41">
        <f t="shared" ref="H455:J456" si="182">H456</f>
        <v>688</v>
      </c>
      <c r="I455" s="41">
        <f t="shared" si="182"/>
        <v>638</v>
      </c>
      <c r="J455" s="41">
        <f t="shared" si="182"/>
        <v>638</v>
      </c>
    </row>
    <row r="456" spans="1:13" ht="50.25" customHeight="1" x14ac:dyDescent="0.25">
      <c r="A456" s="3"/>
      <c r="B456" s="94"/>
      <c r="C456" s="16" t="s">
        <v>112</v>
      </c>
      <c r="D456" s="16" t="s">
        <v>95</v>
      </c>
      <c r="E456" s="80">
        <v>1320127100</v>
      </c>
      <c r="F456" s="16"/>
      <c r="G456" s="101" t="s">
        <v>3</v>
      </c>
      <c r="H456" s="41">
        <f t="shared" si="182"/>
        <v>688</v>
      </c>
      <c r="I456" s="41">
        <f t="shared" si="182"/>
        <v>638</v>
      </c>
      <c r="J456" s="41">
        <f t="shared" si="182"/>
        <v>638</v>
      </c>
    </row>
    <row r="457" spans="1:13" ht="64.5" customHeight="1" x14ac:dyDescent="0.25">
      <c r="A457" s="3"/>
      <c r="B457" s="94"/>
      <c r="C457" s="16" t="s">
        <v>112</v>
      </c>
      <c r="D457" s="16" t="s">
        <v>95</v>
      </c>
      <c r="E457" s="80">
        <v>1320127100</v>
      </c>
      <c r="F457" s="16" t="s">
        <v>20</v>
      </c>
      <c r="G457" s="103" t="s">
        <v>376</v>
      </c>
      <c r="H457" s="41">
        <f>638+50</f>
        <v>688</v>
      </c>
      <c r="I457" s="41">
        <v>638</v>
      </c>
      <c r="J457" s="41">
        <v>638</v>
      </c>
    </row>
    <row r="458" spans="1:13" ht="31.5" customHeight="1" x14ac:dyDescent="0.25">
      <c r="A458" s="3"/>
      <c r="B458" s="94"/>
      <c r="C458" s="5" t="s">
        <v>112</v>
      </c>
      <c r="D458" s="5" t="s">
        <v>95</v>
      </c>
      <c r="E458" s="85">
        <v>9900000000</v>
      </c>
      <c r="F458" s="5"/>
      <c r="G458" s="86" t="s">
        <v>146</v>
      </c>
      <c r="H458" s="62">
        <f>H459</f>
        <v>50</v>
      </c>
      <c r="I458" s="62">
        <f t="shared" ref="I458:J458" si="183">I459</f>
        <v>0</v>
      </c>
      <c r="J458" s="62">
        <f t="shared" si="183"/>
        <v>0</v>
      </c>
    </row>
    <row r="459" spans="1:13" ht="15" customHeight="1" x14ac:dyDescent="0.25">
      <c r="A459" s="3"/>
      <c r="B459" s="94"/>
      <c r="C459" s="16" t="s">
        <v>112</v>
      </c>
      <c r="D459" s="16" t="s">
        <v>95</v>
      </c>
      <c r="E459" s="80">
        <v>9920000000</v>
      </c>
      <c r="F459" s="35"/>
      <c r="G459" s="156" t="s">
        <v>5</v>
      </c>
      <c r="H459" s="97">
        <f t="shared" ref="H459:J460" si="184">H460</f>
        <v>50</v>
      </c>
      <c r="I459" s="97">
        <f t="shared" si="184"/>
        <v>0</v>
      </c>
      <c r="J459" s="97">
        <f t="shared" si="184"/>
        <v>0</v>
      </c>
    </row>
    <row r="460" spans="1:13" ht="25.5" customHeight="1" x14ac:dyDescent="0.25">
      <c r="A460" s="3"/>
      <c r="B460" s="94"/>
      <c r="C460" s="16" t="s">
        <v>112</v>
      </c>
      <c r="D460" s="16" t="s">
        <v>95</v>
      </c>
      <c r="E460" s="80">
        <v>9920026100</v>
      </c>
      <c r="F460" s="21"/>
      <c r="G460" s="22" t="s">
        <v>11</v>
      </c>
      <c r="H460" s="39">
        <f t="shared" si="184"/>
        <v>50</v>
      </c>
      <c r="I460" s="39">
        <f t="shared" si="184"/>
        <v>0</v>
      </c>
      <c r="J460" s="39">
        <f t="shared" si="184"/>
        <v>0</v>
      </c>
    </row>
    <row r="461" spans="1:13" ht="16.5" customHeight="1" x14ac:dyDescent="0.25">
      <c r="A461" s="3"/>
      <c r="B461" s="94"/>
      <c r="C461" s="16" t="s">
        <v>112</v>
      </c>
      <c r="D461" s="16" t="s">
        <v>95</v>
      </c>
      <c r="E461" s="80">
        <v>9920026100</v>
      </c>
      <c r="F461" s="84" t="s">
        <v>83</v>
      </c>
      <c r="G461" s="101" t="s">
        <v>84</v>
      </c>
      <c r="H461" s="39">
        <v>50</v>
      </c>
      <c r="I461" s="39">
        <v>0</v>
      </c>
      <c r="J461" s="39">
        <v>0</v>
      </c>
    </row>
    <row r="462" spans="1:13" ht="14.25" x14ac:dyDescent="0.2">
      <c r="A462" s="1"/>
      <c r="B462" s="25"/>
      <c r="C462" s="35" t="s">
        <v>112</v>
      </c>
      <c r="D462" s="35" t="s">
        <v>96</v>
      </c>
      <c r="E462" s="35"/>
      <c r="F462" s="38"/>
      <c r="G462" s="50" t="s">
        <v>14</v>
      </c>
      <c r="H462" s="40">
        <f t="shared" ref="H462:J463" si="185">H463</f>
        <v>27541.1</v>
      </c>
      <c r="I462" s="40">
        <f t="shared" si="185"/>
        <v>7899.0999999999995</v>
      </c>
      <c r="J462" s="40">
        <f t="shared" si="185"/>
        <v>10168</v>
      </c>
    </row>
    <row r="463" spans="1:13" ht="78.75" customHeight="1" x14ac:dyDescent="0.25">
      <c r="A463" s="1"/>
      <c r="B463" s="25"/>
      <c r="C463" s="5" t="s">
        <v>112</v>
      </c>
      <c r="D463" s="5" t="s">
        <v>96</v>
      </c>
      <c r="E463" s="73" t="s">
        <v>37</v>
      </c>
      <c r="F463" s="3"/>
      <c r="G463" s="185" t="s">
        <v>649</v>
      </c>
      <c r="H463" s="99">
        <f t="shared" si="185"/>
        <v>27541.1</v>
      </c>
      <c r="I463" s="99">
        <f t="shared" si="185"/>
        <v>7899.0999999999995</v>
      </c>
      <c r="J463" s="99">
        <f t="shared" si="185"/>
        <v>10168</v>
      </c>
      <c r="M463" s="107"/>
    </row>
    <row r="464" spans="1:13" ht="25.5" x14ac:dyDescent="0.2">
      <c r="A464" s="1"/>
      <c r="B464" s="25"/>
      <c r="C464" s="47" t="s">
        <v>112</v>
      </c>
      <c r="D464" s="47" t="s">
        <v>96</v>
      </c>
      <c r="E464" s="52" t="s">
        <v>38</v>
      </c>
      <c r="F464" s="35"/>
      <c r="G464" s="46" t="s">
        <v>85</v>
      </c>
      <c r="H464" s="96">
        <f>H465+H470+H475</f>
        <v>27541.1</v>
      </c>
      <c r="I464" s="96">
        <f t="shared" ref="I464:J464" si="186">I465+I470+I475</f>
        <v>7899.0999999999995</v>
      </c>
      <c r="J464" s="96">
        <f t="shared" si="186"/>
        <v>10168</v>
      </c>
    </row>
    <row r="465" spans="1:10" ht="39" x14ac:dyDescent="0.25">
      <c r="A465" s="148"/>
      <c r="B465" s="25"/>
      <c r="C465" s="16" t="s">
        <v>112</v>
      </c>
      <c r="D465" s="16" t="s">
        <v>96</v>
      </c>
      <c r="E465" s="21" t="s">
        <v>281</v>
      </c>
      <c r="F465" s="3"/>
      <c r="G465" s="113" t="s">
        <v>282</v>
      </c>
      <c r="H465" s="41">
        <f>H466+H468</f>
        <v>3146</v>
      </c>
      <c r="I465" s="41">
        <f t="shared" ref="I465:J465" si="187">I466+I468</f>
        <v>419.5</v>
      </c>
      <c r="J465" s="41">
        <f t="shared" si="187"/>
        <v>419.5</v>
      </c>
    </row>
    <row r="466" spans="1:10" ht="39" x14ac:dyDescent="0.25">
      <c r="A466" s="148"/>
      <c r="B466" s="25"/>
      <c r="C466" s="16" t="s">
        <v>112</v>
      </c>
      <c r="D466" s="16" t="s">
        <v>96</v>
      </c>
      <c r="E466" s="21" t="s">
        <v>314</v>
      </c>
      <c r="F466" s="3"/>
      <c r="G466" s="157" t="s">
        <v>205</v>
      </c>
      <c r="H466" s="41">
        <f t="shared" ref="H466:J466" si="188">H467</f>
        <v>629.20000000000005</v>
      </c>
      <c r="I466" s="41">
        <f t="shared" si="188"/>
        <v>419.5</v>
      </c>
      <c r="J466" s="41">
        <f t="shared" si="188"/>
        <v>419.5</v>
      </c>
    </row>
    <row r="467" spans="1:10" x14ac:dyDescent="0.2">
      <c r="A467" s="148"/>
      <c r="B467" s="25"/>
      <c r="C467" s="16" t="s">
        <v>112</v>
      </c>
      <c r="D467" s="16" t="s">
        <v>96</v>
      </c>
      <c r="E467" s="21" t="s">
        <v>314</v>
      </c>
      <c r="F467" s="84" t="s">
        <v>253</v>
      </c>
      <c r="G467" s="106" t="s">
        <v>252</v>
      </c>
      <c r="H467" s="41">
        <v>629.20000000000005</v>
      </c>
      <c r="I467" s="41">
        <v>419.5</v>
      </c>
      <c r="J467" s="41">
        <v>419.5</v>
      </c>
    </row>
    <row r="468" spans="1:10" ht="38.25" x14ac:dyDescent="0.2">
      <c r="A468" s="148"/>
      <c r="B468" s="25"/>
      <c r="C468" s="16" t="s">
        <v>112</v>
      </c>
      <c r="D468" s="16" t="s">
        <v>96</v>
      </c>
      <c r="E468" s="21" t="s">
        <v>715</v>
      </c>
      <c r="F468" s="84"/>
      <c r="G468" s="54" t="s">
        <v>716</v>
      </c>
      <c r="H468" s="41">
        <f>H469</f>
        <v>2516.8000000000002</v>
      </c>
      <c r="I468" s="41">
        <f t="shared" ref="I468:J468" si="189">I469</f>
        <v>0</v>
      </c>
      <c r="J468" s="41">
        <f t="shared" si="189"/>
        <v>0</v>
      </c>
    </row>
    <row r="469" spans="1:10" x14ac:dyDescent="0.2">
      <c r="A469" s="148"/>
      <c r="B469" s="25"/>
      <c r="C469" s="16" t="s">
        <v>112</v>
      </c>
      <c r="D469" s="16" t="s">
        <v>96</v>
      </c>
      <c r="E469" s="21" t="s">
        <v>715</v>
      </c>
      <c r="F469" s="84" t="s">
        <v>253</v>
      </c>
      <c r="G469" s="106" t="s">
        <v>252</v>
      </c>
      <c r="H469" s="41">
        <v>2516.8000000000002</v>
      </c>
      <c r="I469" s="41">
        <v>0</v>
      </c>
      <c r="J469" s="41">
        <v>0</v>
      </c>
    </row>
    <row r="470" spans="1:10" ht="78" customHeight="1" x14ac:dyDescent="0.2">
      <c r="A470" s="1"/>
      <c r="B470" s="25"/>
      <c r="C470" s="16" t="s">
        <v>112</v>
      </c>
      <c r="D470" s="16" t="s">
        <v>96</v>
      </c>
      <c r="E470" s="21" t="s">
        <v>283</v>
      </c>
      <c r="F470" s="35"/>
      <c r="G470" s="100" t="s">
        <v>620</v>
      </c>
      <c r="H470" s="102">
        <f t="shared" ref="H470:I470" si="190">H471+H473</f>
        <v>11002.199999999999</v>
      </c>
      <c r="I470" s="102">
        <f t="shared" si="190"/>
        <v>4625.3999999999996</v>
      </c>
      <c r="J470" s="102">
        <f t="shared" ref="J470" si="191">J471+J473</f>
        <v>6938.2</v>
      </c>
    </row>
    <row r="471" spans="1:10" ht="51" x14ac:dyDescent="0.2">
      <c r="A471" s="1"/>
      <c r="B471" s="25"/>
      <c r="C471" s="16" t="s">
        <v>112</v>
      </c>
      <c r="D471" s="16" t="s">
        <v>96</v>
      </c>
      <c r="E471" s="80">
        <v>1310210820</v>
      </c>
      <c r="F471" s="16"/>
      <c r="G471" s="101" t="s">
        <v>170</v>
      </c>
      <c r="H471" s="39">
        <f>H472</f>
        <v>1375.2999999999997</v>
      </c>
      <c r="I471" s="39">
        <f>I472</f>
        <v>2312.6999999999998</v>
      </c>
      <c r="J471" s="39">
        <f>J472</f>
        <v>3469.1</v>
      </c>
    </row>
    <row r="472" spans="1:10" x14ac:dyDescent="0.2">
      <c r="A472" s="1"/>
      <c r="B472" s="25"/>
      <c r="C472" s="16" t="s">
        <v>112</v>
      </c>
      <c r="D472" s="16" t="s">
        <v>96</v>
      </c>
      <c r="E472" s="80">
        <v>1310210820</v>
      </c>
      <c r="F472" s="84" t="s">
        <v>253</v>
      </c>
      <c r="G472" s="106" t="s">
        <v>252</v>
      </c>
      <c r="H472" s="39">
        <f>3469.1-2093.8</f>
        <v>1375.2999999999997</v>
      </c>
      <c r="I472" s="39">
        <v>2312.6999999999998</v>
      </c>
      <c r="J472" s="39">
        <v>3469.1</v>
      </c>
    </row>
    <row r="473" spans="1:10" ht="38.25" x14ac:dyDescent="0.2">
      <c r="A473" s="1"/>
      <c r="B473" s="25"/>
      <c r="C473" s="16" t="s">
        <v>112</v>
      </c>
      <c r="D473" s="16" t="s">
        <v>96</v>
      </c>
      <c r="E473" s="80" t="s">
        <v>348</v>
      </c>
      <c r="F473" s="16"/>
      <c r="G473" s="101" t="s">
        <v>321</v>
      </c>
      <c r="H473" s="39">
        <f>H474</f>
        <v>9626.9</v>
      </c>
      <c r="I473" s="39">
        <f>I474</f>
        <v>2312.6999999999998</v>
      </c>
      <c r="J473" s="39">
        <f>J474</f>
        <v>3469.1</v>
      </c>
    </row>
    <row r="474" spans="1:10" x14ac:dyDescent="0.2">
      <c r="A474" s="1"/>
      <c r="B474" s="25"/>
      <c r="C474" s="16" t="s">
        <v>112</v>
      </c>
      <c r="D474" s="16" t="s">
        <v>96</v>
      </c>
      <c r="E474" s="80" t="s">
        <v>348</v>
      </c>
      <c r="F474" s="84" t="s">
        <v>253</v>
      </c>
      <c r="G474" s="106" t="s">
        <v>252</v>
      </c>
      <c r="H474" s="39">
        <f>11563.4-1936.5</f>
        <v>9626.9</v>
      </c>
      <c r="I474" s="39">
        <v>2312.6999999999998</v>
      </c>
      <c r="J474" s="39">
        <v>3469.1</v>
      </c>
    </row>
    <row r="475" spans="1:10" ht="25.5" x14ac:dyDescent="0.2">
      <c r="A475" s="148"/>
      <c r="B475" s="25"/>
      <c r="C475" s="16" t="s">
        <v>112</v>
      </c>
      <c r="D475" s="16" t="s">
        <v>96</v>
      </c>
      <c r="E475" s="21" t="s">
        <v>308</v>
      </c>
      <c r="F475" s="84"/>
      <c r="G475" s="113" t="s">
        <v>343</v>
      </c>
      <c r="H475" s="41">
        <f t="shared" ref="H475:J476" si="192">H476</f>
        <v>13392.9</v>
      </c>
      <c r="I475" s="41">
        <f t="shared" si="192"/>
        <v>2854.2</v>
      </c>
      <c r="J475" s="41">
        <f t="shared" si="192"/>
        <v>2810.3</v>
      </c>
    </row>
    <row r="476" spans="1:10" ht="51" x14ac:dyDescent="0.2">
      <c r="A476" s="148"/>
      <c r="B476" s="25"/>
      <c r="C476" s="16" t="s">
        <v>112</v>
      </c>
      <c r="D476" s="16" t="s">
        <v>96</v>
      </c>
      <c r="E476" s="74" t="s">
        <v>342</v>
      </c>
      <c r="F476" s="16"/>
      <c r="G476" s="101" t="s">
        <v>328</v>
      </c>
      <c r="H476" s="97">
        <f t="shared" si="192"/>
        <v>13392.9</v>
      </c>
      <c r="I476" s="97">
        <f t="shared" si="192"/>
        <v>2854.2</v>
      </c>
      <c r="J476" s="97">
        <f t="shared" si="192"/>
        <v>2810.3</v>
      </c>
    </row>
    <row r="477" spans="1:10" ht="38.25" x14ac:dyDescent="0.2">
      <c r="A477" s="148"/>
      <c r="B477" s="25"/>
      <c r="C477" s="16" t="s">
        <v>112</v>
      </c>
      <c r="D477" s="16" t="s">
        <v>96</v>
      </c>
      <c r="E477" s="74" t="s">
        <v>342</v>
      </c>
      <c r="F477" s="84" t="s">
        <v>266</v>
      </c>
      <c r="G477" s="101" t="s">
        <v>254</v>
      </c>
      <c r="H477" s="97">
        <f>2854.2+10714.3-175.6</f>
        <v>13392.9</v>
      </c>
      <c r="I477" s="97">
        <v>2854.2</v>
      </c>
      <c r="J477" s="97">
        <v>2810.3</v>
      </c>
    </row>
    <row r="478" spans="1:10" ht="15.75" x14ac:dyDescent="0.25">
      <c r="A478" s="1"/>
      <c r="B478" s="25"/>
      <c r="C478" s="4" t="s">
        <v>124</v>
      </c>
      <c r="D478" s="3"/>
      <c r="E478" s="3"/>
      <c r="F478" s="3"/>
      <c r="G478" s="49" t="s">
        <v>8</v>
      </c>
      <c r="H478" s="95">
        <f t="shared" ref="H478:J478" si="193">H479</f>
        <v>3808.5</v>
      </c>
      <c r="I478" s="95">
        <f t="shared" si="193"/>
        <v>3508.5</v>
      </c>
      <c r="J478" s="95">
        <f t="shared" si="193"/>
        <v>3508.5</v>
      </c>
    </row>
    <row r="479" spans="1:10" ht="28.5" x14ac:dyDescent="0.2">
      <c r="A479" s="1"/>
      <c r="B479" s="25"/>
      <c r="C479" s="35" t="s">
        <v>124</v>
      </c>
      <c r="D479" s="35" t="s">
        <v>96</v>
      </c>
      <c r="E479" s="35"/>
      <c r="F479" s="35"/>
      <c r="G479" s="50" t="s">
        <v>15</v>
      </c>
      <c r="H479" s="40">
        <f t="shared" ref="H479" si="194">H481</f>
        <v>3808.5</v>
      </c>
      <c r="I479" s="40">
        <f t="shared" ref="I479:J479" si="195">I481</f>
        <v>3508.5</v>
      </c>
      <c r="J479" s="40">
        <f t="shared" si="195"/>
        <v>3508.5</v>
      </c>
    </row>
    <row r="480" spans="1:10" ht="89.25" customHeight="1" x14ac:dyDescent="0.2">
      <c r="A480" s="1"/>
      <c r="B480" s="25"/>
      <c r="C480" s="16" t="s">
        <v>124</v>
      </c>
      <c r="D480" s="16" t="s">
        <v>96</v>
      </c>
      <c r="E480" s="74">
        <v>400000000</v>
      </c>
      <c r="F480" s="30"/>
      <c r="G480" s="185" t="s">
        <v>639</v>
      </c>
      <c r="H480" s="99">
        <f t="shared" ref="H480:J480" si="196">H481</f>
        <v>3808.5</v>
      </c>
      <c r="I480" s="99">
        <f t="shared" si="196"/>
        <v>3508.5</v>
      </c>
      <c r="J480" s="99">
        <f t="shared" si="196"/>
        <v>3508.5</v>
      </c>
    </row>
    <row r="481" spans="1:10" ht="51" x14ac:dyDescent="0.2">
      <c r="A481" s="1"/>
      <c r="B481" s="25"/>
      <c r="C481" s="47" t="s">
        <v>124</v>
      </c>
      <c r="D481" s="47" t="s">
        <v>96</v>
      </c>
      <c r="E481" s="75">
        <v>420000000</v>
      </c>
      <c r="F481" s="30"/>
      <c r="G481" s="46" t="s">
        <v>235</v>
      </c>
      <c r="H481" s="96">
        <f>H482+H489</f>
        <v>3808.5</v>
      </c>
      <c r="I481" s="96">
        <f>I482+I489</f>
        <v>3508.5</v>
      </c>
      <c r="J481" s="96">
        <f>J482+J489</f>
        <v>3508.5</v>
      </c>
    </row>
    <row r="482" spans="1:10" ht="114.75" x14ac:dyDescent="0.2">
      <c r="A482" s="1"/>
      <c r="B482" s="25"/>
      <c r="C482" s="16" t="s">
        <v>124</v>
      </c>
      <c r="D482" s="16" t="s">
        <v>96</v>
      </c>
      <c r="E482" s="74">
        <v>420100000</v>
      </c>
      <c r="F482" s="16"/>
      <c r="G482" s="100" t="s">
        <v>514</v>
      </c>
      <c r="H482" s="41">
        <f>H483+H485+H487</f>
        <v>2796.4</v>
      </c>
      <c r="I482" s="41">
        <f t="shared" ref="I482:J482" si="197">I483+I485+I487</f>
        <v>2496.4</v>
      </c>
      <c r="J482" s="41">
        <f t="shared" si="197"/>
        <v>2496.4</v>
      </c>
    </row>
    <row r="483" spans="1:10" ht="38.25" x14ac:dyDescent="0.2">
      <c r="A483" s="1"/>
      <c r="B483" s="25"/>
      <c r="C483" s="16" t="s">
        <v>124</v>
      </c>
      <c r="D483" s="16" t="s">
        <v>96</v>
      </c>
      <c r="E483" s="74" t="s">
        <v>515</v>
      </c>
      <c r="F483" s="16"/>
      <c r="G483" s="101" t="s">
        <v>365</v>
      </c>
      <c r="H483" s="41">
        <f>H484</f>
        <v>600</v>
      </c>
      <c r="I483" s="41">
        <f t="shared" ref="I483:J483" si="198">I484</f>
        <v>300</v>
      </c>
      <c r="J483" s="41">
        <f t="shared" si="198"/>
        <v>300</v>
      </c>
    </row>
    <row r="484" spans="1:10" ht="64.5" customHeight="1" x14ac:dyDescent="0.2">
      <c r="A484" s="1"/>
      <c r="B484" s="25"/>
      <c r="C484" s="16" t="s">
        <v>124</v>
      </c>
      <c r="D484" s="16" t="s">
        <v>96</v>
      </c>
      <c r="E484" s="74" t="s">
        <v>515</v>
      </c>
      <c r="F484" s="16" t="s">
        <v>20</v>
      </c>
      <c r="G484" s="103" t="s">
        <v>376</v>
      </c>
      <c r="H484" s="41">
        <f>300+300</f>
        <v>600</v>
      </c>
      <c r="I484" s="41">
        <v>300</v>
      </c>
      <c r="J484" s="41">
        <v>300</v>
      </c>
    </row>
    <row r="485" spans="1:10" ht="63.75" x14ac:dyDescent="0.2">
      <c r="A485" s="1"/>
      <c r="B485" s="25"/>
      <c r="C485" s="16" t="s">
        <v>124</v>
      </c>
      <c r="D485" s="16" t="s">
        <v>96</v>
      </c>
      <c r="E485" s="74">
        <v>420123230</v>
      </c>
      <c r="F485" s="16"/>
      <c r="G485" s="103" t="s">
        <v>748</v>
      </c>
      <c r="H485" s="41">
        <f>H486</f>
        <v>1300</v>
      </c>
      <c r="I485" s="41">
        <f t="shared" ref="I485:J485" si="199">I486</f>
        <v>1300</v>
      </c>
      <c r="J485" s="41">
        <f t="shared" si="199"/>
        <v>1300</v>
      </c>
    </row>
    <row r="486" spans="1:10" ht="38.25" x14ac:dyDescent="0.2">
      <c r="A486" s="1"/>
      <c r="B486" s="25"/>
      <c r="C486" s="16" t="s">
        <v>124</v>
      </c>
      <c r="D486" s="16" t="s">
        <v>96</v>
      </c>
      <c r="E486" s="74">
        <v>420123230</v>
      </c>
      <c r="F486" s="84" t="s">
        <v>214</v>
      </c>
      <c r="G486" s="101" t="s">
        <v>215</v>
      </c>
      <c r="H486" s="41">
        <f>1290+10</f>
        <v>1300</v>
      </c>
      <c r="I486" s="41">
        <v>1300</v>
      </c>
      <c r="J486" s="41">
        <v>1300</v>
      </c>
    </row>
    <row r="487" spans="1:10" ht="38.25" x14ac:dyDescent="0.2">
      <c r="A487" s="1"/>
      <c r="B487" s="25"/>
      <c r="C487" s="16" t="s">
        <v>124</v>
      </c>
      <c r="D487" s="16" t="s">
        <v>96</v>
      </c>
      <c r="E487" s="74">
        <v>420110320</v>
      </c>
      <c r="F487" s="148"/>
      <c r="G487" s="179" t="s">
        <v>516</v>
      </c>
      <c r="H487" s="41">
        <f>H488</f>
        <v>896.4</v>
      </c>
      <c r="I487" s="41">
        <f t="shared" ref="I487:J487" si="200">I488</f>
        <v>896.4</v>
      </c>
      <c r="J487" s="41">
        <f t="shared" si="200"/>
        <v>896.4</v>
      </c>
    </row>
    <row r="488" spans="1:10" ht="64.5" customHeight="1" x14ac:dyDescent="0.2">
      <c r="A488" s="1"/>
      <c r="B488" s="25"/>
      <c r="C488" s="16" t="s">
        <v>124</v>
      </c>
      <c r="D488" s="16" t="s">
        <v>96</v>
      </c>
      <c r="E488" s="74">
        <v>420110320</v>
      </c>
      <c r="F488" s="16" t="s">
        <v>20</v>
      </c>
      <c r="G488" s="103" t="s">
        <v>376</v>
      </c>
      <c r="H488" s="41">
        <v>896.4</v>
      </c>
      <c r="I488" s="41">
        <v>896.4</v>
      </c>
      <c r="J488" s="41">
        <v>896.4</v>
      </c>
    </row>
    <row r="489" spans="1:10" ht="127.5" x14ac:dyDescent="0.2">
      <c r="A489" s="148"/>
      <c r="B489" s="25"/>
      <c r="C489" s="16" t="s">
        <v>124</v>
      </c>
      <c r="D489" s="16" t="s">
        <v>96</v>
      </c>
      <c r="E489" s="74">
        <v>420200000</v>
      </c>
      <c r="F489" s="16"/>
      <c r="G489" s="100" t="s">
        <v>663</v>
      </c>
      <c r="H489" s="41">
        <f>H490+H492</f>
        <v>1012.0999999999999</v>
      </c>
      <c r="I489" s="41">
        <f t="shared" ref="I489:J489" si="201">I490+I492</f>
        <v>1012.0999999999999</v>
      </c>
      <c r="J489" s="41">
        <f t="shared" si="201"/>
        <v>1012.0999999999999</v>
      </c>
    </row>
    <row r="490" spans="1:10" ht="63.75" x14ac:dyDescent="0.2">
      <c r="A490" s="148"/>
      <c r="B490" s="25"/>
      <c r="C490" s="16" t="s">
        <v>124</v>
      </c>
      <c r="D490" s="16" t="s">
        <v>96</v>
      </c>
      <c r="E490" s="74">
        <v>420223235</v>
      </c>
      <c r="F490" s="30"/>
      <c r="G490" s="101" t="s">
        <v>749</v>
      </c>
      <c r="H490" s="41">
        <f>H491</f>
        <v>575.29999999999995</v>
      </c>
      <c r="I490" s="41">
        <f>I491</f>
        <v>575.29999999999995</v>
      </c>
      <c r="J490" s="41">
        <f>J491</f>
        <v>575.29999999999995</v>
      </c>
    </row>
    <row r="491" spans="1:10" ht="38.25" x14ac:dyDescent="0.2">
      <c r="A491" s="148"/>
      <c r="B491" s="25"/>
      <c r="C491" s="16" t="s">
        <v>124</v>
      </c>
      <c r="D491" s="16" t="s">
        <v>96</v>
      </c>
      <c r="E491" s="74">
        <v>420223235</v>
      </c>
      <c r="F491" s="84" t="s">
        <v>214</v>
      </c>
      <c r="G491" s="101" t="s">
        <v>215</v>
      </c>
      <c r="H491" s="41">
        <v>575.29999999999995</v>
      </c>
      <c r="I491" s="41">
        <v>575.29999999999995</v>
      </c>
      <c r="J491" s="41">
        <v>575.29999999999995</v>
      </c>
    </row>
    <row r="492" spans="1:10" ht="55.5" customHeight="1" x14ac:dyDescent="0.2">
      <c r="A492" s="148"/>
      <c r="B492" s="25"/>
      <c r="C492" s="16" t="s">
        <v>124</v>
      </c>
      <c r="D492" s="16" t="s">
        <v>96</v>
      </c>
      <c r="E492" s="74">
        <v>420223240</v>
      </c>
      <c r="F492" s="84"/>
      <c r="G492" s="101" t="s">
        <v>750</v>
      </c>
      <c r="H492" s="41">
        <f>H493</f>
        <v>436.8</v>
      </c>
      <c r="I492" s="41">
        <f t="shared" ref="I492:J492" si="202">I493</f>
        <v>436.8</v>
      </c>
      <c r="J492" s="41">
        <f t="shared" si="202"/>
        <v>436.8</v>
      </c>
    </row>
    <row r="493" spans="1:10" ht="38.25" x14ac:dyDescent="0.2">
      <c r="A493" s="148"/>
      <c r="B493" s="25"/>
      <c r="C493" s="16" t="s">
        <v>124</v>
      </c>
      <c r="D493" s="16" t="s">
        <v>96</v>
      </c>
      <c r="E493" s="74">
        <v>420223240</v>
      </c>
      <c r="F493" s="84" t="s">
        <v>214</v>
      </c>
      <c r="G493" s="101" t="s">
        <v>215</v>
      </c>
      <c r="H493" s="41">
        <v>436.8</v>
      </c>
      <c r="I493" s="41">
        <v>436.8</v>
      </c>
      <c r="J493" s="41">
        <v>436.8</v>
      </c>
    </row>
    <row r="494" spans="1:10" s="8" customFormat="1" ht="72" x14ac:dyDescent="0.25">
      <c r="A494" s="3">
        <v>4</v>
      </c>
      <c r="B494" s="94">
        <v>929</v>
      </c>
      <c r="C494" s="13"/>
      <c r="D494" s="13"/>
      <c r="E494" s="13"/>
      <c r="F494" s="13"/>
      <c r="G494" s="14" t="s">
        <v>210</v>
      </c>
      <c r="H494" s="59">
        <f>H495+H639</f>
        <v>574553.70000000007</v>
      </c>
      <c r="I494" s="59">
        <f>I495+I639</f>
        <v>546583.80000000005</v>
      </c>
      <c r="J494" s="59">
        <f>J495+J639</f>
        <v>546314.9</v>
      </c>
    </row>
    <row r="495" spans="1:10" ht="15.75" x14ac:dyDescent="0.25">
      <c r="A495" s="3"/>
      <c r="B495" s="94"/>
      <c r="C495" s="4" t="s">
        <v>106</v>
      </c>
      <c r="D495" s="3"/>
      <c r="E495" s="3"/>
      <c r="F495" s="3"/>
      <c r="G495" s="49" t="s">
        <v>107</v>
      </c>
      <c r="H495" s="59">
        <f>H496+H513+H553+H590+H596+H605</f>
        <v>562989.20000000007</v>
      </c>
      <c r="I495" s="59">
        <f>I496+I513+I553+I590+I596+I605</f>
        <v>535019.30000000005</v>
      </c>
      <c r="J495" s="59">
        <f>J496+J513+J553+J590+J596+J605</f>
        <v>534750.4</v>
      </c>
    </row>
    <row r="496" spans="1:10" s="37" customFormat="1" ht="14.25" x14ac:dyDescent="0.2">
      <c r="A496" s="27"/>
      <c r="B496" s="70"/>
      <c r="C496" s="35" t="s">
        <v>106</v>
      </c>
      <c r="D496" s="35" t="s">
        <v>90</v>
      </c>
      <c r="E496" s="35"/>
      <c r="F496" s="35"/>
      <c r="G496" s="45" t="s">
        <v>109</v>
      </c>
      <c r="H496" s="58">
        <f t="shared" ref="H496:J496" si="203">H497</f>
        <v>150863.9</v>
      </c>
      <c r="I496" s="58">
        <f t="shared" si="203"/>
        <v>142850.59999999998</v>
      </c>
      <c r="J496" s="58">
        <f t="shared" si="203"/>
        <v>142612.59999999998</v>
      </c>
    </row>
    <row r="497" spans="1:13" s="37" customFormat="1" ht="65.25" customHeight="1" x14ac:dyDescent="0.2">
      <c r="A497" s="27"/>
      <c r="B497" s="70"/>
      <c r="C497" s="16" t="s">
        <v>106</v>
      </c>
      <c r="D497" s="16" t="s">
        <v>90</v>
      </c>
      <c r="E497" s="21" t="s">
        <v>75</v>
      </c>
      <c r="F497" s="35"/>
      <c r="G497" s="64" t="s">
        <v>635</v>
      </c>
      <c r="H497" s="62">
        <f t="shared" ref="H497:J497" si="204">H498</f>
        <v>150863.9</v>
      </c>
      <c r="I497" s="62">
        <f t="shared" si="204"/>
        <v>142850.59999999998</v>
      </c>
      <c r="J497" s="62">
        <f t="shared" si="204"/>
        <v>142612.59999999998</v>
      </c>
      <c r="M497" s="250"/>
    </row>
    <row r="498" spans="1:13" s="37" customFormat="1" ht="25.5" x14ac:dyDescent="0.2">
      <c r="A498" s="27"/>
      <c r="B498" s="70"/>
      <c r="C498" s="16" t="s">
        <v>106</v>
      </c>
      <c r="D498" s="16" t="s">
        <v>90</v>
      </c>
      <c r="E498" s="52" t="s">
        <v>76</v>
      </c>
      <c r="F498" s="35"/>
      <c r="G498" s="46" t="s">
        <v>411</v>
      </c>
      <c r="H498" s="97">
        <f>H499+H508</f>
        <v>150863.9</v>
      </c>
      <c r="I498" s="97">
        <f t="shared" ref="I498:J498" si="205">I499+I508</f>
        <v>142850.59999999998</v>
      </c>
      <c r="J498" s="97">
        <f t="shared" si="205"/>
        <v>142612.59999999998</v>
      </c>
    </row>
    <row r="499" spans="1:13" s="37" customFormat="1" ht="51" x14ac:dyDescent="0.2">
      <c r="A499" s="27"/>
      <c r="B499" s="70"/>
      <c r="C499" s="56" t="s">
        <v>106</v>
      </c>
      <c r="D499" s="56" t="s">
        <v>90</v>
      </c>
      <c r="E499" s="21" t="s">
        <v>344</v>
      </c>
      <c r="F499" s="35"/>
      <c r="G499" s="100" t="s">
        <v>412</v>
      </c>
      <c r="H499" s="97">
        <f>H500+H502+H504+H506</f>
        <v>150448.9</v>
      </c>
      <c r="I499" s="97">
        <f t="shared" ref="I499:J499" si="206">I500+I502+I504+I506</f>
        <v>142850.59999999998</v>
      </c>
      <c r="J499" s="97">
        <f t="shared" si="206"/>
        <v>142612.59999999998</v>
      </c>
    </row>
    <row r="500" spans="1:13" s="37" customFormat="1" ht="51" x14ac:dyDescent="0.2">
      <c r="A500" s="27"/>
      <c r="B500" s="70"/>
      <c r="C500" s="56" t="s">
        <v>106</v>
      </c>
      <c r="D500" s="56" t="s">
        <v>90</v>
      </c>
      <c r="E500" s="21" t="s">
        <v>401</v>
      </c>
      <c r="F500" s="21"/>
      <c r="G500" s="101" t="s">
        <v>400</v>
      </c>
      <c r="H500" s="97">
        <f>H501</f>
        <v>84139.6</v>
      </c>
      <c r="I500" s="97">
        <f t="shared" ref="I500:J500" si="207">I501</f>
        <v>79437.399999999994</v>
      </c>
      <c r="J500" s="97">
        <f t="shared" si="207"/>
        <v>79437.399999999994</v>
      </c>
    </row>
    <row r="501" spans="1:13" s="37" customFormat="1" ht="14.25" x14ac:dyDescent="0.2">
      <c r="A501" s="27"/>
      <c r="B501" s="70"/>
      <c r="C501" s="56" t="s">
        <v>106</v>
      </c>
      <c r="D501" s="56" t="s">
        <v>90</v>
      </c>
      <c r="E501" s="21" t="s">
        <v>401</v>
      </c>
      <c r="F501" s="21" t="s">
        <v>228</v>
      </c>
      <c r="G501" s="101" t="s">
        <v>227</v>
      </c>
      <c r="H501" s="162">
        <f>79437.3+4702.3</f>
        <v>84139.6</v>
      </c>
      <c r="I501" s="162">
        <v>79437.399999999994</v>
      </c>
      <c r="J501" s="162">
        <v>79437.399999999994</v>
      </c>
    </row>
    <row r="502" spans="1:13" s="37" customFormat="1" ht="76.5" x14ac:dyDescent="0.25">
      <c r="A502" s="27"/>
      <c r="B502" s="70"/>
      <c r="C502" s="56" t="s">
        <v>106</v>
      </c>
      <c r="D502" s="56" t="s">
        <v>90</v>
      </c>
      <c r="E502" s="161" t="s">
        <v>403</v>
      </c>
      <c r="F502" s="21"/>
      <c r="G502" s="101" t="s">
        <v>402</v>
      </c>
      <c r="H502" s="97">
        <f>H503</f>
        <v>65418.399999999994</v>
      </c>
      <c r="I502" s="97">
        <f t="shared" ref="I502:J502" si="208">I503</f>
        <v>63413.2</v>
      </c>
      <c r="J502" s="97">
        <f t="shared" si="208"/>
        <v>63175.199999999997</v>
      </c>
    </row>
    <row r="503" spans="1:13" s="37" customFormat="1" ht="15" x14ac:dyDescent="0.25">
      <c r="A503" s="27"/>
      <c r="B503" s="70"/>
      <c r="C503" s="56" t="s">
        <v>106</v>
      </c>
      <c r="D503" s="56" t="s">
        <v>90</v>
      </c>
      <c r="E503" s="161" t="s">
        <v>403</v>
      </c>
      <c r="F503" s="21" t="s">
        <v>228</v>
      </c>
      <c r="G503" s="101" t="s">
        <v>227</v>
      </c>
      <c r="H503" s="231">
        <f>65069.6-432+23.2-16.3+402.8+363.7+7.4</f>
        <v>65418.399999999994</v>
      </c>
      <c r="I503" s="97">
        <v>63413.2</v>
      </c>
      <c r="J503" s="97">
        <v>63175.199999999997</v>
      </c>
    </row>
    <row r="504" spans="1:13" s="37" customFormat="1" ht="51" x14ac:dyDescent="0.25">
      <c r="A504" s="27"/>
      <c r="B504" s="70"/>
      <c r="C504" s="56" t="s">
        <v>106</v>
      </c>
      <c r="D504" s="56" t="s">
        <v>90</v>
      </c>
      <c r="E504" s="229" t="s">
        <v>799</v>
      </c>
      <c r="F504" s="21"/>
      <c r="G504" s="101" t="s">
        <v>800</v>
      </c>
      <c r="H504" s="97">
        <f>H505</f>
        <v>882</v>
      </c>
      <c r="I504" s="97">
        <f t="shared" ref="I504:J504" si="209">I505</f>
        <v>0</v>
      </c>
      <c r="J504" s="97">
        <f t="shared" si="209"/>
        <v>0</v>
      </c>
    </row>
    <row r="505" spans="1:13" s="37" customFormat="1" ht="15" x14ac:dyDescent="0.25">
      <c r="A505" s="27"/>
      <c r="B505" s="70"/>
      <c r="C505" s="56" t="s">
        <v>106</v>
      </c>
      <c r="D505" s="56" t="s">
        <v>90</v>
      </c>
      <c r="E505" s="227" t="s">
        <v>799</v>
      </c>
      <c r="F505" s="21" t="s">
        <v>228</v>
      </c>
      <c r="G505" s="101" t="s">
        <v>227</v>
      </c>
      <c r="H505" s="163">
        <f>874.7+7.3</f>
        <v>882</v>
      </c>
      <c r="I505" s="97">
        <v>0</v>
      </c>
      <c r="J505" s="97">
        <v>0</v>
      </c>
    </row>
    <row r="506" spans="1:13" s="37" customFormat="1" ht="64.5" x14ac:dyDescent="0.25">
      <c r="A506" s="27"/>
      <c r="B506" s="70"/>
      <c r="C506" s="56" t="s">
        <v>106</v>
      </c>
      <c r="D506" s="56" t="s">
        <v>90</v>
      </c>
      <c r="E506" s="229" t="s">
        <v>807</v>
      </c>
      <c r="F506" s="21"/>
      <c r="G506" s="126" t="s">
        <v>808</v>
      </c>
      <c r="H506" s="97">
        <f>H507</f>
        <v>8.9</v>
      </c>
      <c r="I506" s="97">
        <f t="shared" ref="I506:J506" si="210">I507</f>
        <v>0</v>
      </c>
      <c r="J506" s="97">
        <f t="shared" si="210"/>
        <v>0</v>
      </c>
    </row>
    <row r="507" spans="1:13" s="37" customFormat="1" ht="15" x14ac:dyDescent="0.25">
      <c r="A507" s="27"/>
      <c r="B507" s="70"/>
      <c r="C507" s="56" t="s">
        <v>106</v>
      </c>
      <c r="D507" s="56" t="s">
        <v>90</v>
      </c>
      <c r="E507" s="229" t="s">
        <v>807</v>
      </c>
      <c r="F507" s="21" t="s">
        <v>228</v>
      </c>
      <c r="G507" s="101" t="s">
        <v>227</v>
      </c>
      <c r="H507" s="162">
        <f>16.3-7.4</f>
        <v>8.9</v>
      </c>
      <c r="I507" s="97">
        <v>0</v>
      </c>
      <c r="J507" s="97">
        <v>0</v>
      </c>
    </row>
    <row r="508" spans="1:13" s="37" customFormat="1" ht="38.25" x14ac:dyDescent="0.2">
      <c r="A508" s="27"/>
      <c r="B508" s="70"/>
      <c r="C508" s="56" t="s">
        <v>106</v>
      </c>
      <c r="D508" s="56" t="s">
        <v>90</v>
      </c>
      <c r="E508" s="21" t="s">
        <v>289</v>
      </c>
      <c r="F508" s="35"/>
      <c r="G508" s="100" t="s">
        <v>404</v>
      </c>
      <c r="H508" s="97">
        <f>H509+H511</f>
        <v>415</v>
      </c>
      <c r="I508" s="97">
        <f t="shared" ref="I508:J508" si="211">I509+I511</f>
        <v>0</v>
      </c>
      <c r="J508" s="97">
        <f t="shared" si="211"/>
        <v>0</v>
      </c>
    </row>
    <row r="509" spans="1:13" s="37" customFormat="1" ht="51" x14ac:dyDescent="0.2">
      <c r="A509" s="27"/>
      <c r="B509" s="70"/>
      <c r="C509" s="56" t="s">
        <v>106</v>
      </c>
      <c r="D509" s="56" t="s">
        <v>90</v>
      </c>
      <c r="E509" s="21" t="s">
        <v>406</v>
      </c>
      <c r="F509" s="57"/>
      <c r="G509" s="117" t="s">
        <v>405</v>
      </c>
      <c r="H509" s="97">
        <f>H510</f>
        <v>300</v>
      </c>
      <c r="I509" s="97">
        <f t="shared" ref="I509:J509" si="212">I510</f>
        <v>0</v>
      </c>
      <c r="J509" s="97">
        <f t="shared" si="212"/>
        <v>0</v>
      </c>
    </row>
    <row r="510" spans="1:13" s="37" customFormat="1" ht="14.25" x14ac:dyDescent="0.2">
      <c r="A510" s="27"/>
      <c r="B510" s="70"/>
      <c r="C510" s="56" t="s">
        <v>106</v>
      </c>
      <c r="D510" s="56" t="s">
        <v>90</v>
      </c>
      <c r="E510" s="21" t="s">
        <v>406</v>
      </c>
      <c r="F510" s="21" t="s">
        <v>228</v>
      </c>
      <c r="G510" s="101" t="s">
        <v>227</v>
      </c>
      <c r="H510" s="97">
        <v>300</v>
      </c>
      <c r="I510" s="97">
        <v>0</v>
      </c>
      <c r="J510" s="97">
        <v>0</v>
      </c>
    </row>
    <row r="511" spans="1:13" s="37" customFormat="1" ht="63.75" x14ac:dyDescent="0.2">
      <c r="A511" s="27"/>
      <c r="B511" s="70"/>
      <c r="C511" s="56" t="s">
        <v>106</v>
      </c>
      <c r="D511" s="56" t="s">
        <v>90</v>
      </c>
      <c r="E511" s="57" t="s">
        <v>407</v>
      </c>
      <c r="F511" s="21"/>
      <c r="G511" s="101" t="s">
        <v>389</v>
      </c>
      <c r="H511" s="97">
        <f>H512</f>
        <v>115</v>
      </c>
      <c r="I511" s="97">
        <f t="shared" ref="I511:J511" si="213">I512</f>
        <v>0</v>
      </c>
      <c r="J511" s="97">
        <f t="shared" si="213"/>
        <v>0</v>
      </c>
    </row>
    <row r="512" spans="1:13" s="37" customFormat="1" ht="14.25" x14ac:dyDescent="0.2">
      <c r="A512" s="27"/>
      <c r="B512" s="70"/>
      <c r="C512" s="56" t="s">
        <v>106</v>
      </c>
      <c r="D512" s="56" t="s">
        <v>90</v>
      </c>
      <c r="E512" s="57" t="s">
        <v>407</v>
      </c>
      <c r="F512" s="21" t="s">
        <v>228</v>
      </c>
      <c r="G512" s="101" t="s">
        <v>227</v>
      </c>
      <c r="H512" s="97">
        <v>115</v>
      </c>
      <c r="I512" s="97">
        <v>0</v>
      </c>
      <c r="J512" s="97">
        <v>0</v>
      </c>
    </row>
    <row r="513" spans="1:10" s="37" customFormat="1" ht="14.25" x14ac:dyDescent="0.2">
      <c r="A513" s="27"/>
      <c r="B513" s="70"/>
      <c r="C513" s="35" t="s">
        <v>106</v>
      </c>
      <c r="D513" s="35" t="s">
        <v>91</v>
      </c>
      <c r="E513" s="35"/>
      <c r="F513" s="35"/>
      <c r="G513" s="45" t="s">
        <v>110</v>
      </c>
      <c r="H513" s="42">
        <f>H514</f>
        <v>354536.00000000006</v>
      </c>
      <c r="I513" s="42">
        <f t="shared" ref="I513:J513" si="214">I514</f>
        <v>339187.30000000005</v>
      </c>
      <c r="J513" s="42">
        <f t="shared" si="214"/>
        <v>339456.5</v>
      </c>
    </row>
    <row r="514" spans="1:10" s="37" customFormat="1" ht="64.5" customHeight="1" x14ac:dyDescent="0.25">
      <c r="A514" s="27"/>
      <c r="B514" s="70"/>
      <c r="C514" s="16" t="s">
        <v>106</v>
      </c>
      <c r="D514" s="16" t="s">
        <v>91</v>
      </c>
      <c r="E514" s="21" t="s">
        <v>75</v>
      </c>
      <c r="F514" s="35"/>
      <c r="G514" s="64" t="s">
        <v>635</v>
      </c>
      <c r="H514" s="65">
        <f t="shared" ref="H514:J514" si="215">H515</f>
        <v>354536.00000000006</v>
      </c>
      <c r="I514" s="65">
        <f t="shared" si="215"/>
        <v>339187.30000000005</v>
      </c>
      <c r="J514" s="65">
        <f t="shared" si="215"/>
        <v>339456.5</v>
      </c>
    </row>
    <row r="515" spans="1:10" s="37" customFormat="1" ht="38.25" x14ac:dyDescent="0.2">
      <c r="A515" s="27"/>
      <c r="B515" s="70"/>
      <c r="C515" s="47" t="s">
        <v>106</v>
      </c>
      <c r="D515" s="47" t="s">
        <v>91</v>
      </c>
      <c r="E515" s="52" t="s">
        <v>77</v>
      </c>
      <c r="F515" s="21"/>
      <c r="G515" s="46" t="s">
        <v>619</v>
      </c>
      <c r="H515" s="97">
        <f>H516+H527+H536+H543+H548</f>
        <v>354536.00000000006</v>
      </c>
      <c r="I515" s="97">
        <f>I516+I527+I536+I543+I548</f>
        <v>339187.30000000005</v>
      </c>
      <c r="J515" s="97">
        <f>J516+J527+J536+J543+J548</f>
        <v>339456.5</v>
      </c>
    </row>
    <row r="516" spans="1:10" s="37" customFormat="1" ht="53.25" customHeight="1" x14ac:dyDescent="0.2">
      <c r="A516" s="27"/>
      <c r="B516" s="70"/>
      <c r="C516" s="56" t="s">
        <v>106</v>
      </c>
      <c r="D516" s="92" t="s">
        <v>91</v>
      </c>
      <c r="E516" s="21" t="s">
        <v>294</v>
      </c>
      <c r="F516" s="35"/>
      <c r="G516" s="100" t="s">
        <v>413</v>
      </c>
      <c r="H516" s="97">
        <f>H517+H519+H521+H523+H525</f>
        <v>307341.60000000003</v>
      </c>
      <c r="I516" s="97">
        <f t="shared" ref="I516:J516" si="216">I517+I519+I521+I523+I525</f>
        <v>298611.90000000002</v>
      </c>
      <c r="J516" s="97">
        <f t="shared" si="216"/>
        <v>301051.2</v>
      </c>
    </row>
    <row r="517" spans="1:10" s="37" customFormat="1" ht="76.5" x14ac:dyDescent="0.2">
      <c r="A517" s="27"/>
      <c r="B517" s="70"/>
      <c r="C517" s="56" t="s">
        <v>106</v>
      </c>
      <c r="D517" s="92" t="s">
        <v>91</v>
      </c>
      <c r="E517" s="83" t="s">
        <v>415</v>
      </c>
      <c r="F517" s="84"/>
      <c r="G517" s="101" t="s">
        <v>414</v>
      </c>
      <c r="H517" s="97">
        <f>H518</f>
        <v>214831.2</v>
      </c>
      <c r="I517" s="97">
        <f t="shared" ref="I517:J517" si="217">I518</f>
        <v>209914.5</v>
      </c>
      <c r="J517" s="97">
        <f t="shared" si="217"/>
        <v>209914.5</v>
      </c>
    </row>
    <row r="518" spans="1:10" s="37" customFormat="1" ht="14.25" x14ac:dyDescent="0.2">
      <c r="A518" s="27"/>
      <c r="B518" s="70"/>
      <c r="C518" s="56" t="s">
        <v>106</v>
      </c>
      <c r="D518" s="92" t="s">
        <v>91</v>
      </c>
      <c r="E518" s="57" t="s">
        <v>415</v>
      </c>
      <c r="F518" s="21" t="s">
        <v>228</v>
      </c>
      <c r="G518" s="101" t="s">
        <v>227</v>
      </c>
      <c r="H518" s="163">
        <f>210061.5-147.4+4917.1</f>
        <v>214831.2</v>
      </c>
      <c r="I518" s="163">
        <f>210062.1-147.6</f>
        <v>209914.5</v>
      </c>
      <c r="J518" s="163">
        <f>210062.1-147.6</f>
        <v>209914.5</v>
      </c>
    </row>
    <row r="519" spans="1:10" s="37" customFormat="1" ht="63.75" x14ac:dyDescent="0.2">
      <c r="A519" s="27"/>
      <c r="B519" s="70"/>
      <c r="C519" s="16" t="s">
        <v>106</v>
      </c>
      <c r="D519" s="16" t="s">
        <v>91</v>
      </c>
      <c r="E519" s="57" t="s">
        <v>416</v>
      </c>
      <c r="F519" s="21"/>
      <c r="G519" s="101" t="s">
        <v>293</v>
      </c>
      <c r="H519" s="97">
        <f>H520</f>
        <v>76153.700000000012</v>
      </c>
      <c r="I519" s="97">
        <f t="shared" ref="I519:J519" si="218">I520</f>
        <v>72917.2</v>
      </c>
      <c r="J519" s="97">
        <f t="shared" si="218"/>
        <v>75356.5</v>
      </c>
    </row>
    <row r="520" spans="1:10" s="37" customFormat="1" ht="14.25" x14ac:dyDescent="0.2">
      <c r="A520" s="27"/>
      <c r="B520" s="70"/>
      <c r="C520" s="56" t="s">
        <v>106</v>
      </c>
      <c r="D520" s="92" t="s">
        <v>91</v>
      </c>
      <c r="E520" s="57" t="s">
        <v>416</v>
      </c>
      <c r="F520" s="21" t="s">
        <v>228</v>
      </c>
      <c r="G520" s="101" t="s">
        <v>227</v>
      </c>
      <c r="H520" s="231">
        <f>76437.5-496+281.2+149.5+452-10.9-402.8-261.9+5.1</f>
        <v>76153.700000000012</v>
      </c>
      <c r="I520" s="97">
        <f>75586.5-2669.3</f>
        <v>72917.2</v>
      </c>
      <c r="J520" s="97">
        <v>75356.5</v>
      </c>
    </row>
    <row r="521" spans="1:10" s="37" customFormat="1" ht="55.5" customHeight="1" x14ac:dyDescent="0.2">
      <c r="A521" s="27"/>
      <c r="B521" s="70"/>
      <c r="C521" s="56" t="s">
        <v>106</v>
      </c>
      <c r="D521" s="92" t="s">
        <v>91</v>
      </c>
      <c r="E521" s="57" t="s">
        <v>418</v>
      </c>
      <c r="F521" s="21"/>
      <c r="G521" s="101" t="s">
        <v>417</v>
      </c>
      <c r="H521" s="97">
        <f>H522</f>
        <v>15780.2</v>
      </c>
      <c r="I521" s="97">
        <f t="shared" ref="I521:J521" si="219">I522</f>
        <v>15780.2</v>
      </c>
      <c r="J521" s="97">
        <f t="shared" si="219"/>
        <v>15780.2</v>
      </c>
    </row>
    <row r="522" spans="1:10" s="37" customFormat="1" ht="14.25" x14ac:dyDescent="0.2">
      <c r="A522" s="27"/>
      <c r="B522" s="70"/>
      <c r="C522" s="16" t="s">
        <v>106</v>
      </c>
      <c r="D522" s="16" t="s">
        <v>91</v>
      </c>
      <c r="E522" s="21" t="s">
        <v>418</v>
      </c>
      <c r="F522" s="21" t="s">
        <v>228</v>
      </c>
      <c r="G522" s="101" t="s">
        <v>227</v>
      </c>
      <c r="H522" s="162">
        <v>15780.2</v>
      </c>
      <c r="I522" s="162">
        <v>15780.2</v>
      </c>
      <c r="J522" s="162">
        <v>15780.2</v>
      </c>
    </row>
    <row r="523" spans="1:10" s="37" customFormat="1" ht="51.75" x14ac:dyDescent="0.25">
      <c r="A523" s="27"/>
      <c r="B523" s="70"/>
      <c r="C523" s="56" t="s">
        <v>106</v>
      </c>
      <c r="D523" s="92" t="s">
        <v>91</v>
      </c>
      <c r="E523" s="229" t="s">
        <v>801</v>
      </c>
      <c r="F523" s="21"/>
      <c r="G523" s="126" t="s">
        <v>802</v>
      </c>
      <c r="H523" s="163">
        <f>H524</f>
        <v>570.70000000000005</v>
      </c>
      <c r="I523" s="163">
        <f t="shared" ref="I523:J523" si="220">I524</f>
        <v>0</v>
      </c>
      <c r="J523" s="163">
        <f t="shared" si="220"/>
        <v>0</v>
      </c>
    </row>
    <row r="524" spans="1:10" s="37" customFormat="1" ht="15" x14ac:dyDescent="0.25">
      <c r="A524" s="27"/>
      <c r="B524" s="70"/>
      <c r="C524" s="16" t="s">
        <v>106</v>
      </c>
      <c r="D524" s="16" t="s">
        <v>91</v>
      </c>
      <c r="E524" s="229" t="s">
        <v>801</v>
      </c>
      <c r="F524" s="21" t="s">
        <v>228</v>
      </c>
      <c r="G524" s="101" t="s">
        <v>227</v>
      </c>
      <c r="H524" s="162">
        <f>580.5-9.8</f>
        <v>570.70000000000005</v>
      </c>
      <c r="I524" s="163">
        <v>0</v>
      </c>
      <c r="J524" s="163">
        <v>0</v>
      </c>
    </row>
    <row r="525" spans="1:10" s="37" customFormat="1" ht="64.5" x14ac:dyDescent="0.25">
      <c r="A525" s="27"/>
      <c r="B525" s="70"/>
      <c r="C525" s="56" t="s">
        <v>106</v>
      </c>
      <c r="D525" s="92" t="s">
        <v>91</v>
      </c>
      <c r="E525" s="229" t="s">
        <v>810</v>
      </c>
      <c r="F525" s="21"/>
      <c r="G525" s="126" t="s">
        <v>809</v>
      </c>
      <c r="H525" s="162">
        <f>H526</f>
        <v>5.8000000000000007</v>
      </c>
      <c r="I525" s="162">
        <f t="shared" ref="I525:J525" si="221">I526</f>
        <v>0</v>
      </c>
      <c r="J525" s="162">
        <f t="shared" si="221"/>
        <v>0</v>
      </c>
    </row>
    <row r="526" spans="1:10" s="37" customFormat="1" ht="15" x14ac:dyDescent="0.25">
      <c r="A526" s="27"/>
      <c r="B526" s="70"/>
      <c r="C526" s="56" t="s">
        <v>106</v>
      </c>
      <c r="D526" s="92" t="s">
        <v>91</v>
      </c>
      <c r="E526" s="229" t="s">
        <v>810</v>
      </c>
      <c r="F526" s="21" t="s">
        <v>228</v>
      </c>
      <c r="G526" s="101" t="s">
        <v>227</v>
      </c>
      <c r="H526" s="162">
        <f>10.9-5.1</f>
        <v>5.8000000000000007</v>
      </c>
      <c r="I526" s="163">
        <v>0</v>
      </c>
      <c r="J526" s="163">
        <v>0</v>
      </c>
    </row>
    <row r="527" spans="1:10" s="37" customFormat="1" ht="38.25" x14ac:dyDescent="0.2">
      <c r="A527" s="27"/>
      <c r="B527" s="70"/>
      <c r="C527" s="16" t="s">
        <v>106</v>
      </c>
      <c r="D527" s="16" t="s">
        <v>91</v>
      </c>
      <c r="E527" s="21" t="s">
        <v>420</v>
      </c>
      <c r="F527" s="83"/>
      <c r="G527" s="100" t="s">
        <v>419</v>
      </c>
      <c r="H527" s="97">
        <f>H528+H530+H532+H534</f>
        <v>4290.2000000000007</v>
      </c>
      <c r="I527" s="97">
        <f>I528+I530+I532+I534</f>
        <v>0</v>
      </c>
      <c r="J527" s="97">
        <f>J528+J530+J532+J534</f>
        <v>0</v>
      </c>
    </row>
    <row r="528" spans="1:10" s="37" customFormat="1" ht="51" x14ac:dyDescent="0.2">
      <c r="A528" s="27"/>
      <c r="B528" s="70"/>
      <c r="C528" s="16" t="s">
        <v>106</v>
      </c>
      <c r="D528" s="16" t="s">
        <v>91</v>
      </c>
      <c r="E528" s="57" t="s">
        <v>421</v>
      </c>
      <c r="F528" s="21"/>
      <c r="G528" s="101" t="s">
        <v>422</v>
      </c>
      <c r="H528" s="97">
        <f>H529</f>
        <v>2953.8</v>
      </c>
      <c r="I528" s="97">
        <f>прил.4!G441</f>
        <v>0</v>
      </c>
      <c r="J528" s="97">
        <f>прил.4!H441</f>
        <v>0</v>
      </c>
    </row>
    <row r="529" spans="1:10" s="37" customFormat="1" ht="14.25" x14ac:dyDescent="0.2">
      <c r="A529" s="27"/>
      <c r="B529" s="70"/>
      <c r="C529" s="16" t="s">
        <v>106</v>
      </c>
      <c r="D529" s="16" t="s">
        <v>91</v>
      </c>
      <c r="E529" s="57" t="s">
        <v>421</v>
      </c>
      <c r="F529" s="21" t="s">
        <v>228</v>
      </c>
      <c r="G529" s="101" t="s">
        <v>227</v>
      </c>
      <c r="H529" s="97">
        <f>1491+1294.4+168.4</f>
        <v>2953.8</v>
      </c>
      <c r="I529" s="97">
        <v>0</v>
      </c>
      <c r="J529" s="97">
        <v>0</v>
      </c>
    </row>
    <row r="530" spans="1:10" s="37" customFormat="1" ht="63.75" x14ac:dyDescent="0.2">
      <c r="A530" s="27"/>
      <c r="B530" s="70"/>
      <c r="C530" s="16" t="s">
        <v>106</v>
      </c>
      <c r="D530" s="16" t="s">
        <v>91</v>
      </c>
      <c r="E530" s="57" t="s">
        <v>423</v>
      </c>
      <c r="F530" s="57"/>
      <c r="G530" s="153" t="s">
        <v>424</v>
      </c>
      <c r="H530" s="97">
        <f>H531</f>
        <v>676.4</v>
      </c>
      <c r="I530" s="97">
        <f t="shared" ref="I530:J530" si="222">I531</f>
        <v>0</v>
      </c>
      <c r="J530" s="97">
        <f t="shared" si="222"/>
        <v>0</v>
      </c>
    </row>
    <row r="531" spans="1:10" s="37" customFormat="1" ht="14.25" x14ac:dyDescent="0.2">
      <c r="A531" s="27"/>
      <c r="B531" s="70"/>
      <c r="C531" s="16" t="s">
        <v>106</v>
      </c>
      <c r="D531" s="16" t="s">
        <v>91</v>
      </c>
      <c r="E531" s="57" t="s">
        <v>423</v>
      </c>
      <c r="F531" s="21" t="s">
        <v>228</v>
      </c>
      <c r="G531" s="101" t="s">
        <v>227</v>
      </c>
      <c r="H531" s="97">
        <f>423.8+200+52.6</f>
        <v>676.4</v>
      </c>
      <c r="I531" s="97">
        <v>0</v>
      </c>
      <c r="J531" s="97">
        <v>0</v>
      </c>
    </row>
    <row r="532" spans="1:10" s="37" customFormat="1" ht="38.25" x14ac:dyDescent="0.2">
      <c r="A532" s="27"/>
      <c r="B532" s="70"/>
      <c r="C532" s="16" t="s">
        <v>106</v>
      </c>
      <c r="D532" s="16" t="s">
        <v>91</v>
      </c>
      <c r="E532" s="193" t="s">
        <v>729</v>
      </c>
      <c r="F532" s="21"/>
      <c r="G532" s="54" t="s">
        <v>728</v>
      </c>
      <c r="H532" s="97">
        <f>H533</f>
        <v>500</v>
      </c>
      <c r="I532" s="97">
        <f t="shared" ref="I532:J532" si="223">I533</f>
        <v>0</v>
      </c>
      <c r="J532" s="97">
        <f t="shared" si="223"/>
        <v>0</v>
      </c>
    </row>
    <row r="533" spans="1:10" s="37" customFormat="1" ht="14.25" x14ac:dyDescent="0.2">
      <c r="A533" s="27"/>
      <c r="B533" s="70"/>
      <c r="C533" s="16" t="s">
        <v>106</v>
      </c>
      <c r="D533" s="16" t="s">
        <v>91</v>
      </c>
      <c r="E533" s="193" t="s">
        <v>729</v>
      </c>
      <c r="F533" s="21" t="s">
        <v>228</v>
      </c>
      <c r="G533" s="101" t="s">
        <v>227</v>
      </c>
      <c r="H533" s="97">
        <v>500</v>
      </c>
      <c r="I533" s="97">
        <v>0</v>
      </c>
      <c r="J533" s="97">
        <v>0</v>
      </c>
    </row>
    <row r="534" spans="1:10" s="37" customFormat="1" ht="38.25" x14ac:dyDescent="0.2">
      <c r="A534" s="27"/>
      <c r="B534" s="70"/>
      <c r="C534" s="16" t="s">
        <v>106</v>
      </c>
      <c r="D534" s="16" t="s">
        <v>91</v>
      </c>
      <c r="E534" s="195" t="s">
        <v>732</v>
      </c>
      <c r="F534" s="21"/>
      <c r="G534" s="153" t="s">
        <v>733</v>
      </c>
      <c r="H534" s="97">
        <f>H535</f>
        <v>160</v>
      </c>
      <c r="I534" s="97">
        <f t="shared" ref="I534:J534" si="224">I535</f>
        <v>0</v>
      </c>
      <c r="J534" s="97">
        <f t="shared" si="224"/>
        <v>0</v>
      </c>
    </row>
    <row r="535" spans="1:10" s="37" customFormat="1" ht="14.25" x14ac:dyDescent="0.2">
      <c r="A535" s="27"/>
      <c r="B535" s="70"/>
      <c r="C535" s="16" t="s">
        <v>106</v>
      </c>
      <c r="D535" s="16" t="s">
        <v>91</v>
      </c>
      <c r="E535" s="195" t="s">
        <v>732</v>
      </c>
      <c r="F535" s="21" t="s">
        <v>228</v>
      </c>
      <c r="G535" s="101" t="s">
        <v>227</v>
      </c>
      <c r="H535" s="97">
        <v>160</v>
      </c>
      <c r="I535" s="97">
        <v>0</v>
      </c>
      <c r="J535" s="97">
        <v>0</v>
      </c>
    </row>
    <row r="536" spans="1:10" s="37" customFormat="1" ht="63.75" x14ac:dyDescent="0.2">
      <c r="A536" s="27"/>
      <c r="B536" s="70"/>
      <c r="C536" s="16" t="s">
        <v>106</v>
      </c>
      <c r="D536" s="16" t="s">
        <v>91</v>
      </c>
      <c r="E536" s="21" t="s">
        <v>425</v>
      </c>
      <c r="F536" s="21"/>
      <c r="G536" s="100" t="s">
        <v>658</v>
      </c>
      <c r="H536" s="97">
        <f>H537+H539+H541</f>
        <v>20418.199999999997</v>
      </c>
      <c r="I536" s="97">
        <f t="shared" ref="I536:J536" si="225">I537+I539+I541</f>
        <v>22800</v>
      </c>
      <c r="J536" s="97">
        <f t="shared" si="225"/>
        <v>20130.699999999997</v>
      </c>
    </row>
    <row r="537" spans="1:10" s="37" customFormat="1" ht="38.25" x14ac:dyDescent="0.2">
      <c r="A537" s="27"/>
      <c r="B537" s="70"/>
      <c r="C537" s="16" t="s">
        <v>106</v>
      </c>
      <c r="D537" s="16" t="s">
        <v>91</v>
      </c>
      <c r="E537" s="57" t="s">
        <v>426</v>
      </c>
      <c r="F537" s="21"/>
      <c r="G537" s="101" t="s">
        <v>316</v>
      </c>
      <c r="H537" s="97">
        <f>H538</f>
        <v>5360.4</v>
      </c>
      <c r="I537" s="97">
        <f t="shared" ref="I537:J537" si="226">I538</f>
        <v>5360.4</v>
      </c>
      <c r="J537" s="97">
        <f t="shared" si="226"/>
        <v>5360.4</v>
      </c>
    </row>
    <row r="538" spans="1:10" s="37" customFormat="1" ht="14.25" x14ac:dyDescent="0.2">
      <c r="A538" s="27"/>
      <c r="B538" s="70"/>
      <c r="C538" s="16" t="s">
        <v>106</v>
      </c>
      <c r="D538" s="16" t="s">
        <v>91</v>
      </c>
      <c r="E538" s="57" t="s">
        <v>426</v>
      </c>
      <c r="F538" s="21" t="s">
        <v>228</v>
      </c>
      <c r="G538" s="101" t="s">
        <v>227</v>
      </c>
      <c r="H538" s="163">
        <v>5360.4</v>
      </c>
      <c r="I538" s="163">
        <v>5360.4</v>
      </c>
      <c r="J538" s="163">
        <v>5360.4</v>
      </c>
    </row>
    <row r="539" spans="1:10" s="37" customFormat="1" ht="76.5" x14ac:dyDescent="0.2">
      <c r="A539" s="27"/>
      <c r="B539" s="70"/>
      <c r="C539" s="16" t="s">
        <v>106</v>
      </c>
      <c r="D539" s="16" t="s">
        <v>91</v>
      </c>
      <c r="E539" s="21" t="s">
        <v>427</v>
      </c>
      <c r="F539" s="21"/>
      <c r="G539" s="101" t="s">
        <v>137</v>
      </c>
      <c r="H539" s="97">
        <f>H540</f>
        <v>14770.3</v>
      </c>
      <c r="I539" s="97">
        <f t="shared" ref="I539:J539" si="227">I540</f>
        <v>17439.599999999999</v>
      </c>
      <c r="J539" s="97">
        <f t="shared" si="227"/>
        <v>14770.3</v>
      </c>
    </row>
    <row r="540" spans="1:10" s="37" customFormat="1" ht="14.25" x14ac:dyDescent="0.2">
      <c r="A540" s="27"/>
      <c r="B540" s="70"/>
      <c r="C540" s="84" t="s">
        <v>106</v>
      </c>
      <c r="D540" s="16" t="s">
        <v>91</v>
      </c>
      <c r="E540" s="21" t="s">
        <v>427</v>
      </c>
      <c r="F540" s="21" t="s">
        <v>228</v>
      </c>
      <c r="G540" s="101" t="s">
        <v>227</v>
      </c>
      <c r="H540" s="97">
        <v>14770.3</v>
      </c>
      <c r="I540" s="97">
        <f>14770.3+2669.3</f>
        <v>17439.599999999999</v>
      </c>
      <c r="J540" s="97">
        <v>14770.3</v>
      </c>
    </row>
    <row r="541" spans="1:10" s="37" customFormat="1" ht="48.75" customHeight="1" x14ac:dyDescent="0.2">
      <c r="A541" s="27"/>
      <c r="B541" s="70"/>
      <c r="C541" s="16" t="s">
        <v>106</v>
      </c>
      <c r="D541" s="16" t="s">
        <v>91</v>
      </c>
      <c r="E541" s="21" t="s">
        <v>428</v>
      </c>
      <c r="F541" s="21"/>
      <c r="G541" s="101" t="s">
        <v>632</v>
      </c>
      <c r="H541" s="97">
        <f>H542</f>
        <v>287.5</v>
      </c>
      <c r="I541" s="97">
        <f t="shared" ref="I541:J541" si="228">I542</f>
        <v>0</v>
      </c>
      <c r="J541" s="97">
        <f t="shared" si="228"/>
        <v>0</v>
      </c>
    </row>
    <row r="542" spans="1:10" s="37" customFormat="1" ht="14.25" x14ac:dyDescent="0.2">
      <c r="A542" s="27"/>
      <c r="B542" s="70"/>
      <c r="C542" s="16" t="s">
        <v>106</v>
      </c>
      <c r="D542" s="16" t="s">
        <v>91</v>
      </c>
      <c r="E542" s="21" t="s">
        <v>428</v>
      </c>
      <c r="F542" s="21" t="s">
        <v>228</v>
      </c>
      <c r="G542" s="101" t="s">
        <v>227</v>
      </c>
      <c r="H542" s="41">
        <f>497-78-131.5</f>
        <v>287.5</v>
      </c>
      <c r="I542" s="41">
        <v>0</v>
      </c>
      <c r="J542" s="41">
        <v>0</v>
      </c>
    </row>
    <row r="543" spans="1:10" s="37" customFormat="1" ht="51" x14ac:dyDescent="0.2">
      <c r="A543" s="27"/>
      <c r="B543" s="70"/>
      <c r="C543" s="84" t="s">
        <v>106</v>
      </c>
      <c r="D543" s="84" t="s">
        <v>91</v>
      </c>
      <c r="E543" s="21" t="s">
        <v>429</v>
      </c>
      <c r="F543" s="21"/>
      <c r="G543" s="100" t="s">
        <v>430</v>
      </c>
      <c r="H543" s="41">
        <f>H544+H546</f>
        <v>21816</v>
      </c>
      <c r="I543" s="41">
        <f t="shared" ref="I543:J543" si="229">I544+I546</f>
        <v>17775.400000000001</v>
      </c>
      <c r="J543" s="41">
        <f t="shared" si="229"/>
        <v>18274.599999999999</v>
      </c>
    </row>
    <row r="544" spans="1:10" s="37" customFormat="1" ht="63.75" x14ac:dyDescent="0.2">
      <c r="A544" s="27"/>
      <c r="B544" s="70"/>
      <c r="C544" s="16" t="s">
        <v>106</v>
      </c>
      <c r="D544" s="16" t="s">
        <v>91</v>
      </c>
      <c r="E544" s="21" t="s">
        <v>431</v>
      </c>
      <c r="F544" s="84"/>
      <c r="G544" s="55" t="s">
        <v>391</v>
      </c>
      <c r="H544" s="41">
        <f>H545</f>
        <v>18083.2</v>
      </c>
      <c r="I544" s="41">
        <f t="shared" ref="I544:J544" si="230">I545</f>
        <v>17775.400000000001</v>
      </c>
      <c r="J544" s="41">
        <f t="shared" si="230"/>
        <v>18274.599999999999</v>
      </c>
    </row>
    <row r="545" spans="1:10" s="37" customFormat="1" ht="14.25" x14ac:dyDescent="0.2">
      <c r="A545" s="27"/>
      <c r="B545" s="70"/>
      <c r="C545" s="16" t="s">
        <v>106</v>
      </c>
      <c r="D545" s="16" t="s">
        <v>91</v>
      </c>
      <c r="E545" s="21" t="s">
        <v>431</v>
      </c>
      <c r="F545" s="21" t="s">
        <v>228</v>
      </c>
      <c r="G545" s="101" t="s">
        <v>227</v>
      </c>
      <c r="H545" s="162">
        <v>18083.2</v>
      </c>
      <c r="I545" s="162">
        <v>17775.400000000001</v>
      </c>
      <c r="J545" s="162">
        <v>18274.599999999999</v>
      </c>
    </row>
    <row r="546" spans="1:10" s="37" customFormat="1" ht="63.75" x14ac:dyDescent="0.2">
      <c r="A546" s="27"/>
      <c r="B546" s="70"/>
      <c r="C546" s="16" t="s">
        <v>106</v>
      </c>
      <c r="D546" s="16" t="s">
        <v>91</v>
      </c>
      <c r="E546" s="57" t="s">
        <v>610</v>
      </c>
      <c r="F546" s="16"/>
      <c r="G546" s="101" t="s">
        <v>611</v>
      </c>
      <c r="H546" s="41">
        <f>H547</f>
        <v>3732.8</v>
      </c>
      <c r="I546" s="41">
        <f t="shared" ref="I546:J546" si="231">I547</f>
        <v>0</v>
      </c>
      <c r="J546" s="41">
        <f t="shared" si="231"/>
        <v>0</v>
      </c>
    </row>
    <row r="547" spans="1:10" s="37" customFormat="1" ht="14.25" x14ac:dyDescent="0.2">
      <c r="A547" s="27"/>
      <c r="B547" s="70"/>
      <c r="C547" s="16" t="s">
        <v>106</v>
      </c>
      <c r="D547" s="16" t="s">
        <v>91</v>
      </c>
      <c r="E547" s="57" t="s">
        <v>610</v>
      </c>
      <c r="F547" s="21" t="s">
        <v>228</v>
      </c>
      <c r="G547" s="101" t="s">
        <v>227</v>
      </c>
      <c r="H547" s="41">
        <f>4063-330.2</f>
        <v>3732.8</v>
      </c>
      <c r="I547" s="41">
        <v>0</v>
      </c>
      <c r="J547" s="41">
        <v>0</v>
      </c>
    </row>
    <row r="548" spans="1:10" s="37" customFormat="1" ht="38.25" x14ac:dyDescent="0.2">
      <c r="A548" s="27"/>
      <c r="B548" s="70"/>
      <c r="C548" s="16" t="s">
        <v>106</v>
      </c>
      <c r="D548" s="16" t="s">
        <v>91</v>
      </c>
      <c r="E548" s="193" t="s">
        <v>713</v>
      </c>
      <c r="F548" s="21"/>
      <c r="G548" s="155" t="s">
        <v>711</v>
      </c>
      <c r="H548" s="41">
        <f>H549+423</f>
        <v>670</v>
      </c>
      <c r="I548" s="41">
        <f t="shared" ref="I548:J549" si="232">I549</f>
        <v>0</v>
      </c>
      <c r="J548" s="41">
        <f t="shared" si="232"/>
        <v>0</v>
      </c>
    </row>
    <row r="549" spans="1:10" s="37" customFormat="1" ht="38.25" x14ac:dyDescent="0.2">
      <c r="A549" s="27"/>
      <c r="B549" s="70"/>
      <c r="C549" s="16" t="s">
        <v>106</v>
      </c>
      <c r="D549" s="16" t="s">
        <v>91</v>
      </c>
      <c r="E549" s="193" t="s">
        <v>712</v>
      </c>
      <c r="F549" s="21"/>
      <c r="G549" s="100" t="s">
        <v>714</v>
      </c>
      <c r="H549" s="41">
        <f>H550</f>
        <v>247</v>
      </c>
      <c r="I549" s="41">
        <f t="shared" si="232"/>
        <v>0</v>
      </c>
      <c r="J549" s="41">
        <f t="shared" si="232"/>
        <v>0</v>
      </c>
    </row>
    <row r="550" spans="1:10" s="37" customFormat="1" ht="14.25" x14ac:dyDescent="0.2">
      <c r="A550" s="27"/>
      <c r="B550" s="70"/>
      <c r="C550" s="16" t="s">
        <v>106</v>
      </c>
      <c r="D550" s="16" t="s">
        <v>91</v>
      </c>
      <c r="E550" s="193" t="s">
        <v>712</v>
      </c>
      <c r="F550" s="21" t="s">
        <v>228</v>
      </c>
      <c r="G550" s="101" t="s">
        <v>227</v>
      </c>
      <c r="H550" s="41">
        <v>247</v>
      </c>
      <c r="I550" s="41">
        <v>0</v>
      </c>
      <c r="J550" s="41">
        <v>0</v>
      </c>
    </row>
    <row r="551" spans="1:10" s="37" customFormat="1" ht="38.25" x14ac:dyDescent="0.2">
      <c r="A551" s="27"/>
      <c r="B551" s="70"/>
      <c r="C551" s="16" t="s">
        <v>106</v>
      </c>
      <c r="D551" s="16" t="s">
        <v>91</v>
      </c>
      <c r="E551" s="193" t="s">
        <v>725</v>
      </c>
      <c r="F551" s="21"/>
      <c r="G551" s="100" t="s">
        <v>714</v>
      </c>
      <c r="H551" s="41">
        <f>H552</f>
        <v>423</v>
      </c>
      <c r="I551" s="41">
        <f t="shared" ref="I551:J551" si="233">I552</f>
        <v>0</v>
      </c>
      <c r="J551" s="41">
        <f t="shared" si="233"/>
        <v>0</v>
      </c>
    </row>
    <row r="552" spans="1:10" s="37" customFormat="1" ht="14.25" x14ac:dyDescent="0.2">
      <c r="A552" s="27"/>
      <c r="B552" s="70"/>
      <c r="C552" s="16" t="s">
        <v>106</v>
      </c>
      <c r="D552" s="16" t="s">
        <v>91</v>
      </c>
      <c r="E552" s="193" t="s">
        <v>725</v>
      </c>
      <c r="F552" s="21" t="s">
        <v>228</v>
      </c>
      <c r="G552" s="101" t="s">
        <v>227</v>
      </c>
      <c r="H552" s="41">
        <v>423</v>
      </c>
      <c r="I552" s="41">
        <v>0</v>
      </c>
      <c r="J552" s="41">
        <v>0</v>
      </c>
    </row>
    <row r="553" spans="1:10" s="37" customFormat="1" ht="14.25" x14ac:dyDescent="0.2">
      <c r="A553" s="27"/>
      <c r="B553" s="70"/>
      <c r="C553" s="35" t="s">
        <v>106</v>
      </c>
      <c r="D553" s="35" t="s">
        <v>95</v>
      </c>
      <c r="E553" s="35"/>
      <c r="F553" s="35"/>
      <c r="G553" s="46" t="s">
        <v>158</v>
      </c>
      <c r="H553" s="42">
        <f>H554+H587</f>
        <v>44379.400000000009</v>
      </c>
      <c r="I553" s="42">
        <f>I554+I587</f>
        <v>40138.799999999996</v>
      </c>
      <c r="J553" s="42">
        <f>J554+J587</f>
        <v>39838.799999999996</v>
      </c>
    </row>
    <row r="554" spans="1:10" s="37" customFormat="1" ht="66" customHeight="1" x14ac:dyDescent="0.2">
      <c r="A554" s="27"/>
      <c r="B554" s="70"/>
      <c r="C554" s="5" t="s">
        <v>106</v>
      </c>
      <c r="D554" s="5" t="s">
        <v>95</v>
      </c>
      <c r="E554" s="73" t="s">
        <v>75</v>
      </c>
      <c r="F554" s="21"/>
      <c r="G554" s="64" t="s">
        <v>635</v>
      </c>
      <c r="H554" s="62">
        <f>H555+H583</f>
        <v>44079.400000000009</v>
      </c>
      <c r="I554" s="62">
        <f>I555+I583</f>
        <v>40138.799999999996</v>
      </c>
      <c r="J554" s="62">
        <f>J555+J583</f>
        <v>39838.799999999996</v>
      </c>
    </row>
    <row r="555" spans="1:10" s="37" customFormat="1" ht="38.25" x14ac:dyDescent="0.2">
      <c r="A555" s="27"/>
      <c r="B555" s="70"/>
      <c r="C555" s="16" t="s">
        <v>106</v>
      </c>
      <c r="D555" s="84" t="s">
        <v>95</v>
      </c>
      <c r="E555" s="52" t="s">
        <v>435</v>
      </c>
      <c r="F555" s="35"/>
      <c r="G555" s="46" t="s">
        <v>436</v>
      </c>
      <c r="H555" s="97">
        <f>H556+H569+H574</f>
        <v>44029.400000000009</v>
      </c>
      <c r="I555" s="97">
        <f>I556+I569+I574</f>
        <v>40088.799999999996</v>
      </c>
      <c r="J555" s="97">
        <f>J556+J569+J574</f>
        <v>39788.799999999996</v>
      </c>
    </row>
    <row r="556" spans="1:10" s="37" customFormat="1" ht="51" x14ac:dyDescent="0.2">
      <c r="A556" s="27"/>
      <c r="B556" s="70"/>
      <c r="C556" s="16" t="s">
        <v>106</v>
      </c>
      <c r="D556" s="84" t="s">
        <v>95</v>
      </c>
      <c r="E556" s="21" t="s">
        <v>440</v>
      </c>
      <c r="F556" s="21"/>
      <c r="G556" s="100" t="s">
        <v>437</v>
      </c>
      <c r="H556" s="41">
        <f>H557+H559+H561+H563+H565+H567</f>
        <v>42105.500000000007</v>
      </c>
      <c r="I556" s="41">
        <f>I557+I559+I561+I563+I565+I567</f>
        <v>39158.799999999996</v>
      </c>
      <c r="J556" s="41">
        <f>J557+J559+J561+J563+J565+J567</f>
        <v>38858.799999999996</v>
      </c>
    </row>
    <row r="557" spans="1:10" s="37" customFormat="1" ht="63.75" customHeight="1" x14ac:dyDescent="0.2">
      <c r="A557" s="27"/>
      <c r="B557" s="70"/>
      <c r="C557" s="16" t="s">
        <v>106</v>
      </c>
      <c r="D557" s="84" t="s">
        <v>95</v>
      </c>
      <c r="E557" s="57" t="s">
        <v>439</v>
      </c>
      <c r="F557" s="16"/>
      <c r="G557" s="101" t="s">
        <v>438</v>
      </c>
      <c r="H557" s="97">
        <f>H558</f>
        <v>31117.900000000005</v>
      </c>
      <c r="I557" s="97">
        <f t="shared" ref="I557:J557" si="234">I558</f>
        <v>32506.3</v>
      </c>
      <c r="J557" s="97">
        <f t="shared" si="234"/>
        <v>32206.3</v>
      </c>
    </row>
    <row r="558" spans="1:10" s="37" customFormat="1" ht="14.25" x14ac:dyDescent="0.2">
      <c r="A558" s="27"/>
      <c r="B558" s="70"/>
      <c r="C558" s="16" t="s">
        <v>106</v>
      </c>
      <c r="D558" s="84" t="s">
        <v>95</v>
      </c>
      <c r="E558" s="57" t="s">
        <v>439</v>
      </c>
      <c r="F558" s="21" t="s">
        <v>228</v>
      </c>
      <c r="G558" s="101" t="s">
        <v>227</v>
      </c>
      <c r="H558" s="97">
        <f>32611.3-72+140.7-4583.6-20.6-4.3+344.8+1.9+83.2+2616.5</f>
        <v>31117.900000000005</v>
      </c>
      <c r="I558" s="97">
        <v>32506.3</v>
      </c>
      <c r="J558" s="97">
        <v>32206.3</v>
      </c>
    </row>
    <row r="559" spans="1:10" s="37" customFormat="1" ht="38.25" x14ac:dyDescent="0.2">
      <c r="A559" s="27"/>
      <c r="B559" s="70"/>
      <c r="C559" s="16" t="s">
        <v>106</v>
      </c>
      <c r="D559" s="84" t="s">
        <v>95</v>
      </c>
      <c r="E559" s="193" t="s">
        <v>753</v>
      </c>
      <c r="F559" s="21"/>
      <c r="G559" s="153" t="s">
        <v>755</v>
      </c>
      <c r="H559" s="97">
        <f>SUM(H560:H560)</f>
        <v>1992.0999999999995</v>
      </c>
      <c r="I559" s="97">
        <f>SUM(I560:I560)</f>
        <v>0</v>
      </c>
      <c r="J559" s="97">
        <f>SUM(J560:J560)</f>
        <v>0</v>
      </c>
    </row>
    <row r="560" spans="1:10" s="37" customFormat="1" ht="14.25" x14ac:dyDescent="0.2">
      <c r="A560" s="27"/>
      <c r="B560" s="70"/>
      <c r="C560" s="16" t="s">
        <v>106</v>
      </c>
      <c r="D560" s="84" t="s">
        <v>95</v>
      </c>
      <c r="E560" s="193" t="s">
        <v>753</v>
      </c>
      <c r="F560" s="21" t="s">
        <v>228</v>
      </c>
      <c r="G560" s="101" t="s">
        <v>227</v>
      </c>
      <c r="H560" s="97">
        <f>4629.4-20.8-2616.5</f>
        <v>1992.0999999999995</v>
      </c>
      <c r="I560" s="97">
        <v>0</v>
      </c>
      <c r="J560" s="97">
        <v>0</v>
      </c>
    </row>
    <row r="561" spans="1:10" s="37" customFormat="1" ht="76.5" x14ac:dyDescent="0.2">
      <c r="A561" s="27"/>
      <c r="B561" s="70"/>
      <c r="C561" s="16" t="s">
        <v>106</v>
      </c>
      <c r="D561" s="84" t="s">
        <v>95</v>
      </c>
      <c r="E561" s="57" t="s">
        <v>441</v>
      </c>
      <c r="F561" s="21"/>
      <c r="G561" s="101" t="s">
        <v>442</v>
      </c>
      <c r="H561" s="97">
        <f>H562</f>
        <v>8668.6</v>
      </c>
      <c r="I561" s="97">
        <f t="shared" ref="I561:J561" si="235">I562</f>
        <v>6585.8</v>
      </c>
      <c r="J561" s="97">
        <f t="shared" si="235"/>
        <v>6585.8</v>
      </c>
    </row>
    <row r="562" spans="1:10" s="37" customFormat="1" ht="14.25" x14ac:dyDescent="0.2">
      <c r="A562" s="27"/>
      <c r="B562" s="70"/>
      <c r="C562" s="16" t="s">
        <v>106</v>
      </c>
      <c r="D562" s="84" t="s">
        <v>95</v>
      </c>
      <c r="E562" s="57" t="s">
        <v>441</v>
      </c>
      <c r="F562" s="21" t="s">
        <v>228</v>
      </c>
      <c r="G562" s="101" t="s">
        <v>227</v>
      </c>
      <c r="H562" s="164">
        <f>6585.8+2082.8</f>
        <v>8668.6</v>
      </c>
      <c r="I562" s="164">
        <v>6585.8</v>
      </c>
      <c r="J562" s="164">
        <v>6585.8</v>
      </c>
    </row>
    <row r="563" spans="1:10" s="37" customFormat="1" ht="76.5" x14ac:dyDescent="0.2">
      <c r="A563" s="27"/>
      <c r="B563" s="70"/>
      <c r="C563" s="16" t="s">
        <v>106</v>
      </c>
      <c r="D563" s="84" t="s">
        <v>95</v>
      </c>
      <c r="E563" s="57" t="s">
        <v>443</v>
      </c>
      <c r="F563" s="57"/>
      <c r="G563" s="101" t="s">
        <v>444</v>
      </c>
      <c r="H563" s="102">
        <f>H564</f>
        <v>87.300000000000011</v>
      </c>
      <c r="I563" s="102">
        <f>I564</f>
        <v>66.7</v>
      </c>
      <c r="J563" s="102">
        <f>J564</f>
        <v>66.7</v>
      </c>
    </row>
    <row r="564" spans="1:10" s="37" customFormat="1" ht="14.25" x14ac:dyDescent="0.2">
      <c r="A564" s="27"/>
      <c r="B564" s="70"/>
      <c r="C564" s="16" t="s">
        <v>106</v>
      </c>
      <c r="D564" s="84" t="s">
        <v>95</v>
      </c>
      <c r="E564" s="21" t="s">
        <v>443</v>
      </c>
      <c r="F564" s="21" t="s">
        <v>228</v>
      </c>
      <c r="G564" s="101" t="s">
        <v>227</v>
      </c>
      <c r="H564" s="41">
        <f>66.7+20.6</f>
        <v>87.300000000000011</v>
      </c>
      <c r="I564" s="41">
        <v>66.7</v>
      </c>
      <c r="J564" s="41">
        <v>66.7</v>
      </c>
    </row>
    <row r="565" spans="1:10" s="37" customFormat="1" ht="51" x14ac:dyDescent="0.2">
      <c r="A565" s="27"/>
      <c r="B565" s="70"/>
      <c r="C565" s="16" t="s">
        <v>106</v>
      </c>
      <c r="D565" s="84" t="s">
        <v>95</v>
      </c>
      <c r="E565" s="21" t="s">
        <v>803</v>
      </c>
      <c r="F565" s="21"/>
      <c r="G565" s="126" t="s">
        <v>804</v>
      </c>
      <c r="H565" s="41">
        <f>H566</f>
        <v>237.20000000000002</v>
      </c>
      <c r="I565" s="41">
        <f t="shared" ref="I565:J565" si="236">I566</f>
        <v>0</v>
      </c>
      <c r="J565" s="41">
        <f t="shared" si="236"/>
        <v>0</v>
      </c>
    </row>
    <row r="566" spans="1:10" s="37" customFormat="1" ht="14.25" x14ac:dyDescent="0.2">
      <c r="A566" s="27"/>
      <c r="B566" s="70"/>
      <c r="C566" s="16" t="s">
        <v>106</v>
      </c>
      <c r="D566" s="84" t="s">
        <v>95</v>
      </c>
      <c r="E566" s="21" t="s">
        <v>803</v>
      </c>
      <c r="F566" s="21" t="s">
        <v>228</v>
      </c>
      <c r="G566" s="101" t="s">
        <v>227</v>
      </c>
      <c r="H566" s="41">
        <f>235.3+1.9</f>
        <v>237.20000000000002</v>
      </c>
      <c r="I566" s="41">
        <v>0</v>
      </c>
      <c r="J566" s="41">
        <v>0</v>
      </c>
    </row>
    <row r="567" spans="1:10" s="37" customFormat="1" ht="63.75" x14ac:dyDescent="0.2">
      <c r="A567" s="27"/>
      <c r="B567" s="70"/>
      <c r="C567" s="16" t="s">
        <v>106</v>
      </c>
      <c r="D567" s="84" t="s">
        <v>95</v>
      </c>
      <c r="E567" s="21" t="s">
        <v>811</v>
      </c>
      <c r="F567" s="21"/>
      <c r="G567" s="126" t="s">
        <v>812</v>
      </c>
      <c r="H567" s="41">
        <f>H568</f>
        <v>2.4</v>
      </c>
      <c r="I567" s="41">
        <f t="shared" ref="I567:J567" si="237">I568</f>
        <v>0</v>
      </c>
      <c r="J567" s="41">
        <f t="shared" si="237"/>
        <v>0</v>
      </c>
    </row>
    <row r="568" spans="1:10" s="37" customFormat="1" ht="14.25" x14ac:dyDescent="0.2">
      <c r="A568" s="27"/>
      <c r="B568" s="70"/>
      <c r="C568" s="16" t="s">
        <v>106</v>
      </c>
      <c r="D568" s="84" t="s">
        <v>95</v>
      </c>
      <c r="E568" s="21" t="s">
        <v>811</v>
      </c>
      <c r="F568" s="21" t="s">
        <v>228</v>
      </c>
      <c r="G568" s="101" t="s">
        <v>227</v>
      </c>
      <c r="H568" s="41">
        <f>4.3-1.9</f>
        <v>2.4</v>
      </c>
      <c r="I568" s="41">
        <v>0</v>
      </c>
      <c r="J568" s="41">
        <v>0</v>
      </c>
    </row>
    <row r="569" spans="1:10" s="37" customFormat="1" ht="38.25" x14ac:dyDescent="0.2">
      <c r="A569" s="27"/>
      <c r="B569" s="70"/>
      <c r="C569" s="16" t="s">
        <v>106</v>
      </c>
      <c r="D569" s="84" t="s">
        <v>95</v>
      </c>
      <c r="E569" s="21" t="s">
        <v>446</v>
      </c>
      <c r="F569" s="35"/>
      <c r="G569" s="100" t="s">
        <v>445</v>
      </c>
      <c r="H569" s="41">
        <f>H570+H572</f>
        <v>1007.8</v>
      </c>
      <c r="I569" s="41">
        <f t="shared" ref="I569:J569" si="238">I570+I572</f>
        <v>0</v>
      </c>
      <c r="J569" s="41">
        <f t="shared" si="238"/>
        <v>0</v>
      </c>
    </row>
    <row r="570" spans="1:10" s="37" customFormat="1" ht="63.75" x14ac:dyDescent="0.2">
      <c r="A570" s="27"/>
      <c r="B570" s="70"/>
      <c r="C570" s="16" t="s">
        <v>106</v>
      </c>
      <c r="D570" s="84" t="s">
        <v>95</v>
      </c>
      <c r="E570" s="57" t="s">
        <v>447</v>
      </c>
      <c r="F570" s="84"/>
      <c r="G570" s="101" t="s">
        <v>448</v>
      </c>
      <c r="H570" s="41">
        <f>H571</f>
        <v>470</v>
      </c>
      <c r="I570" s="41">
        <f t="shared" ref="I570:J570" si="239">I571</f>
        <v>0</v>
      </c>
      <c r="J570" s="41">
        <f t="shared" si="239"/>
        <v>0</v>
      </c>
    </row>
    <row r="571" spans="1:10" s="37" customFormat="1" ht="14.25" x14ac:dyDescent="0.2">
      <c r="A571" s="27"/>
      <c r="B571" s="70"/>
      <c r="C571" s="16" t="s">
        <v>106</v>
      </c>
      <c r="D571" s="84" t="s">
        <v>95</v>
      </c>
      <c r="E571" s="57" t="s">
        <v>447</v>
      </c>
      <c r="F571" s="21" t="s">
        <v>228</v>
      </c>
      <c r="G571" s="101" t="s">
        <v>227</v>
      </c>
      <c r="H571" s="41">
        <f>500-30</f>
        <v>470</v>
      </c>
      <c r="I571" s="41">
        <v>0</v>
      </c>
      <c r="J571" s="41">
        <v>0</v>
      </c>
    </row>
    <row r="572" spans="1:10" s="37" customFormat="1" ht="38.25" x14ac:dyDescent="0.2">
      <c r="A572" s="27"/>
      <c r="B572" s="70"/>
      <c r="C572" s="16" t="s">
        <v>106</v>
      </c>
      <c r="D572" s="84" t="s">
        <v>95</v>
      </c>
      <c r="E572" s="192" t="s">
        <v>721</v>
      </c>
      <c r="F572" s="21"/>
      <c r="G572" s="54" t="s">
        <v>722</v>
      </c>
      <c r="H572" s="41">
        <f>H573</f>
        <v>537.79999999999995</v>
      </c>
      <c r="I572" s="41">
        <f t="shared" ref="I572:J572" si="240">I573</f>
        <v>0</v>
      </c>
      <c r="J572" s="41">
        <f t="shared" si="240"/>
        <v>0</v>
      </c>
    </row>
    <row r="573" spans="1:10" s="37" customFormat="1" ht="14.25" x14ac:dyDescent="0.2">
      <c r="A573" s="27"/>
      <c r="B573" s="70"/>
      <c r="C573" s="16" t="s">
        <v>106</v>
      </c>
      <c r="D573" s="84" t="s">
        <v>95</v>
      </c>
      <c r="E573" s="192" t="s">
        <v>721</v>
      </c>
      <c r="F573" s="21" t="s">
        <v>228</v>
      </c>
      <c r="G573" s="101" t="s">
        <v>227</v>
      </c>
      <c r="H573" s="41">
        <v>537.79999999999995</v>
      </c>
      <c r="I573" s="41">
        <v>0</v>
      </c>
      <c r="J573" s="41">
        <v>0</v>
      </c>
    </row>
    <row r="574" spans="1:10" s="37" customFormat="1" ht="38.25" x14ac:dyDescent="0.2">
      <c r="A574" s="27"/>
      <c r="B574" s="70"/>
      <c r="C574" s="16" t="s">
        <v>106</v>
      </c>
      <c r="D574" s="84" t="s">
        <v>95</v>
      </c>
      <c r="E574" s="21" t="s">
        <v>450</v>
      </c>
      <c r="F574" s="84"/>
      <c r="G574" s="100" t="s">
        <v>449</v>
      </c>
      <c r="H574" s="41">
        <f>H575+H577+H579+H581</f>
        <v>916.1</v>
      </c>
      <c r="I574" s="41">
        <f t="shared" ref="I574:J574" si="241">I575+I577+I579+I581</f>
        <v>930</v>
      </c>
      <c r="J574" s="41">
        <f t="shared" si="241"/>
        <v>930</v>
      </c>
    </row>
    <row r="575" spans="1:10" s="37" customFormat="1" ht="51" x14ac:dyDescent="0.2">
      <c r="A575" s="27"/>
      <c r="B575" s="70"/>
      <c r="C575" s="16" t="s">
        <v>106</v>
      </c>
      <c r="D575" s="84" t="s">
        <v>95</v>
      </c>
      <c r="E575" s="57" t="s">
        <v>618</v>
      </c>
      <c r="F575" s="21"/>
      <c r="G575" s="126" t="s">
        <v>451</v>
      </c>
      <c r="H575" s="97">
        <f>H576</f>
        <v>530</v>
      </c>
      <c r="I575" s="97">
        <f t="shared" ref="I575:J575" si="242">I576</f>
        <v>530</v>
      </c>
      <c r="J575" s="97">
        <f t="shared" si="242"/>
        <v>530</v>
      </c>
    </row>
    <row r="576" spans="1:10" s="37" customFormat="1" ht="14.25" x14ac:dyDescent="0.2">
      <c r="A576" s="27"/>
      <c r="B576" s="70"/>
      <c r="C576" s="16" t="s">
        <v>106</v>
      </c>
      <c r="D576" s="84" t="s">
        <v>95</v>
      </c>
      <c r="E576" s="57" t="s">
        <v>618</v>
      </c>
      <c r="F576" s="21" t="s">
        <v>228</v>
      </c>
      <c r="G576" s="101" t="s">
        <v>227</v>
      </c>
      <c r="H576" s="97">
        <v>530</v>
      </c>
      <c r="I576" s="97">
        <v>530</v>
      </c>
      <c r="J576" s="97">
        <v>530</v>
      </c>
    </row>
    <row r="577" spans="1:10" s="37" customFormat="1" ht="57.75" customHeight="1" x14ac:dyDescent="0.2">
      <c r="A577" s="27"/>
      <c r="B577" s="70"/>
      <c r="C577" s="16" t="s">
        <v>106</v>
      </c>
      <c r="D577" s="84" t="s">
        <v>95</v>
      </c>
      <c r="E577" s="183" t="s">
        <v>633</v>
      </c>
      <c r="F577" s="21"/>
      <c r="G577" s="101" t="s">
        <v>632</v>
      </c>
      <c r="H577" s="97">
        <f>H578</f>
        <v>30</v>
      </c>
      <c r="I577" s="97">
        <f t="shared" ref="I577:J577" si="243">I578</f>
        <v>0</v>
      </c>
      <c r="J577" s="97">
        <f t="shared" si="243"/>
        <v>0</v>
      </c>
    </row>
    <row r="578" spans="1:10" s="37" customFormat="1" ht="14.25" x14ac:dyDescent="0.2">
      <c r="A578" s="27"/>
      <c r="B578" s="70"/>
      <c r="C578" s="16" t="s">
        <v>106</v>
      </c>
      <c r="D578" s="84" t="s">
        <v>95</v>
      </c>
      <c r="E578" s="183" t="s">
        <v>633</v>
      </c>
      <c r="F578" s="21" t="s">
        <v>228</v>
      </c>
      <c r="G578" s="101" t="s">
        <v>227</v>
      </c>
      <c r="H578" s="97">
        <v>30</v>
      </c>
      <c r="I578" s="97">
        <v>0</v>
      </c>
      <c r="J578" s="97">
        <v>0</v>
      </c>
    </row>
    <row r="579" spans="1:10" s="37" customFormat="1" ht="30" customHeight="1" x14ac:dyDescent="0.2">
      <c r="A579" s="27"/>
      <c r="B579" s="70"/>
      <c r="C579" s="16" t="s">
        <v>106</v>
      </c>
      <c r="D579" s="84" t="s">
        <v>95</v>
      </c>
      <c r="E579" s="57" t="s">
        <v>452</v>
      </c>
      <c r="F579" s="21"/>
      <c r="G579" s="101" t="s">
        <v>186</v>
      </c>
      <c r="H579" s="41">
        <f>H580</f>
        <v>250</v>
      </c>
      <c r="I579" s="41">
        <f t="shared" ref="I579:J579" si="244">I580</f>
        <v>250</v>
      </c>
      <c r="J579" s="41">
        <f t="shared" si="244"/>
        <v>250</v>
      </c>
    </row>
    <row r="580" spans="1:10" s="37" customFormat="1" ht="14.25" x14ac:dyDescent="0.2">
      <c r="A580" s="27"/>
      <c r="B580" s="70"/>
      <c r="C580" s="16" t="s">
        <v>106</v>
      </c>
      <c r="D580" s="84" t="s">
        <v>95</v>
      </c>
      <c r="E580" s="57" t="s">
        <v>452</v>
      </c>
      <c r="F580" s="21" t="s">
        <v>228</v>
      </c>
      <c r="G580" s="101" t="s">
        <v>227</v>
      </c>
      <c r="H580" s="41">
        <v>250</v>
      </c>
      <c r="I580" s="41">
        <v>250</v>
      </c>
      <c r="J580" s="41">
        <v>250</v>
      </c>
    </row>
    <row r="581" spans="1:10" s="37" customFormat="1" ht="38.25" x14ac:dyDescent="0.2">
      <c r="A581" s="27"/>
      <c r="B581" s="70"/>
      <c r="C581" s="16" t="s">
        <v>106</v>
      </c>
      <c r="D581" s="84" t="s">
        <v>95</v>
      </c>
      <c r="E581" s="127" t="s">
        <v>453</v>
      </c>
      <c r="F581" s="125"/>
      <c r="G581" s="101" t="s">
        <v>454</v>
      </c>
      <c r="H581" s="110">
        <f>H582</f>
        <v>106.1</v>
      </c>
      <c r="I581" s="110">
        <f t="shared" ref="I581:J581" si="245">I582</f>
        <v>150</v>
      </c>
      <c r="J581" s="110">
        <f t="shared" si="245"/>
        <v>150</v>
      </c>
    </row>
    <row r="582" spans="1:10" s="37" customFormat="1" ht="14.25" x14ac:dyDescent="0.2">
      <c r="A582" s="27"/>
      <c r="B582" s="70"/>
      <c r="C582" s="16" t="s">
        <v>106</v>
      </c>
      <c r="D582" s="84" t="s">
        <v>95</v>
      </c>
      <c r="E582" s="127" t="s">
        <v>453</v>
      </c>
      <c r="F582" s="21" t="s">
        <v>228</v>
      </c>
      <c r="G582" s="101" t="s">
        <v>227</v>
      </c>
      <c r="H582" s="110">
        <f>150-43.9</f>
        <v>106.1</v>
      </c>
      <c r="I582" s="110">
        <v>150</v>
      </c>
      <c r="J582" s="110">
        <v>150</v>
      </c>
    </row>
    <row r="583" spans="1:10" s="37" customFormat="1" ht="25.5" x14ac:dyDescent="0.2">
      <c r="A583" s="27"/>
      <c r="B583" s="70"/>
      <c r="C583" s="47" t="s">
        <v>106</v>
      </c>
      <c r="D583" s="47" t="s">
        <v>95</v>
      </c>
      <c r="E583" s="52" t="s">
        <v>456</v>
      </c>
      <c r="F583" s="84"/>
      <c r="G583" s="46" t="s">
        <v>455</v>
      </c>
      <c r="H583" s="123">
        <f>H584</f>
        <v>50</v>
      </c>
      <c r="I583" s="123">
        <f t="shared" ref="I583:J583" si="246">I584</f>
        <v>50</v>
      </c>
      <c r="J583" s="123">
        <f t="shared" si="246"/>
        <v>50</v>
      </c>
    </row>
    <row r="584" spans="1:10" s="37" customFormat="1" ht="25.5" x14ac:dyDescent="0.2">
      <c r="A584" s="27"/>
      <c r="B584" s="70"/>
      <c r="C584" s="16" t="s">
        <v>106</v>
      </c>
      <c r="D584" s="84" t="s">
        <v>95</v>
      </c>
      <c r="E584" s="21" t="s">
        <v>457</v>
      </c>
      <c r="F584" s="21"/>
      <c r="G584" s="100" t="s">
        <v>506</v>
      </c>
      <c r="H584" s="110">
        <f>H585</f>
        <v>50</v>
      </c>
      <c r="I584" s="110">
        <f t="shared" ref="I584:J584" si="247">I585</f>
        <v>50</v>
      </c>
      <c r="J584" s="110">
        <f t="shared" si="247"/>
        <v>50</v>
      </c>
    </row>
    <row r="585" spans="1:10" s="37" customFormat="1" ht="76.5" x14ac:dyDescent="0.2">
      <c r="A585" s="27"/>
      <c r="B585" s="70"/>
      <c r="C585" s="16" t="s">
        <v>106</v>
      </c>
      <c r="D585" s="84" t="s">
        <v>95</v>
      </c>
      <c r="E585" s="57" t="s">
        <v>612</v>
      </c>
      <c r="F585" s="16"/>
      <c r="G585" s="101" t="s">
        <v>459</v>
      </c>
      <c r="H585" s="41">
        <f>H586</f>
        <v>50</v>
      </c>
      <c r="I585" s="41">
        <f>I586</f>
        <v>50</v>
      </c>
      <c r="J585" s="41">
        <f>J586</f>
        <v>50</v>
      </c>
    </row>
    <row r="586" spans="1:10" s="37" customFormat="1" ht="14.25" x14ac:dyDescent="0.2">
      <c r="A586" s="27"/>
      <c r="B586" s="70"/>
      <c r="C586" s="16" t="s">
        <v>106</v>
      </c>
      <c r="D586" s="84" t="s">
        <v>95</v>
      </c>
      <c r="E586" s="57" t="s">
        <v>612</v>
      </c>
      <c r="F586" s="21" t="s">
        <v>228</v>
      </c>
      <c r="G586" s="101" t="s">
        <v>227</v>
      </c>
      <c r="H586" s="41">
        <v>50</v>
      </c>
      <c r="I586" s="41">
        <v>50</v>
      </c>
      <c r="J586" s="41">
        <v>50</v>
      </c>
    </row>
    <row r="587" spans="1:10" s="37" customFormat="1" ht="25.5" x14ac:dyDescent="0.2">
      <c r="A587" s="27"/>
      <c r="B587" s="70"/>
      <c r="C587" s="84" t="s">
        <v>106</v>
      </c>
      <c r="D587" s="84" t="s">
        <v>95</v>
      </c>
      <c r="E587" s="84" t="s">
        <v>26</v>
      </c>
      <c r="F587" s="84"/>
      <c r="G587" s="103" t="s">
        <v>40</v>
      </c>
      <c r="H587" s="41">
        <f>H588</f>
        <v>300</v>
      </c>
      <c r="I587" s="41">
        <f t="shared" ref="I587:J587" si="248">I588</f>
        <v>0</v>
      </c>
      <c r="J587" s="41">
        <f t="shared" si="248"/>
        <v>0</v>
      </c>
    </row>
    <row r="588" spans="1:10" s="37" customFormat="1" ht="39.75" customHeight="1" x14ac:dyDescent="0.2">
      <c r="A588" s="27"/>
      <c r="B588" s="70"/>
      <c r="C588" s="16" t="s">
        <v>106</v>
      </c>
      <c r="D588" s="84" t="s">
        <v>95</v>
      </c>
      <c r="E588" s="84" t="s">
        <v>629</v>
      </c>
      <c r="F588" s="16"/>
      <c r="G588" s="54" t="s">
        <v>627</v>
      </c>
      <c r="H588" s="41">
        <f>SUM(H589:H589)</f>
        <v>300</v>
      </c>
      <c r="I588" s="41">
        <f>SUM(I589:I589)</f>
        <v>0</v>
      </c>
      <c r="J588" s="41">
        <f>SUM(J589:J589)</f>
        <v>0</v>
      </c>
    </row>
    <row r="589" spans="1:10" s="37" customFormat="1" ht="14.25" x14ac:dyDescent="0.2">
      <c r="A589" s="27"/>
      <c r="B589" s="70"/>
      <c r="C589" s="16" t="s">
        <v>106</v>
      </c>
      <c r="D589" s="84" t="s">
        <v>95</v>
      </c>
      <c r="E589" s="84" t="s">
        <v>629</v>
      </c>
      <c r="F589" s="21" t="s">
        <v>228</v>
      </c>
      <c r="G589" s="101" t="s">
        <v>227</v>
      </c>
      <c r="H589" s="39">
        <v>300</v>
      </c>
      <c r="I589" s="39">
        <v>0</v>
      </c>
      <c r="J589" s="39">
        <v>0</v>
      </c>
    </row>
    <row r="590" spans="1:10" s="36" customFormat="1" ht="38.25" x14ac:dyDescent="0.2">
      <c r="A590" s="27"/>
      <c r="B590" s="70"/>
      <c r="C590" s="35" t="s">
        <v>106</v>
      </c>
      <c r="D590" s="35" t="s">
        <v>97</v>
      </c>
      <c r="E590" s="35"/>
      <c r="F590" s="35"/>
      <c r="G590" s="46" t="s">
        <v>2</v>
      </c>
      <c r="H590" s="42">
        <f t="shared" ref="H590:J591" si="249">H591</f>
        <v>152.4</v>
      </c>
      <c r="I590" s="42">
        <f t="shared" si="249"/>
        <v>250</v>
      </c>
      <c r="J590" s="42">
        <f t="shared" si="249"/>
        <v>250</v>
      </c>
    </row>
    <row r="591" spans="1:10" s="36" customFormat="1" ht="64.5" customHeight="1" x14ac:dyDescent="0.2">
      <c r="A591" s="27"/>
      <c r="B591" s="70"/>
      <c r="C591" s="16" t="s">
        <v>106</v>
      </c>
      <c r="D591" s="16" t="s">
        <v>97</v>
      </c>
      <c r="E591" s="21" t="s">
        <v>75</v>
      </c>
      <c r="F591" s="35"/>
      <c r="G591" s="64" t="s">
        <v>635</v>
      </c>
      <c r="H591" s="62">
        <f t="shared" si="249"/>
        <v>152.4</v>
      </c>
      <c r="I591" s="62">
        <f t="shared" si="249"/>
        <v>250</v>
      </c>
      <c r="J591" s="62">
        <f t="shared" si="249"/>
        <v>250</v>
      </c>
    </row>
    <row r="592" spans="1:10" s="36" customFormat="1" ht="25.5" x14ac:dyDescent="0.2">
      <c r="A592" s="27"/>
      <c r="B592" s="70"/>
      <c r="C592" s="16" t="s">
        <v>106</v>
      </c>
      <c r="D592" s="16" t="s">
        <v>97</v>
      </c>
      <c r="E592" s="52" t="s">
        <v>456</v>
      </c>
      <c r="F592" s="35"/>
      <c r="G592" s="46" t="s">
        <v>455</v>
      </c>
      <c r="H592" s="58">
        <f>H594</f>
        <v>152.4</v>
      </c>
      <c r="I592" s="58">
        <f>I594</f>
        <v>250</v>
      </c>
      <c r="J592" s="58">
        <f>J594</f>
        <v>250</v>
      </c>
    </row>
    <row r="593" spans="1:10" s="36" customFormat="1" ht="38.25" x14ac:dyDescent="0.2">
      <c r="A593" s="27"/>
      <c r="B593" s="70"/>
      <c r="C593" s="16" t="s">
        <v>106</v>
      </c>
      <c r="D593" s="16" t="s">
        <v>97</v>
      </c>
      <c r="E593" s="21" t="s">
        <v>460</v>
      </c>
      <c r="F593" s="21"/>
      <c r="G593" s="100" t="s">
        <v>659</v>
      </c>
      <c r="H593" s="102">
        <f>H594</f>
        <v>152.4</v>
      </c>
      <c r="I593" s="102">
        <f t="shared" ref="I593:J593" si="250">I594</f>
        <v>250</v>
      </c>
      <c r="J593" s="102">
        <f t="shared" si="250"/>
        <v>250</v>
      </c>
    </row>
    <row r="594" spans="1:10" s="36" customFormat="1" ht="38.25" x14ac:dyDescent="0.2">
      <c r="A594" s="27"/>
      <c r="B594" s="70"/>
      <c r="C594" s="16" t="s">
        <v>106</v>
      </c>
      <c r="D594" s="16" t="s">
        <v>97</v>
      </c>
      <c r="E594" s="57" t="s">
        <v>613</v>
      </c>
      <c r="F594" s="16"/>
      <c r="G594" s="101" t="s">
        <v>46</v>
      </c>
      <c r="H594" s="41">
        <f>H595</f>
        <v>152.4</v>
      </c>
      <c r="I594" s="41">
        <f>I595</f>
        <v>250</v>
      </c>
      <c r="J594" s="41">
        <f>J595</f>
        <v>250</v>
      </c>
    </row>
    <row r="595" spans="1:10" x14ac:dyDescent="0.2">
      <c r="A595" s="1"/>
      <c r="B595" s="25"/>
      <c r="C595" s="16" t="s">
        <v>106</v>
      </c>
      <c r="D595" s="16" t="s">
        <v>97</v>
      </c>
      <c r="E595" s="57" t="s">
        <v>613</v>
      </c>
      <c r="F595" s="21" t="s">
        <v>228</v>
      </c>
      <c r="G595" s="101" t="s">
        <v>227</v>
      </c>
      <c r="H595" s="97">
        <f>250-97.6</f>
        <v>152.4</v>
      </c>
      <c r="I595" s="97">
        <v>250</v>
      </c>
      <c r="J595" s="97">
        <v>250</v>
      </c>
    </row>
    <row r="596" spans="1:10" s="37" customFormat="1" ht="14.25" x14ac:dyDescent="0.2">
      <c r="A596" s="27"/>
      <c r="B596" s="70"/>
      <c r="C596" s="35" t="s">
        <v>106</v>
      </c>
      <c r="D596" s="35" t="s">
        <v>106</v>
      </c>
      <c r="E596" s="35"/>
      <c r="F596" s="35"/>
      <c r="G596" s="46" t="s">
        <v>157</v>
      </c>
      <c r="H596" s="42">
        <f t="shared" ref="H596:J598" si="251">H597</f>
        <v>4111.8999999999996</v>
      </c>
      <c r="I596" s="42">
        <f t="shared" si="251"/>
        <v>3969.7</v>
      </c>
      <c r="J596" s="42">
        <f t="shared" si="251"/>
        <v>3969.7</v>
      </c>
    </row>
    <row r="597" spans="1:10" s="37" customFormat="1" ht="66.75" customHeight="1" x14ac:dyDescent="0.2">
      <c r="A597" s="27"/>
      <c r="B597" s="70"/>
      <c r="C597" s="16" t="s">
        <v>106</v>
      </c>
      <c r="D597" s="16" t="s">
        <v>106</v>
      </c>
      <c r="E597" s="21" t="s">
        <v>75</v>
      </c>
      <c r="F597" s="35"/>
      <c r="G597" s="64" t="s">
        <v>635</v>
      </c>
      <c r="H597" s="62">
        <f t="shared" si="251"/>
        <v>4111.8999999999996</v>
      </c>
      <c r="I597" s="62">
        <f t="shared" si="251"/>
        <v>3969.7</v>
      </c>
      <c r="J597" s="62">
        <f t="shared" si="251"/>
        <v>3969.7</v>
      </c>
    </row>
    <row r="598" spans="1:10" s="37" customFormat="1" ht="38.25" x14ac:dyDescent="0.2">
      <c r="A598" s="27"/>
      <c r="B598" s="70"/>
      <c r="C598" s="16" t="s">
        <v>106</v>
      </c>
      <c r="D598" s="16" t="s">
        <v>106</v>
      </c>
      <c r="E598" s="52" t="s">
        <v>77</v>
      </c>
      <c r="F598" s="35"/>
      <c r="G598" s="46" t="s">
        <v>619</v>
      </c>
      <c r="H598" s="97">
        <f t="shared" si="251"/>
        <v>4111.8999999999996</v>
      </c>
      <c r="I598" s="97">
        <f t="shared" si="251"/>
        <v>3969.7</v>
      </c>
      <c r="J598" s="97">
        <f t="shared" si="251"/>
        <v>3969.7</v>
      </c>
    </row>
    <row r="599" spans="1:10" s="37" customFormat="1" ht="51" x14ac:dyDescent="0.2">
      <c r="A599" s="27"/>
      <c r="B599" s="70"/>
      <c r="C599" s="16" t="s">
        <v>106</v>
      </c>
      <c r="D599" s="16" t="s">
        <v>106</v>
      </c>
      <c r="E599" s="21" t="s">
        <v>429</v>
      </c>
      <c r="F599" s="35"/>
      <c r="G599" s="100" t="s">
        <v>430</v>
      </c>
      <c r="H599" s="41">
        <f t="shared" ref="H599:I599" si="252">H600+H602</f>
        <v>4111.8999999999996</v>
      </c>
      <c r="I599" s="41">
        <f t="shared" si="252"/>
        <v>3969.7</v>
      </c>
      <c r="J599" s="41">
        <f t="shared" ref="J599" si="253">J600+J602</f>
        <v>3969.7</v>
      </c>
    </row>
    <row r="600" spans="1:10" s="37" customFormat="1" ht="14.25" x14ac:dyDescent="0.2">
      <c r="A600" s="27"/>
      <c r="B600" s="70"/>
      <c r="C600" s="16" t="s">
        <v>106</v>
      </c>
      <c r="D600" s="16" t="s">
        <v>106</v>
      </c>
      <c r="E600" s="57" t="s">
        <v>432</v>
      </c>
      <c r="F600" s="21"/>
      <c r="G600" s="101" t="s">
        <v>47</v>
      </c>
      <c r="H600" s="41">
        <f>H601</f>
        <v>1342.4</v>
      </c>
      <c r="I600" s="41">
        <f>I601</f>
        <v>1200.2</v>
      </c>
      <c r="J600" s="41">
        <f>J601</f>
        <v>1200.2</v>
      </c>
    </row>
    <row r="601" spans="1:10" s="37" customFormat="1" ht="14.25" x14ac:dyDescent="0.2">
      <c r="A601" s="27"/>
      <c r="B601" s="70"/>
      <c r="C601" s="16" t="s">
        <v>106</v>
      </c>
      <c r="D601" s="16" t="s">
        <v>106</v>
      </c>
      <c r="E601" s="57" t="s">
        <v>432</v>
      </c>
      <c r="F601" s="21" t="s">
        <v>228</v>
      </c>
      <c r="G601" s="101" t="s">
        <v>227</v>
      </c>
      <c r="H601" s="41">
        <f>1200.2+142.2</f>
        <v>1342.4</v>
      </c>
      <c r="I601" s="41">
        <v>1200.2</v>
      </c>
      <c r="J601" s="41">
        <v>1200.2</v>
      </c>
    </row>
    <row r="602" spans="1:10" s="37" customFormat="1" ht="38.25" x14ac:dyDescent="0.2">
      <c r="A602" s="27"/>
      <c r="B602" s="70"/>
      <c r="C602" s="16" t="s">
        <v>106</v>
      </c>
      <c r="D602" s="16" t="s">
        <v>106</v>
      </c>
      <c r="E602" s="57" t="s">
        <v>434</v>
      </c>
      <c r="F602" s="21"/>
      <c r="G602" s="101" t="s">
        <v>433</v>
      </c>
      <c r="H602" s="41">
        <f>SUM(H603:H604)</f>
        <v>2769.5</v>
      </c>
      <c r="I602" s="41">
        <f>SUM(I603:I604)</f>
        <v>2769.5</v>
      </c>
      <c r="J602" s="41">
        <f>SUM(J603:J604)</f>
        <v>2769.5</v>
      </c>
    </row>
    <row r="603" spans="1:10" s="37" customFormat="1" ht="14.25" x14ac:dyDescent="0.2">
      <c r="A603" s="27"/>
      <c r="B603" s="70"/>
      <c r="C603" s="16" t="s">
        <v>106</v>
      </c>
      <c r="D603" s="16" t="s">
        <v>106</v>
      </c>
      <c r="E603" s="57" t="s">
        <v>434</v>
      </c>
      <c r="F603" s="21" t="s">
        <v>228</v>
      </c>
      <c r="G603" s="101" t="s">
        <v>227</v>
      </c>
      <c r="H603" s="163">
        <v>2049</v>
      </c>
      <c r="I603" s="163">
        <v>2049</v>
      </c>
      <c r="J603" s="163">
        <v>2049</v>
      </c>
    </row>
    <row r="604" spans="1:10" s="37" customFormat="1" ht="63.75" x14ac:dyDescent="0.2">
      <c r="A604" s="27"/>
      <c r="B604" s="70"/>
      <c r="C604" s="16" t="s">
        <v>106</v>
      </c>
      <c r="D604" s="16" t="s">
        <v>106</v>
      </c>
      <c r="E604" s="57" t="s">
        <v>434</v>
      </c>
      <c r="F604" s="16" t="s">
        <v>13</v>
      </c>
      <c r="G604" s="101" t="s">
        <v>381</v>
      </c>
      <c r="H604" s="41">
        <v>720.5</v>
      </c>
      <c r="I604" s="41">
        <v>720.5</v>
      </c>
      <c r="J604" s="41">
        <v>720.5</v>
      </c>
    </row>
    <row r="605" spans="1:10" s="37" customFormat="1" ht="14.25" x14ac:dyDescent="0.2">
      <c r="A605" s="27"/>
      <c r="B605" s="70"/>
      <c r="C605" s="35" t="s">
        <v>106</v>
      </c>
      <c r="D605" s="35" t="s">
        <v>101</v>
      </c>
      <c r="E605" s="35"/>
      <c r="F605" s="35"/>
      <c r="G605" s="45" t="s">
        <v>111</v>
      </c>
      <c r="H605" s="42">
        <f t="shared" ref="H605:J605" si="254">H606</f>
        <v>8945.6</v>
      </c>
      <c r="I605" s="42">
        <f t="shared" si="254"/>
        <v>8622.9000000000015</v>
      </c>
      <c r="J605" s="42">
        <f t="shared" si="254"/>
        <v>8622.8000000000011</v>
      </c>
    </row>
    <row r="606" spans="1:10" s="37" customFormat="1" ht="63.75" customHeight="1" x14ac:dyDescent="0.2">
      <c r="A606" s="27"/>
      <c r="B606" s="70"/>
      <c r="C606" s="16" t="s">
        <v>106</v>
      </c>
      <c r="D606" s="16" t="s">
        <v>101</v>
      </c>
      <c r="E606" s="21" t="s">
        <v>75</v>
      </c>
      <c r="F606" s="35"/>
      <c r="G606" s="64" t="s">
        <v>635</v>
      </c>
      <c r="H606" s="62">
        <f>H607+H612+H634</f>
        <v>8945.6</v>
      </c>
      <c r="I606" s="62">
        <f t="shared" ref="I606:J606" si="255">I607+I612+I634</f>
        <v>8622.9000000000015</v>
      </c>
      <c r="J606" s="62">
        <f t="shared" si="255"/>
        <v>8622.8000000000011</v>
      </c>
    </row>
    <row r="607" spans="1:10" s="37" customFormat="1" ht="38.25" x14ac:dyDescent="0.2">
      <c r="A607" s="27"/>
      <c r="B607" s="70"/>
      <c r="C607" s="16" t="s">
        <v>106</v>
      </c>
      <c r="D607" s="16" t="s">
        <v>101</v>
      </c>
      <c r="E607" s="52" t="s">
        <v>77</v>
      </c>
      <c r="F607" s="21"/>
      <c r="G607" s="46" t="s">
        <v>619</v>
      </c>
      <c r="H607" s="58">
        <f>H608</f>
        <v>135.30000000000001</v>
      </c>
      <c r="I607" s="58">
        <f t="shared" ref="I607:J608" si="256">I608</f>
        <v>135.30000000000001</v>
      </c>
      <c r="J607" s="58">
        <f t="shared" si="256"/>
        <v>135.19999999999999</v>
      </c>
    </row>
    <row r="608" spans="1:10" s="37" customFormat="1" ht="51" x14ac:dyDescent="0.2">
      <c r="A608" s="27"/>
      <c r="B608" s="70"/>
      <c r="C608" s="16" t="s">
        <v>106</v>
      </c>
      <c r="D608" s="16" t="s">
        <v>101</v>
      </c>
      <c r="E608" s="21" t="s">
        <v>429</v>
      </c>
      <c r="F608" s="21"/>
      <c r="G608" s="100" t="s">
        <v>430</v>
      </c>
      <c r="H608" s="97">
        <f>H609</f>
        <v>135.30000000000001</v>
      </c>
      <c r="I608" s="97">
        <f t="shared" si="256"/>
        <v>135.30000000000001</v>
      </c>
      <c r="J608" s="97">
        <f t="shared" si="256"/>
        <v>135.19999999999999</v>
      </c>
    </row>
    <row r="609" spans="1:10" s="37" customFormat="1" ht="28.5" customHeight="1" x14ac:dyDescent="0.2">
      <c r="A609" s="27"/>
      <c r="B609" s="70"/>
      <c r="C609" s="16" t="s">
        <v>106</v>
      </c>
      <c r="D609" s="16" t="s">
        <v>101</v>
      </c>
      <c r="E609" s="57" t="s">
        <v>615</v>
      </c>
      <c r="F609" s="21"/>
      <c r="G609" s="101" t="s">
        <v>136</v>
      </c>
      <c r="H609" s="41">
        <f>SUM(H610:H611)</f>
        <v>135.30000000000001</v>
      </c>
      <c r="I609" s="41">
        <f>SUM(I610:I611)</f>
        <v>135.30000000000001</v>
      </c>
      <c r="J609" s="41">
        <f>SUM(J610:J611)</f>
        <v>135.19999999999999</v>
      </c>
    </row>
    <row r="610" spans="1:10" s="37" customFormat="1" ht="25.5" x14ac:dyDescent="0.2">
      <c r="A610" s="27"/>
      <c r="B610" s="70"/>
      <c r="C610" s="16" t="s">
        <v>106</v>
      </c>
      <c r="D610" s="16" t="s">
        <v>101</v>
      </c>
      <c r="E610" s="57" t="s">
        <v>615</v>
      </c>
      <c r="F610" s="84" t="s">
        <v>66</v>
      </c>
      <c r="G610" s="55" t="s">
        <v>132</v>
      </c>
      <c r="H610" s="41">
        <f>64.4-26.3-14.3</f>
        <v>23.800000000000008</v>
      </c>
      <c r="I610" s="41">
        <v>64.400000000000006</v>
      </c>
      <c r="J610" s="41">
        <v>64.400000000000006</v>
      </c>
    </row>
    <row r="611" spans="1:10" s="37" customFormat="1" ht="38.25" x14ac:dyDescent="0.2">
      <c r="A611" s="27"/>
      <c r="B611" s="70"/>
      <c r="C611" s="16" t="s">
        <v>106</v>
      </c>
      <c r="D611" s="16" t="s">
        <v>101</v>
      </c>
      <c r="E611" s="57" t="s">
        <v>615</v>
      </c>
      <c r="F611" s="84" t="s">
        <v>214</v>
      </c>
      <c r="G611" s="101" t="s">
        <v>215</v>
      </c>
      <c r="H611" s="41">
        <f>70.9+26.3+14.3</f>
        <v>111.5</v>
      </c>
      <c r="I611" s="41">
        <v>70.900000000000006</v>
      </c>
      <c r="J611" s="41">
        <v>70.8</v>
      </c>
    </row>
    <row r="612" spans="1:10" s="37" customFormat="1" ht="25.5" x14ac:dyDescent="0.2">
      <c r="A612" s="27"/>
      <c r="B612" s="70"/>
      <c r="C612" s="16" t="s">
        <v>106</v>
      </c>
      <c r="D612" s="16" t="s">
        <v>101</v>
      </c>
      <c r="E612" s="52" t="s">
        <v>456</v>
      </c>
      <c r="F612" s="84"/>
      <c r="G612" s="46" t="s">
        <v>455</v>
      </c>
      <c r="H612" s="110">
        <f>H613+H618+H621+H631</f>
        <v>1497</v>
      </c>
      <c r="I612" s="110">
        <f t="shared" ref="I612:J612" si="257">I613+I618+I621+I631</f>
        <v>1440.4</v>
      </c>
      <c r="J612" s="110">
        <f t="shared" si="257"/>
        <v>1440.4</v>
      </c>
    </row>
    <row r="613" spans="1:10" s="37" customFormat="1" ht="25.5" x14ac:dyDescent="0.2">
      <c r="A613" s="27"/>
      <c r="B613" s="70"/>
      <c r="C613" s="16" t="s">
        <v>106</v>
      </c>
      <c r="D613" s="16" t="s">
        <v>101</v>
      </c>
      <c r="E613" s="21" t="s">
        <v>457</v>
      </c>
      <c r="F613" s="21"/>
      <c r="G613" s="100" t="s">
        <v>506</v>
      </c>
      <c r="H613" s="110">
        <f>H614+H616</f>
        <v>298.2</v>
      </c>
      <c r="I613" s="110">
        <f t="shared" ref="I613:J613" si="258">I614+I616</f>
        <v>305.2</v>
      </c>
      <c r="J613" s="110">
        <f t="shared" si="258"/>
        <v>305.2</v>
      </c>
    </row>
    <row r="614" spans="1:10" s="37" customFormat="1" ht="38.25" x14ac:dyDescent="0.2">
      <c r="A614" s="27"/>
      <c r="B614" s="70"/>
      <c r="C614" s="16" t="s">
        <v>106</v>
      </c>
      <c r="D614" s="16" t="s">
        <v>101</v>
      </c>
      <c r="E614" s="21" t="s">
        <v>616</v>
      </c>
      <c r="F614" s="16"/>
      <c r="G614" s="100" t="s">
        <v>458</v>
      </c>
      <c r="H614" s="102">
        <f>H615</f>
        <v>120.1</v>
      </c>
      <c r="I614" s="102">
        <f>I615</f>
        <v>129.1</v>
      </c>
      <c r="J614" s="102">
        <f>J615</f>
        <v>129.1</v>
      </c>
    </row>
    <row r="615" spans="1:10" s="37" customFormat="1" ht="14.25" x14ac:dyDescent="0.2">
      <c r="A615" s="27"/>
      <c r="B615" s="70"/>
      <c r="C615" s="16" t="s">
        <v>106</v>
      </c>
      <c r="D615" s="16" t="s">
        <v>101</v>
      </c>
      <c r="E615" s="21" t="s">
        <v>616</v>
      </c>
      <c r="F615" s="84" t="s">
        <v>370</v>
      </c>
      <c r="G615" s="101" t="s">
        <v>371</v>
      </c>
      <c r="H615" s="41">
        <f>129.1-9</f>
        <v>120.1</v>
      </c>
      <c r="I615" s="41">
        <v>129.1</v>
      </c>
      <c r="J615" s="41">
        <v>129.1</v>
      </c>
    </row>
    <row r="616" spans="1:10" s="37" customFormat="1" ht="38.25" x14ac:dyDescent="0.2">
      <c r="A616" s="27"/>
      <c r="B616" s="70"/>
      <c r="C616" s="16" t="s">
        <v>106</v>
      </c>
      <c r="D616" s="16" t="s">
        <v>101</v>
      </c>
      <c r="E616" s="57" t="s">
        <v>617</v>
      </c>
      <c r="F616" s="16"/>
      <c r="G616" s="101" t="s">
        <v>51</v>
      </c>
      <c r="H616" s="41">
        <f>H617</f>
        <v>178.1</v>
      </c>
      <c r="I616" s="41">
        <f>I617</f>
        <v>176.1</v>
      </c>
      <c r="J616" s="41">
        <f>J617</f>
        <v>176.1</v>
      </c>
    </row>
    <row r="617" spans="1:10" s="37" customFormat="1" ht="38.25" x14ac:dyDescent="0.2">
      <c r="A617" s="27"/>
      <c r="B617" s="70"/>
      <c r="C617" s="16" t="s">
        <v>106</v>
      </c>
      <c r="D617" s="16" t="s">
        <v>101</v>
      </c>
      <c r="E617" s="57" t="s">
        <v>617</v>
      </c>
      <c r="F617" s="84" t="s">
        <v>214</v>
      </c>
      <c r="G617" s="101" t="s">
        <v>215</v>
      </c>
      <c r="H617" s="41">
        <f>176.1-4.6+6.6</f>
        <v>178.1</v>
      </c>
      <c r="I617" s="41">
        <v>176.1</v>
      </c>
      <c r="J617" s="41">
        <v>176.1</v>
      </c>
    </row>
    <row r="618" spans="1:10" s="37" customFormat="1" ht="38.25" x14ac:dyDescent="0.2">
      <c r="A618" s="27"/>
      <c r="B618" s="70"/>
      <c r="C618" s="16" t="s">
        <v>106</v>
      </c>
      <c r="D618" s="16" t="s">
        <v>101</v>
      </c>
      <c r="E618" s="21" t="s">
        <v>460</v>
      </c>
      <c r="F618" s="21"/>
      <c r="G618" s="100" t="s">
        <v>461</v>
      </c>
      <c r="H618" s="102">
        <f>H619</f>
        <v>68.8</v>
      </c>
      <c r="I618" s="102">
        <f t="shared" ref="I618:J618" si="259">I619</f>
        <v>55.2</v>
      </c>
      <c r="J618" s="102">
        <f t="shared" si="259"/>
        <v>55.2</v>
      </c>
    </row>
    <row r="619" spans="1:10" s="37" customFormat="1" ht="38.25" x14ac:dyDescent="0.2">
      <c r="A619" s="27"/>
      <c r="B619" s="70"/>
      <c r="C619" s="16" t="s">
        <v>106</v>
      </c>
      <c r="D619" s="16" t="s">
        <v>101</v>
      </c>
      <c r="E619" s="57" t="s">
        <v>614</v>
      </c>
      <c r="F619" s="16"/>
      <c r="G619" s="153" t="s">
        <v>660</v>
      </c>
      <c r="H619" s="97">
        <f>H620</f>
        <v>68.8</v>
      </c>
      <c r="I619" s="97">
        <f>I620</f>
        <v>55.2</v>
      </c>
      <c r="J619" s="97">
        <f>J620</f>
        <v>55.2</v>
      </c>
    </row>
    <row r="620" spans="1:10" s="37" customFormat="1" ht="14.25" x14ac:dyDescent="0.2">
      <c r="A620" s="27"/>
      <c r="B620" s="70"/>
      <c r="C620" s="16" t="s">
        <v>106</v>
      </c>
      <c r="D620" s="16" t="s">
        <v>101</v>
      </c>
      <c r="E620" s="57" t="s">
        <v>614</v>
      </c>
      <c r="F620" s="21" t="s">
        <v>228</v>
      </c>
      <c r="G620" s="101" t="s">
        <v>227</v>
      </c>
      <c r="H620" s="97">
        <f>88.9-33.7+13.6</f>
        <v>68.8</v>
      </c>
      <c r="I620" s="97">
        <f t="shared" ref="I620:J620" si="260">88.9-33.7</f>
        <v>55.2</v>
      </c>
      <c r="J620" s="97">
        <f t="shared" si="260"/>
        <v>55.2</v>
      </c>
    </row>
    <row r="621" spans="1:10" s="37" customFormat="1" ht="38.25" x14ac:dyDescent="0.2">
      <c r="A621" s="27"/>
      <c r="B621" s="70"/>
      <c r="C621" s="16" t="s">
        <v>106</v>
      </c>
      <c r="D621" s="16" t="s">
        <v>101</v>
      </c>
      <c r="E621" s="21" t="s">
        <v>462</v>
      </c>
      <c r="F621" s="21"/>
      <c r="G621" s="100" t="s">
        <v>661</v>
      </c>
      <c r="H621" s="41">
        <f>H622+H624+H627+H629</f>
        <v>1080</v>
      </c>
      <c r="I621" s="41">
        <f>I622+I624+I627+I629</f>
        <v>1080</v>
      </c>
      <c r="J621" s="41">
        <f>J622+J624+J627+J629</f>
        <v>1080</v>
      </c>
    </row>
    <row r="622" spans="1:10" s="37" customFormat="1" ht="63.75" x14ac:dyDescent="0.2">
      <c r="A622" s="27"/>
      <c r="B622" s="70"/>
      <c r="C622" s="16" t="s">
        <v>106</v>
      </c>
      <c r="D622" s="16" t="s">
        <v>101</v>
      </c>
      <c r="E622" s="81">
        <v>140323020</v>
      </c>
      <c r="F622" s="83"/>
      <c r="G622" s="101" t="s">
        <v>135</v>
      </c>
      <c r="H622" s="41">
        <f>H623</f>
        <v>281.3</v>
      </c>
      <c r="I622" s="41">
        <f>I623</f>
        <v>281.3</v>
      </c>
      <c r="J622" s="41">
        <f>J623</f>
        <v>281.3</v>
      </c>
    </row>
    <row r="623" spans="1:10" s="37" customFormat="1" ht="38.25" x14ac:dyDescent="0.2">
      <c r="A623" s="27"/>
      <c r="B623" s="70"/>
      <c r="C623" s="16" t="s">
        <v>106</v>
      </c>
      <c r="D623" s="16" t="s">
        <v>101</v>
      </c>
      <c r="E623" s="81">
        <v>140323020</v>
      </c>
      <c r="F623" s="84" t="s">
        <v>214</v>
      </c>
      <c r="G623" s="101" t="s">
        <v>215</v>
      </c>
      <c r="H623" s="41">
        <v>281.3</v>
      </c>
      <c r="I623" s="41">
        <v>281.3</v>
      </c>
      <c r="J623" s="41">
        <v>281.3</v>
      </c>
    </row>
    <row r="624" spans="1:10" s="37" customFormat="1" ht="76.5" x14ac:dyDescent="0.2">
      <c r="A624" s="27"/>
      <c r="B624" s="70"/>
      <c r="C624" s="16" t="s">
        <v>106</v>
      </c>
      <c r="D624" s="16" t="s">
        <v>101</v>
      </c>
      <c r="E624" s="81">
        <v>140323025</v>
      </c>
      <c r="F624" s="83"/>
      <c r="G624" s="101" t="s">
        <v>662</v>
      </c>
      <c r="H624" s="41">
        <f>SUM(H625:H626)</f>
        <v>305.7</v>
      </c>
      <c r="I624" s="41">
        <f>I625</f>
        <v>305.7</v>
      </c>
      <c r="J624" s="41">
        <f>J625</f>
        <v>305.7</v>
      </c>
    </row>
    <row r="625" spans="1:10" s="37" customFormat="1" ht="38.25" x14ac:dyDescent="0.2">
      <c r="A625" s="27"/>
      <c r="B625" s="70"/>
      <c r="C625" s="16" t="s">
        <v>106</v>
      </c>
      <c r="D625" s="16" t="s">
        <v>101</v>
      </c>
      <c r="E625" s="81">
        <v>140323025</v>
      </c>
      <c r="F625" s="84" t="s">
        <v>214</v>
      </c>
      <c r="G625" s="101" t="s">
        <v>215</v>
      </c>
      <c r="H625" s="41">
        <f>305.7-35</f>
        <v>270.7</v>
      </c>
      <c r="I625" s="41">
        <v>305.7</v>
      </c>
      <c r="J625" s="41">
        <v>305.7</v>
      </c>
    </row>
    <row r="626" spans="1:10" s="37" customFormat="1" ht="14.25" x14ac:dyDescent="0.2">
      <c r="A626" s="27"/>
      <c r="B626" s="70"/>
      <c r="C626" s="16" t="s">
        <v>106</v>
      </c>
      <c r="D626" s="16" t="s">
        <v>101</v>
      </c>
      <c r="E626" s="81">
        <v>140323025</v>
      </c>
      <c r="F626" s="84" t="s">
        <v>730</v>
      </c>
      <c r="G626" s="101" t="s">
        <v>731</v>
      </c>
      <c r="H626" s="41">
        <v>35</v>
      </c>
      <c r="I626" s="41">
        <v>0</v>
      </c>
      <c r="J626" s="41">
        <v>0</v>
      </c>
    </row>
    <row r="627" spans="1:10" s="37" customFormat="1" ht="51" x14ac:dyDescent="0.2">
      <c r="A627" s="27"/>
      <c r="B627" s="70"/>
      <c r="C627" s="16" t="s">
        <v>106</v>
      </c>
      <c r="D627" s="16" t="s">
        <v>101</v>
      </c>
      <c r="E627" s="81" t="s">
        <v>463</v>
      </c>
      <c r="F627" s="84"/>
      <c r="G627" s="101" t="s">
        <v>464</v>
      </c>
      <c r="H627" s="41">
        <f>H628</f>
        <v>83</v>
      </c>
      <c r="I627" s="41">
        <f>I628</f>
        <v>83</v>
      </c>
      <c r="J627" s="41">
        <f>J628</f>
        <v>83</v>
      </c>
    </row>
    <row r="628" spans="1:10" s="37" customFormat="1" ht="38.25" x14ac:dyDescent="0.2">
      <c r="A628" s="27"/>
      <c r="B628" s="70"/>
      <c r="C628" s="16" t="s">
        <v>106</v>
      </c>
      <c r="D628" s="16" t="s">
        <v>101</v>
      </c>
      <c r="E628" s="81" t="s">
        <v>463</v>
      </c>
      <c r="F628" s="84" t="s">
        <v>214</v>
      </c>
      <c r="G628" s="101" t="s">
        <v>215</v>
      </c>
      <c r="H628" s="41">
        <f>49.3+33.7</f>
        <v>83</v>
      </c>
      <c r="I628" s="41">
        <f t="shared" ref="I628:J628" si="261">49.3+33.7</f>
        <v>83</v>
      </c>
      <c r="J628" s="41">
        <f t="shared" si="261"/>
        <v>83</v>
      </c>
    </row>
    <row r="629" spans="1:10" s="37" customFormat="1" ht="38.25" x14ac:dyDescent="0.2">
      <c r="A629" s="27"/>
      <c r="B629" s="70"/>
      <c r="C629" s="16" t="s">
        <v>106</v>
      </c>
      <c r="D629" s="16" t="s">
        <v>101</v>
      </c>
      <c r="E629" s="81">
        <v>140311080</v>
      </c>
      <c r="F629" s="84"/>
      <c r="G629" s="101" t="s">
        <v>465</v>
      </c>
      <c r="H629" s="41">
        <f>H630</f>
        <v>410</v>
      </c>
      <c r="I629" s="41">
        <f>I630</f>
        <v>410</v>
      </c>
      <c r="J629" s="41">
        <f>J630</f>
        <v>410</v>
      </c>
    </row>
    <row r="630" spans="1:10" s="37" customFormat="1" ht="38.25" x14ac:dyDescent="0.2">
      <c r="A630" s="27"/>
      <c r="B630" s="70"/>
      <c r="C630" s="16" t="s">
        <v>106</v>
      </c>
      <c r="D630" s="16" t="s">
        <v>101</v>
      </c>
      <c r="E630" s="81">
        <v>140311080</v>
      </c>
      <c r="F630" s="84" t="s">
        <v>214</v>
      </c>
      <c r="G630" s="101" t="s">
        <v>215</v>
      </c>
      <c r="H630" s="163">
        <v>410</v>
      </c>
      <c r="I630" s="163">
        <v>410</v>
      </c>
      <c r="J630" s="163">
        <v>410</v>
      </c>
    </row>
    <row r="631" spans="1:10" s="37" customFormat="1" ht="25.5" x14ac:dyDescent="0.2">
      <c r="A631" s="27"/>
      <c r="B631" s="70"/>
      <c r="C631" s="16" t="s">
        <v>106</v>
      </c>
      <c r="D631" s="16" t="s">
        <v>101</v>
      </c>
      <c r="E631" s="21" t="s">
        <v>736</v>
      </c>
      <c r="F631" s="84"/>
      <c r="G631" s="196" t="s">
        <v>734</v>
      </c>
      <c r="H631" s="163">
        <f>H632</f>
        <v>50</v>
      </c>
      <c r="I631" s="163">
        <f t="shared" ref="I631:J631" si="262">I632</f>
        <v>0</v>
      </c>
      <c r="J631" s="163">
        <f t="shared" si="262"/>
        <v>0</v>
      </c>
    </row>
    <row r="632" spans="1:10" s="37" customFormat="1" ht="63.75" x14ac:dyDescent="0.2">
      <c r="A632" s="27"/>
      <c r="B632" s="70"/>
      <c r="C632" s="16" t="s">
        <v>106</v>
      </c>
      <c r="D632" s="16" t="s">
        <v>101</v>
      </c>
      <c r="E632" s="21" t="s">
        <v>737</v>
      </c>
      <c r="F632" s="84"/>
      <c r="G632" s="160" t="s">
        <v>735</v>
      </c>
      <c r="H632" s="163">
        <f>H633</f>
        <v>50</v>
      </c>
      <c r="I632" s="163">
        <v>0</v>
      </c>
      <c r="J632" s="163">
        <v>0</v>
      </c>
    </row>
    <row r="633" spans="1:10" s="37" customFormat="1" ht="38.25" x14ac:dyDescent="0.2">
      <c r="A633" s="27"/>
      <c r="B633" s="70"/>
      <c r="C633" s="16" t="s">
        <v>106</v>
      </c>
      <c r="D633" s="16" t="s">
        <v>101</v>
      </c>
      <c r="E633" s="21" t="s">
        <v>737</v>
      </c>
      <c r="F633" s="84" t="s">
        <v>214</v>
      </c>
      <c r="G633" s="101" t="s">
        <v>215</v>
      </c>
      <c r="H633" s="163">
        <v>50</v>
      </c>
      <c r="I633" s="163">
        <v>0</v>
      </c>
      <c r="J633" s="163">
        <v>0</v>
      </c>
    </row>
    <row r="634" spans="1:10" s="37" customFormat="1" ht="14.25" x14ac:dyDescent="0.2">
      <c r="A634" s="27"/>
      <c r="B634" s="70"/>
      <c r="C634" s="16" t="s">
        <v>106</v>
      </c>
      <c r="D634" s="16" t="s">
        <v>101</v>
      </c>
      <c r="E634" s="52" t="s">
        <v>78</v>
      </c>
      <c r="F634" s="16"/>
      <c r="G634" s="66" t="s">
        <v>48</v>
      </c>
      <c r="H634" s="41">
        <f>H635</f>
        <v>7313.3</v>
      </c>
      <c r="I634" s="41">
        <f>I635</f>
        <v>7047.2000000000007</v>
      </c>
      <c r="J634" s="41">
        <f>J635</f>
        <v>7047.2000000000007</v>
      </c>
    </row>
    <row r="635" spans="1:10" s="37" customFormat="1" ht="54.75" customHeight="1" x14ac:dyDescent="0.2">
      <c r="A635" s="27"/>
      <c r="B635" s="70"/>
      <c r="C635" s="16" t="s">
        <v>106</v>
      </c>
      <c r="D635" s="16" t="s">
        <v>101</v>
      </c>
      <c r="E635" s="81">
        <v>190022200</v>
      </c>
      <c r="F635" s="84"/>
      <c r="G635" s="101" t="s">
        <v>466</v>
      </c>
      <c r="H635" s="41">
        <f>SUM(H636:H638)</f>
        <v>7313.3</v>
      </c>
      <c r="I635" s="41">
        <f t="shared" ref="I635:J635" si="263">SUM(I636:I638)</f>
        <v>7047.2000000000007</v>
      </c>
      <c r="J635" s="41">
        <f t="shared" si="263"/>
        <v>7047.2000000000007</v>
      </c>
    </row>
    <row r="636" spans="1:10" s="37" customFormat="1" ht="38.25" x14ac:dyDescent="0.2">
      <c r="A636" s="27"/>
      <c r="B636" s="70"/>
      <c r="C636" s="16" t="s">
        <v>106</v>
      </c>
      <c r="D636" s="16" t="s">
        <v>101</v>
      </c>
      <c r="E636" s="81">
        <v>190022200</v>
      </c>
      <c r="F636" s="16" t="s">
        <v>64</v>
      </c>
      <c r="G636" s="55" t="s">
        <v>65</v>
      </c>
      <c r="H636" s="41">
        <f>6640.6+20+266.1</f>
        <v>6926.7000000000007</v>
      </c>
      <c r="I636" s="41">
        <v>6640.6</v>
      </c>
      <c r="J636" s="41">
        <v>6640.6</v>
      </c>
    </row>
    <row r="637" spans="1:10" s="37" customFormat="1" ht="38.25" x14ac:dyDescent="0.2">
      <c r="A637" s="27"/>
      <c r="B637" s="70"/>
      <c r="C637" s="16" t="s">
        <v>106</v>
      </c>
      <c r="D637" s="16" t="s">
        <v>101</v>
      </c>
      <c r="E637" s="81">
        <v>190022200</v>
      </c>
      <c r="F637" s="84" t="s">
        <v>214</v>
      </c>
      <c r="G637" s="101" t="s">
        <v>215</v>
      </c>
      <c r="H637" s="41">
        <f>406.6-0.2-20</f>
        <v>386.40000000000003</v>
      </c>
      <c r="I637" s="41">
        <v>406.6</v>
      </c>
      <c r="J637" s="41">
        <v>406.6</v>
      </c>
    </row>
    <row r="638" spans="1:10" s="37" customFormat="1" ht="14.25" x14ac:dyDescent="0.2">
      <c r="A638" s="27"/>
      <c r="B638" s="70"/>
      <c r="C638" s="16" t="s">
        <v>106</v>
      </c>
      <c r="D638" s="16" t="s">
        <v>101</v>
      </c>
      <c r="E638" s="81">
        <v>190022200</v>
      </c>
      <c r="F638" s="84" t="s">
        <v>133</v>
      </c>
      <c r="G638" s="101" t="s">
        <v>134</v>
      </c>
      <c r="H638" s="41">
        <v>0.2</v>
      </c>
      <c r="I638" s="41">
        <v>0</v>
      </c>
      <c r="J638" s="41">
        <v>0</v>
      </c>
    </row>
    <row r="639" spans="1:10" ht="15.75" x14ac:dyDescent="0.25">
      <c r="A639" s="3"/>
      <c r="B639" s="94"/>
      <c r="C639" s="4" t="s">
        <v>112</v>
      </c>
      <c r="D639" s="3"/>
      <c r="E639" s="3"/>
      <c r="F639" s="3"/>
      <c r="G639" s="49" t="s">
        <v>113</v>
      </c>
      <c r="H639" s="95">
        <f t="shared" ref="H639:I639" si="264">H640+H646</f>
        <v>11564.5</v>
      </c>
      <c r="I639" s="95">
        <f t="shared" si="264"/>
        <v>11564.5</v>
      </c>
      <c r="J639" s="95">
        <f t="shared" ref="J639" si="265">J640+J646</f>
        <v>11564.5</v>
      </c>
    </row>
    <row r="640" spans="1:10" ht="15.75" x14ac:dyDescent="0.25">
      <c r="A640" s="3"/>
      <c r="B640" s="94"/>
      <c r="C640" s="35" t="s">
        <v>112</v>
      </c>
      <c r="D640" s="35" t="s">
        <v>95</v>
      </c>
      <c r="E640" s="35"/>
      <c r="F640" s="35"/>
      <c r="G640" s="45" t="s">
        <v>118</v>
      </c>
      <c r="H640" s="96">
        <f t="shared" ref="H640:J642" si="266">H641</f>
        <v>1026</v>
      </c>
      <c r="I640" s="96">
        <f t="shared" si="266"/>
        <v>1026</v>
      </c>
      <c r="J640" s="96">
        <f t="shared" si="266"/>
        <v>1026</v>
      </c>
    </row>
    <row r="641" spans="1:13" ht="66.75" customHeight="1" x14ac:dyDescent="0.25">
      <c r="A641" s="3"/>
      <c r="B641" s="94"/>
      <c r="C641" s="83" t="s">
        <v>112</v>
      </c>
      <c r="D641" s="83" t="s">
        <v>95</v>
      </c>
      <c r="E641" s="21" t="s">
        <v>75</v>
      </c>
      <c r="F641" s="35"/>
      <c r="G641" s="64" t="s">
        <v>635</v>
      </c>
      <c r="H641" s="99">
        <f t="shared" si="266"/>
        <v>1026</v>
      </c>
      <c r="I641" s="99">
        <f t="shared" si="266"/>
        <v>1026</v>
      </c>
      <c r="J641" s="99">
        <f t="shared" si="266"/>
        <v>1026</v>
      </c>
    </row>
    <row r="642" spans="1:13" ht="26.25" x14ac:dyDescent="0.25">
      <c r="A642" s="3"/>
      <c r="B642" s="94"/>
      <c r="C642" s="47" t="s">
        <v>112</v>
      </c>
      <c r="D642" s="47" t="s">
        <v>95</v>
      </c>
      <c r="E642" s="52" t="s">
        <v>456</v>
      </c>
      <c r="F642" s="84"/>
      <c r="G642" s="46" t="s">
        <v>455</v>
      </c>
      <c r="H642" s="110">
        <f>H643</f>
        <v>1026</v>
      </c>
      <c r="I642" s="110">
        <f t="shared" si="266"/>
        <v>1026</v>
      </c>
      <c r="J642" s="110">
        <f t="shared" si="266"/>
        <v>1026</v>
      </c>
    </row>
    <row r="643" spans="1:13" ht="26.25" x14ac:dyDescent="0.25">
      <c r="A643" s="3"/>
      <c r="B643" s="94"/>
      <c r="C643" s="16" t="s">
        <v>112</v>
      </c>
      <c r="D643" s="16" t="s">
        <v>95</v>
      </c>
      <c r="E643" s="21" t="s">
        <v>457</v>
      </c>
      <c r="F643" s="21"/>
      <c r="G643" s="100" t="s">
        <v>506</v>
      </c>
      <c r="H643" s="110">
        <f>H644</f>
        <v>1026</v>
      </c>
      <c r="I643" s="110">
        <f t="shared" ref="I643:J643" si="267">I644</f>
        <v>1026</v>
      </c>
      <c r="J643" s="110">
        <f t="shared" si="267"/>
        <v>1026</v>
      </c>
    </row>
    <row r="644" spans="1:13" ht="89.25" x14ac:dyDescent="0.25">
      <c r="A644" s="3"/>
      <c r="B644" s="94"/>
      <c r="C644" s="16" t="s">
        <v>112</v>
      </c>
      <c r="D644" s="16" t="s">
        <v>95</v>
      </c>
      <c r="E644" s="81">
        <v>140210560</v>
      </c>
      <c r="F644" s="84"/>
      <c r="G644" s="101" t="s">
        <v>185</v>
      </c>
      <c r="H644" s="41">
        <f>H645</f>
        <v>1026</v>
      </c>
      <c r="I644" s="41">
        <f>I645</f>
        <v>1026</v>
      </c>
      <c r="J644" s="41">
        <f>J645</f>
        <v>1026</v>
      </c>
    </row>
    <row r="645" spans="1:13" ht="25.5" x14ac:dyDescent="0.25">
      <c r="A645" s="3"/>
      <c r="B645" s="94"/>
      <c r="C645" s="16" t="s">
        <v>112</v>
      </c>
      <c r="D645" s="16" t="s">
        <v>95</v>
      </c>
      <c r="E645" s="81">
        <v>140210560</v>
      </c>
      <c r="F645" s="83" t="s">
        <v>285</v>
      </c>
      <c r="G645" s="101" t="s">
        <v>286</v>
      </c>
      <c r="H645" s="163">
        <v>1026</v>
      </c>
      <c r="I645" s="163">
        <v>1026</v>
      </c>
      <c r="J645" s="163">
        <v>1026</v>
      </c>
    </row>
    <row r="646" spans="1:13" ht="14.25" x14ac:dyDescent="0.2">
      <c r="A646" s="1"/>
      <c r="B646" s="25"/>
      <c r="C646" s="35" t="s">
        <v>112</v>
      </c>
      <c r="D646" s="35" t="s">
        <v>96</v>
      </c>
      <c r="E646" s="35"/>
      <c r="F646" s="38"/>
      <c r="G646" s="50" t="s">
        <v>14</v>
      </c>
      <c r="H646" s="42">
        <f t="shared" ref="H646:J649" si="268">H647</f>
        <v>10538.5</v>
      </c>
      <c r="I646" s="42">
        <f t="shared" si="268"/>
        <v>10538.5</v>
      </c>
      <c r="J646" s="42">
        <f t="shared" si="268"/>
        <v>10538.5</v>
      </c>
    </row>
    <row r="647" spans="1:13" ht="63.75" customHeight="1" x14ac:dyDescent="0.2">
      <c r="A647" s="1"/>
      <c r="B647" s="25"/>
      <c r="C647" s="16" t="s">
        <v>112</v>
      </c>
      <c r="D647" s="16" t="s">
        <v>96</v>
      </c>
      <c r="E647" s="21" t="s">
        <v>75</v>
      </c>
      <c r="F647" s="35"/>
      <c r="G647" s="64" t="s">
        <v>635</v>
      </c>
      <c r="H647" s="99">
        <f t="shared" si="268"/>
        <v>10538.5</v>
      </c>
      <c r="I647" s="99">
        <f t="shared" si="268"/>
        <v>10538.5</v>
      </c>
      <c r="J647" s="99">
        <f t="shared" si="268"/>
        <v>10538.5</v>
      </c>
    </row>
    <row r="648" spans="1:13" ht="25.5" x14ac:dyDescent="0.2">
      <c r="A648" s="1"/>
      <c r="B648" s="25"/>
      <c r="C648" s="16" t="s">
        <v>112</v>
      </c>
      <c r="D648" s="16" t="s">
        <v>96</v>
      </c>
      <c r="E648" s="52" t="s">
        <v>76</v>
      </c>
      <c r="F648" s="35"/>
      <c r="G648" s="46" t="s">
        <v>411</v>
      </c>
      <c r="H648" s="96">
        <f t="shared" si="268"/>
        <v>10538.5</v>
      </c>
      <c r="I648" s="96">
        <f t="shared" si="268"/>
        <v>10538.5</v>
      </c>
      <c r="J648" s="96">
        <f t="shared" si="268"/>
        <v>10538.5</v>
      </c>
    </row>
    <row r="649" spans="1:13" ht="25.5" x14ac:dyDescent="0.2">
      <c r="A649" s="1"/>
      <c r="B649" s="25"/>
      <c r="C649" s="16" t="s">
        <v>112</v>
      </c>
      <c r="D649" s="16" t="s">
        <v>96</v>
      </c>
      <c r="E649" s="21" t="s">
        <v>290</v>
      </c>
      <c r="F649" s="21"/>
      <c r="G649" s="100" t="s">
        <v>408</v>
      </c>
      <c r="H649" s="102">
        <f t="shared" si="268"/>
        <v>10538.5</v>
      </c>
      <c r="I649" s="102">
        <f t="shared" si="268"/>
        <v>10538.5</v>
      </c>
      <c r="J649" s="102">
        <f t="shared" si="268"/>
        <v>10538.5</v>
      </c>
    </row>
    <row r="650" spans="1:13" ht="76.5" x14ac:dyDescent="0.2">
      <c r="A650" s="1"/>
      <c r="B650" s="25"/>
      <c r="C650" s="16" t="s">
        <v>112</v>
      </c>
      <c r="D650" s="16" t="s">
        <v>96</v>
      </c>
      <c r="E650" s="57" t="s">
        <v>410</v>
      </c>
      <c r="F650" s="21"/>
      <c r="G650" s="101" t="s">
        <v>409</v>
      </c>
      <c r="H650" s="97">
        <f>H651+H652</f>
        <v>10538.5</v>
      </c>
      <c r="I650" s="97">
        <f>I651+I652</f>
        <v>10538.5</v>
      </c>
      <c r="J650" s="97">
        <f>J651+J652</f>
        <v>10538.5</v>
      </c>
    </row>
    <row r="651" spans="1:13" ht="38.25" x14ac:dyDescent="0.2">
      <c r="A651" s="1"/>
      <c r="B651" s="25"/>
      <c r="C651" s="16" t="s">
        <v>112</v>
      </c>
      <c r="D651" s="16" t="s">
        <v>96</v>
      </c>
      <c r="E651" s="57" t="s">
        <v>410</v>
      </c>
      <c r="F651" s="84" t="s">
        <v>214</v>
      </c>
      <c r="G651" s="101" t="s">
        <v>215</v>
      </c>
      <c r="H651" s="97">
        <v>260</v>
      </c>
      <c r="I651" s="97">
        <v>260</v>
      </c>
      <c r="J651" s="97">
        <v>260</v>
      </c>
    </row>
    <row r="652" spans="1:13" ht="38.25" x14ac:dyDescent="0.2">
      <c r="A652" s="1"/>
      <c r="B652" s="25"/>
      <c r="C652" s="16" t="s">
        <v>112</v>
      </c>
      <c r="D652" s="16" t="s">
        <v>96</v>
      </c>
      <c r="E652" s="57" t="s">
        <v>410</v>
      </c>
      <c r="F652" s="84" t="s">
        <v>266</v>
      </c>
      <c r="G652" s="101" t="s">
        <v>254</v>
      </c>
      <c r="H652" s="97">
        <v>10278.5</v>
      </c>
      <c r="I652" s="97">
        <v>10278.5</v>
      </c>
      <c r="J652" s="97">
        <v>10278.5</v>
      </c>
    </row>
    <row r="653" spans="1:13" s="8" customFormat="1" ht="90" customHeight="1" x14ac:dyDescent="0.25">
      <c r="A653" s="3">
        <v>5</v>
      </c>
      <c r="B653" s="94">
        <v>938</v>
      </c>
      <c r="C653" s="13"/>
      <c r="D653" s="13"/>
      <c r="E653" s="13"/>
      <c r="F653" s="13"/>
      <c r="G653" s="14" t="s">
        <v>178</v>
      </c>
      <c r="H653" s="95">
        <f>H654+H661+H716+H771</f>
        <v>197366</v>
      </c>
      <c r="I653" s="95">
        <f>I654+I661+I716+I771</f>
        <v>80255.3</v>
      </c>
      <c r="J653" s="95">
        <f>J654+J661+J716+J771</f>
        <v>81182.900000000009</v>
      </c>
    </row>
    <row r="654" spans="1:13" s="8" customFormat="1" ht="45.75" customHeight="1" x14ac:dyDescent="0.25">
      <c r="A654" s="3"/>
      <c r="B654" s="94"/>
      <c r="C654" s="4" t="s">
        <v>95</v>
      </c>
      <c r="D654" s="3"/>
      <c r="E654" s="3"/>
      <c r="F654" s="3"/>
      <c r="G654" s="49" t="s">
        <v>100</v>
      </c>
      <c r="H654" s="95">
        <f>H655</f>
        <v>16.100000000000001</v>
      </c>
      <c r="I654" s="95">
        <f t="shared" ref="I654:J655" si="269">I655</f>
        <v>34</v>
      </c>
      <c r="J654" s="95">
        <f t="shared" si="269"/>
        <v>34</v>
      </c>
    </row>
    <row r="655" spans="1:13" s="8" customFormat="1" ht="42.75" customHeight="1" x14ac:dyDescent="0.25">
      <c r="A655" s="3"/>
      <c r="B655" s="94"/>
      <c r="C655" s="28" t="s">
        <v>95</v>
      </c>
      <c r="D655" s="28" t="s">
        <v>123</v>
      </c>
      <c r="E655" s="28"/>
      <c r="F655" s="34"/>
      <c r="G655" s="46" t="s">
        <v>23</v>
      </c>
      <c r="H655" s="40">
        <f>H656</f>
        <v>16.100000000000001</v>
      </c>
      <c r="I655" s="40">
        <f t="shared" si="269"/>
        <v>34</v>
      </c>
      <c r="J655" s="40">
        <f t="shared" si="269"/>
        <v>34</v>
      </c>
      <c r="M655" s="251"/>
    </row>
    <row r="656" spans="1:13" s="8" customFormat="1" ht="80.25" customHeight="1" x14ac:dyDescent="0.25">
      <c r="A656" s="3"/>
      <c r="B656" s="94"/>
      <c r="C656" s="21" t="s">
        <v>95</v>
      </c>
      <c r="D656" s="21" t="s">
        <v>123</v>
      </c>
      <c r="E656" s="73" t="s">
        <v>73</v>
      </c>
      <c r="F656" s="16"/>
      <c r="G656" s="53" t="s">
        <v>646</v>
      </c>
      <c r="H656" s="99">
        <f t="shared" ref="H656:J659" si="270">H657</f>
        <v>16.100000000000001</v>
      </c>
      <c r="I656" s="99">
        <f t="shared" si="270"/>
        <v>34</v>
      </c>
      <c r="J656" s="99">
        <f t="shared" si="270"/>
        <v>34</v>
      </c>
    </row>
    <row r="657" spans="1:13" s="8" customFormat="1" ht="54" customHeight="1" x14ac:dyDescent="0.25">
      <c r="A657" s="3"/>
      <c r="B657" s="94"/>
      <c r="C657" s="21" t="s">
        <v>95</v>
      </c>
      <c r="D657" s="21" t="s">
        <v>123</v>
      </c>
      <c r="E657" s="52" t="s">
        <v>74</v>
      </c>
      <c r="F657" s="16"/>
      <c r="G657" s="60" t="s">
        <v>190</v>
      </c>
      <c r="H657" s="58">
        <f t="shared" si="270"/>
        <v>16.100000000000001</v>
      </c>
      <c r="I657" s="58">
        <f t="shared" si="270"/>
        <v>34</v>
      </c>
      <c r="J657" s="58">
        <f t="shared" si="270"/>
        <v>34</v>
      </c>
    </row>
    <row r="658" spans="1:13" s="8" customFormat="1" ht="37.5" customHeight="1" x14ac:dyDescent="0.25">
      <c r="A658" s="3"/>
      <c r="B658" s="94"/>
      <c r="C658" s="21" t="s">
        <v>95</v>
      </c>
      <c r="D658" s="21" t="s">
        <v>123</v>
      </c>
      <c r="E658" s="21" t="s">
        <v>229</v>
      </c>
      <c r="F658" s="84"/>
      <c r="G658" s="101" t="s">
        <v>350</v>
      </c>
      <c r="H658" s="41">
        <f t="shared" si="270"/>
        <v>16.100000000000001</v>
      </c>
      <c r="I658" s="41">
        <f t="shared" si="270"/>
        <v>34</v>
      </c>
      <c r="J658" s="41">
        <f t="shared" si="270"/>
        <v>34</v>
      </c>
    </row>
    <row r="659" spans="1:13" s="8" customFormat="1" ht="63" customHeight="1" x14ac:dyDescent="0.25">
      <c r="A659" s="3"/>
      <c r="B659" s="94"/>
      <c r="C659" s="21" t="s">
        <v>95</v>
      </c>
      <c r="D659" s="21" t="s">
        <v>123</v>
      </c>
      <c r="E659" s="21" t="s">
        <v>555</v>
      </c>
      <c r="F659" s="16"/>
      <c r="G659" s="101" t="s">
        <v>351</v>
      </c>
      <c r="H659" s="41">
        <f t="shared" si="270"/>
        <v>16.100000000000001</v>
      </c>
      <c r="I659" s="41">
        <f t="shared" si="270"/>
        <v>34</v>
      </c>
      <c r="J659" s="41">
        <f t="shared" si="270"/>
        <v>34</v>
      </c>
    </row>
    <row r="660" spans="1:13" s="8" customFormat="1" ht="24.75" customHeight="1" x14ac:dyDescent="0.25">
      <c r="A660" s="3"/>
      <c r="B660" s="94"/>
      <c r="C660" s="21" t="s">
        <v>95</v>
      </c>
      <c r="D660" s="21" t="s">
        <v>123</v>
      </c>
      <c r="E660" s="21" t="s">
        <v>555</v>
      </c>
      <c r="F660" s="84" t="s">
        <v>66</v>
      </c>
      <c r="G660" s="55" t="s">
        <v>132</v>
      </c>
      <c r="H660" s="41">
        <f>34-17.9</f>
        <v>16.100000000000001</v>
      </c>
      <c r="I660" s="41">
        <v>34</v>
      </c>
      <c r="J660" s="41">
        <v>34</v>
      </c>
    </row>
    <row r="661" spans="1:13" ht="15.75" x14ac:dyDescent="0.25">
      <c r="A661" s="3"/>
      <c r="B661" s="94"/>
      <c r="C661" s="4" t="s">
        <v>106</v>
      </c>
      <c r="D661" s="3"/>
      <c r="E661" s="3"/>
      <c r="F661" s="3"/>
      <c r="G661" s="49" t="s">
        <v>107</v>
      </c>
      <c r="H661" s="95">
        <f>H662+H684</f>
        <v>23558.6</v>
      </c>
      <c r="I661" s="95">
        <f t="shared" ref="I661:J661" si="271">I662+I684</f>
        <v>22269.799999999996</v>
      </c>
      <c r="J661" s="95">
        <f t="shared" si="271"/>
        <v>22269.799999999996</v>
      </c>
    </row>
    <row r="662" spans="1:13" s="37" customFormat="1" ht="14.25" x14ac:dyDescent="0.2">
      <c r="A662" s="27"/>
      <c r="B662" s="70"/>
      <c r="C662" s="35" t="s">
        <v>106</v>
      </c>
      <c r="D662" s="35" t="s">
        <v>95</v>
      </c>
      <c r="E662" s="35"/>
      <c r="F662" s="35"/>
      <c r="G662" s="45" t="s">
        <v>158</v>
      </c>
      <c r="H662" s="42">
        <f>H663+H681</f>
        <v>15279.4</v>
      </c>
      <c r="I662" s="42">
        <f t="shared" ref="I662:J662" si="272">I663+I681</f>
        <v>14542.399999999998</v>
      </c>
      <c r="J662" s="42">
        <f t="shared" si="272"/>
        <v>14542.399999999998</v>
      </c>
    </row>
    <row r="663" spans="1:13" s="37" customFormat="1" ht="77.25" customHeight="1" x14ac:dyDescent="0.25">
      <c r="A663" s="27"/>
      <c r="B663" s="70"/>
      <c r="C663" s="16" t="s">
        <v>106</v>
      </c>
      <c r="D663" s="84" t="s">
        <v>95</v>
      </c>
      <c r="E663" s="73" t="s">
        <v>61</v>
      </c>
      <c r="F663" s="35"/>
      <c r="G663" s="53" t="s">
        <v>636</v>
      </c>
      <c r="H663" s="65">
        <f t="shared" ref="H663:J663" si="273">H664</f>
        <v>15104.4</v>
      </c>
      <c r="I663" s="65">
        <f t="shared" si="273"/>
        <v>14542.399999999998</v>
      </c>
      <c r="J663" s="65">
        <f t="shared" si="273"/>
        <v>14542.399999999998</v>
      </c>
      <c r="M663" s="250"/>
    </row>
    <row r="664" spans="1:13" s="37" customFormat="1" ht="25.5" x14ac:dyDescent="0.2">
      <c r="A664" s="27"/>
      <c r="B664" s="70"/>
      <c r="C664" s="16" t="s">
        <v>106</v>
      </c>
      <c r="D664" s="84" t="s">
        <v>95</v>
      </c>
      <c r="E664" s="52" t="s">
        <v>62</v>
      </c>
      <c r="F664" s="35"/>
      <c r="G664" s="48" t="s">
        <v>174</v>
      </c>
      <c r="H664" s="58">
        <f>H665+H676</f>
        <v>15104.4</v>
      </c>
      <c r="I664" s="58">
        <f t="shared" ref="I664:J664" si="274">I665+I676</f>
        <v>14542.399999999998</v>
      </c>
      <c r="J664" s="58">
        <f t="shared" si="274"/>
        <v>14542.399999999998</v>
      </c>
    </row>
    <row r="665" spans="1:13" s="37" customFormat="1" ht="25.5" x14ac:dyDescent="0.2">
      <c r="A665" s="27"/>
      <c r="B665" s="70"/>
      <c r="C665" s="16" t="s">
        <v>106</v>
      </c>
      <c r="D665" s="84" t="s">
        <v>95</v>
      </c>
      <c r="E665" s="21" t="s">
        <v>258</v>
      </c>
      <c r="F665" s="21"/>
      <c r="G665" s="105" t="s">
        <v>468</v>
      </c>
      <c r="H665" s="39">
        <f>H666+H668+H670+H672+H674</f>
        <v>14710.699999999999</v>
      </c>
      <c r="I665" s="39">
        <f t="shared" ref="I665:J665" si="275">I666+I668+I670+I672+I674</f>
        <v>14542.399999999998</v>
      </c>
      <c r="J665" s="39">
        <f t="shared" si="275"/>
        <v>14542.399999999998</v>
      </c>
      <c r="M665" s="250"/>
    </row>
    <row r="666" spans="1:13" s="20" customFormat="1" ht="26.25" x14ac:dyDescent="0.25">
      <c r="A666" s="18"/>
      <c r="B666" s="71"/>
      <c r="C666" s="16" t="s">
        <v>106</v>
      </c>
      <c r="D666" s="84" t="s">
        <v>95</v>
      </c>
      <c r="E666" s="74">
        <v>210221100</v>
      </c>
      <c r="F666" s="16"/>
      <c r="G666" s="181" t="s">
        <v>176</v>
      </c>
      <c r="H666" s="39">
        <f>H667</f>
        <v>10587.199999999999</v>
      </c>
      <c r="I666" s="39">
        <f t="shared" ref="I666:J666" si="276">I667</f>
        <v>11359.3</v>
      </c>
      <c r="J666" s="39">
        <f t="shared" si="276"/>
        <v>11359.3</v>
      </c>
    </row>
    <row r="667" spans="1:13" x14ac:dyDescent="0.2">
      <c r="A667" s="1"/>
      <c r="B667" s="25"/>
      <c r="C667" s="16" t="s">
        <v>106</v>
      </c>
      <c r="D667" s="84" t="s">
        <v>95</v>
      </c>
      <c r="E667" s="74">
        <v>210221100</v>
      </c>
      <c r="F667" s="21" t="s">
        <v>228</v>
      </c>
      <c r="G667" s="101" t="s">
        <v>227</v>
      </c>
      <c r="H667" s="148">
        <f>11359.3+72.9-500-8.6-1.5-334.9</f>
        <v>10587.199999999999</v>
      </c>
      <c r="I667" s="148">
        <v>11359.3</v>
      </c>
      <c r="J667" s="148">
        <v>11359.3</v>
      </c>
    </row>
    <row r="668" spans="1:13" ht="76.5" x14ac:dyDescent="0.2">
      <c r="A668" s="1"/>
      <c r="B668" s="25"/>
      <c r="C668" s="16" t="s">
        <v>106</v>
      </c>
      <c r="D668" s="84" t="s">
        <v>95</v>
      </c>
      <c r="E668" s="74">
        <v>210210690</v>
      </c>
      <c r="F668" s="21"/>
      <c r="G668" s="101" t="s">
        <v>325</v>
      </c>
      <c r="H668" s="39">
        <f>H669</f>
        <v>3993.3</v>
      </c>
      <c r="I668" s="39">
        <f>I669</f>
        <v>3151.3</v>
      </c>
      <c r="J668" s="39">
        <f>J669</f>
        <v>3151.3</v>
      </c>
    </row>
    <row r="669" spans="1:13" x14ac:dyDescent="0.2">
      <c r="A669" s="1"/>
      <c r="B669" s="25"/>
      <c r="C669" s="16" t="s">
        <v>106</v>
      </c>
      <c r="D669" s="84" t="s">
        <v>95</v>
      </c>
      <c r="E669" s="74">
        <v>210210690</v>
      </c>
      <c r="F669" s="21" t="s">
        <v>228</v>
      </c>
      <c r="G669" s="101" t="s">
        <v>227</v>
      </c>
      <c r="H669" s="164">
        <f>3151.3+842</f>
        <v>3993.3</v>
      </c>
      <c r="I669" s="164">
        <v>3151.3</v>
      </c>
      <c r="J669" s="164">
        <v>3151.3</v>
      </c>
    </row>
    <row r="670" spans="1:13" ht="63.75" x14ac:dyDescent="0.2">
      <c r="A670" s="1"/>
      <c r="B670" s="25"/>
      <c r="C670" s="16" t="s">
        <v>106</v>
      </c>
      <c r="D670" s="84" t="s">
        <v>95</v>
      </c>
      <c r="E670" s="74" t="s">
        <v>469</v>
      </c>
      <c r="F670" s="84"/>
      <c r="G670" s="101" t="s">
        <v>326</v>
      </c>
      <c r="H670" s="39">
        <f>SUM(H671:H671)</f>
        <v>40.4</v>
      </c>
      <c r="I670" s="39">
        <f>SUM(I671:I671)</f>
        <v>31.8</v>
      </c>
      <c r="J670" s="39">
        <f>SUM(J671:J671)</f>
        <v>31.8</v>
      </c>
    </row>
    <row r="671" spans="1:13" ht="13.5" thickBot="1" x14ac:dyDescent="0.25">
      <c r="A671" s="1"/>
      <c r="B671" s="25"/>
      <c r="C671" s="16" t="s">
        <v>106</v>
      </c>
      <c r="D671" s="84" t="s">
        <v>95</v>
      </c>
      <c r="E671" s="74" t="s">
        <v>469</v>
      </c>
      <c r="F671" s="21" t="s">
        <v>228</v>
      </c>
      <c r="G671" s="101" t="s">
        <v>227</v>
      </c>
      <c r="H671" s="39">
        <f>31.8+8.6</f>
        <v>40.4</v>
      </c>
      <c r="I671" s="39">
        <v>31.8</v>
      </c>
      <c r="J671" s="39">
        <v>31.8</v>
      </c>
    </row>
    <row r="672" spans="1:13" ht="64.5" thickBot="1" x14ac:dyDescent="0.25">
      <c r="A672" s="148"/>
      <c r="B672" s="25"/>
      <c r="C672" s="16" t="s">
        <v>106</v>
      </c>
      <c r="D672" s="84" t="s">
        <v>95</v>
      </c>
      <c r="E672" s="74">
        <v>210211390</v>
      </c>
      <c r="F672" s="21"/>
      <c r="G672" s="230" t="s">
        <v>805</v>
      </c>
      <c r="H672" s="39">
        <f>H673</f>
        <v>88.899999999999991</v>
      </c>
      <c r="I672" s="39">
        <f t="shared" ref="I672:J672" si="277">I673</f>
        <v>0</v>
      </c>
      <c r="J672" s="39">
        <f t="shared" si="277"/>
        <v>0</v>
      </c>
    </row>
    <row r="673" spans="1:10" x14ac:dyDescent="0.2">
      <c r="A673" s="148"/>
      <c r="B673" s="25"/>
      <c r="C673" s="84" t="s">
        <v>106</v>
      </c>
      <c r="D673" s="84" t="s">
        <v>95</v>
      </c>
      <c r="E673" s="74">
        <v>210211390</v>
      </c>
      <c r="F673" s="21" t="s">
        <v>228</v>
      </c>
      <c r="G673" s="101" t="s">
        <v>227</v>
      </c>
      <c r="H673" s="39">
        <f>88.3+0.6</f>
        <v>88.899999999999991</v>
      </c>
      <c r="I673" s="39">
        <v>0</v>
      </c>
      <c r="J673" s="39">
        <v>0</v>
      </c>
    </row>
    <row r="674" spans="1:10" ht="76.5" x14ac:dyDescent="0.2">
      <c r="A674" s="148"/>
      <c r="B674" s="25"/>
      <c r="C674" s="16" t="s">
        <v>106</v>
      </c>
      <c r="D674" s="84" t="s">
        <v>95</v>
      </c>
      <c r="E674" s="74" t="s">
        <v>813</v>
      </c>
      <c r="F674" s="21"/>
      <c r="G674" s="126" t="s">
        <v>814</v>
      </c>
      <c r="H674" s="39">
        <f>H675</f>
        <v>0.9</v>
      </c>
      <c r="I674" s="39">
        <f t="shared" ref="I674:J674" si="278">I675</f>
        <v>0</v>
      </c>
      <c r="J674" s="39">
        <f t="shared" si="278"/>
        <v>0</v>
      </c>
    </row>
    <row r="675" spans="1:10" x14ac:dyDescent="0.2">
      <c r="A675" s="148"/>
      <c r="B675" s="25"/>
      <c r="C675" s="84" t="s">
        <v>106</v>
      </c>
      <c r="D675" s="84" t="s">
        <v>95</v>
      </c>
      <c r="E675" s="74" t="s">
        <v>813</v>
      </c>
      <c r="F675" s="21" t="s">
        <v>228</v>
      </c>
      <c r="G675" s="101" t="s">
        <v>227</v>
      </c>
      <c r="H675" s="39">
        <f>1.5-0.6</f>
        <v>0.9</v>
      </c>
      <c r="I675" s="39">
        <v>0</v>
      </c>
      <c r="J675" s="39">
        <v>0</v>
      </c>
    </row>
    <row r="676" spans="1:10" ht="76.5" x14ac:dyDescent="0.2">
      <c r="A676" s="1"/>
      <c r="B676" s="25"/>
      <c r="C676" s="16" t="s">
        <v>106</v>
      </c>
      <c r="D676" s="84" t="s">
        <v>95</v>
      </c>
      <c r="E676" s="21" t="s">
        <v>473</v>
      </c>
      <c r="F676" s="35"/>
      <c r="G676" s="101" t="s">
        <v>474</v>
      </c>
      <c r="H676" s="41">
        <f>H677+H679</f>
        <v>393.7</v>
      </c>
      <c r="I676" s="41">
        <f t="shared" ref="I676:J676" si="279">I677+I679</f>
        <v>0</v>
      </c>
      <c r="J676" s="41">
        <f t="shared" si="279"/>
        <v>0</v>
      </c>
    </row>
    <row r="677" spans="1:10" ht="63.75" x14ac:dyDescent="0.2">
      <c r="A677" s="1"/>
      <c r="B677" s="25"/>
      <c r="C677" s="16" t="s">
        <v>106</v>
      </c>
      <c r="D677" s="84" t="s">
        <v>95</v>
      </c>
      <c r="E677" s="165" t="s">
        <v>475</v>
      </c>
      <c r="F677" s="21"/>
      <c r="G677" s="54" t="s">
        <v>476</v>
      </c>
      <c r="H677" s="39">
        <f t="shared" ref="H677:J677" si="280">H678</f>
        <v>245</v>
      </c>
      <c r="I677" s="39">
        <f t="shared" si="280"/>
        <v>0</v>
      </c>
      <c r="J677" s="39">
        <f t="shared" si="280"/>
        <v>0</v>
      </c>
    </row>
    <row r="678" spans="1:10" x14ac:dyDescent="0.2">
      <c r="A678" s="1"/>
      <c r="B678" s="25"/>
      <c r="C678" s="16" t="s">
        <v>106</v>
      </c>
      <c r="D678" s="84" t="s">
        <v>95</v>
      </c>
      <c r="E678" s="165" t="s">
        <v>475</v>
      </c>
      <c r="F678" s="21" t="s">
        <v>228</v>
      </c>
      <c r="G678" s="101" t="s">
        <v>227</v>
      </c>
      <c r="H678" s="39">
        <v>245</v>
      </c>
      <c r="I678" s="39">
        <v>0</v>
      </c>
      <c r="J678" s="39">
        <v>0</v>
      </c>
    </row>
    <row r="679" spans="1:10" ht="63.75" x14ac:dyDescent="0.2">
      <c r="A679" s="148"/>
      <c r="B679" s="25"/>
      <c r="C679" s="16" t="s">
        <v>106</v>
      </c>
      <c r="D679" s="84" t="s">
        <v>95</v>
      </c>
      <c r="E679" s="165" t="s">
        <v>710</v>
      </c>
      <c r="F679" s="21"/>
      <c r="G679" s="153" t="s">
        <v>709</v>
      </c>
      <c r="H679" s="39">
        <f>H680</f>
        <v>148.69999999999999</v>
      </c>
      <c r="I679" s="39">
        <f t="shared" ref="I679:J679" si="281">I680</f>
        <v>0</v>
      </c>
      <c r="J679" s="39">
        <f t="shared" si="281"/>
        <v>0</v>
      </c>
    </row>
    <row r="680" spans="1:10" x14ac:dyDescent="0.2">
      <c r="A680" s="148"/>
      <c r="B680" s="25"/>
      <c r="C680" s="16" t="s">
        <v>106</v>
      </c>
      <c r="D680" s="84" t="s">
        <v>95</v>
      </c>
      <c r="E680" s="165" t="s">
        <v>710</v>
      </c>
      <c r="F680" s="21" t="s">
        <v>228</v>
      </c>
      <c r="G680" s="101" t="s">
        <v>227</v>
      </c>
      <c r="H680" s="39">
        <v>148.69999999999999</v>
      </c>
      <c r="I680" s="39">
        <v>0</v>
      </c>
      <c r="J680" s="39">
        <v>0</v>
      </c>
    </row>
    <row r="681" spans="1:10" ht="25.5" x14ac:dyDescent="0.2">
      <c r="A681" s="148"/>
      <c r="B681" s="25"/>
      <c r="C681" s="84" t="s">
        <v>106</v>
      </c>
      <c r="D681" s="84" t="s">
        <v>95</v>
      </c>
      <c r="E681" s="84" t="s">
        <v>26</v>
      </c>
      <c r="F681" s="84"/>
      <c r="G681" s="103" t="s">
        <v>40</v>
      </c>
      <c r="H681" s="41">
        <f>H682</f>
        <v>175</v>
      </c>
      <c r="I681" s="41">
        <f t="shared" ref="I681:J681" si="282">I682</f>
        <v>0</v>
      </c>
      <c r="J681" s="41">
        <f t="shared" si="282"/>
        <v>0</v>
      </c>
    </row>
    <row r="682" spans="1:10" ht="39.75" customHeight="1" x14ac:dyDescent="0.2">
      <c r="A682" s="148"/>
      <c r="B682" s="25"/>
      <c r="C682" s="16" t="s">
        <v>106</v>
      </c>
      <c r="D682" s="84" t="s">
        <v>95</v>
      </c>
      <c r="E682" s="84" t="s">
        <v>629</v>
      </c>
      <c r="F682" s="16"/>
      <c r="G682" s="54" t="s">
        <v>627</v>
      </c>
      <c r="H682" s="41">
        <f>SUM(H683:H683)</f>
        <v>175</v>
      </c>
      <c r="I682" s="41">
        <f>SUM(I683:I683)</f>
        <v>0</v>
      </c>
      <c r="J682" s="41">
        <f>SUM(J683:J683)</f>
        <v>0</v>
      </c>
    </row>
    <row r="683" spans="1:10" x14ac:dyDescent="0.2">
      <c r="A683" s="148"/>
      <c r="B683" s="25"/>
      <c r="C683" s="16" t="s">
        <v>106</v>
      </c>
      <c r="D683" s="84" t="s">
        <v>95</v>
      </c>
      <c r="E683" s="84" t="s">
        <v>629</v>
      </c>
      <c r="F683" s="21" t="s">
        <v>228</v>
      </c>
      <c r="G683" s="101" t="s">
        <v>227</v>
      </c>
      <c r="H683" s="39">
        <v>175</v>
      </c>
      <c r="I683" s="39">
        <v>0</v>
      </c>
      <c r="J683" s="39">
        <v>0</v>
      </c>
    </row>
    <row r="684" spans="1:10" s="37" customFormat="1" ht="14.25" x14ac:dyDescent="0.2">
      <c r="A684" s="27"/>
      <c r="B684" s="70"/>
      <c r="C684" s="35" t="s">
        <v>106</v>
      </c>
      <c r="D684" s="35" t="s">
        <v>106</v>
      </c>
      <c r="E684" s="35"/>
      <c r="F684" s="35"/>
      <c r="G684" s="46" t="s">
        <v>157</v>
      </c>
      <c r="H684" s="42">
        <f>H685+H702+H713</f>
        <v>8279.1999999999989</v>
      </c>
      <c r="I684" s="42">
        <f t="shared" ref="I684:J684" si="283">I685+I702</f>
        <v>7727.4</v>
      </c>
      <c r="J684" s="42">
        <f t="shared" si="283"/>
        <v>7727.4</v>
      </c>
    </row>
    <row r="685" spans="1:10" s="37" customFormat="1" ht="81" customHeight="1" x14ac:dyDescent="0.25">
      <c r="A685" s="27"/>
      <c r="B685" s="70"/>
      <c r="C685" s="16" t="s">
        <v>106</v>
      </c>
      <c r="D685" s="16" t="s">
        <v>106</v>
      </c>
      <c r="E685" s="73" t="s">
        <v>61</v>
      </c>
      <c r="F685" s="35"/>
      <c r="G685" s="53" t="s">
        <v>636</v>
      </c>
      <c r="H685" s="65">
        <f>H686</f>
        <v>8155.0999999999995</v>
      </c>
      <c r="I685" s="65">
        <f t="shared" ref="I685:J685" si="284">I686</f>
        <v>7677.4</v>
      </c>
      <c r="J685" s="65">
        <f t="shared" si="284"/>
        <v>7677.4</v>
      </c>
    </row>
    <row r="686" spans="1:10" ht="25.5" x14ac:dyDescent="0.2">
      <c r="A686" s="1"/>
      <c r="B686" s="25"/>
      <c r="C686" s="16" t="s">
        <v>106</v>
      </c>
      <c r="D686" s="16" t="s">
        <v>106</v>
      </c>
      <c r="E686" s="52" t="s">
        <v>32</v>
      </c>
      <c r="F686" s="21"/>
      <c r="G686" s="48" t="s">
        <v>180</v>
      </c>
      <c r="H686" s="41">
        <f>H687+H696+H699</f>
        <v>8155.0999999999995</v>
      </c>
      <c r="I686" s="41">
        <f t="shared" ref="I686:J686" si="285">I687+I696+I699</f>
        <v>7677.4</v>
      </c>
      <c r="J686" s="41">
        <f t="shared" si="285"/>
        <v>7677.4</v>
      </c>
    </row>
    <row r="687" spans="1:10" ht="38.25" x14ac:dyDescent="0.2">
      <c r="A687" s="1"/>
      <c r="B687" s="25"/>
      <c r="C687" s="16" t="s">
        <v>106</v>
      </c>
      <c r="D687" s="16" t="s">
        <v>106</v>
      </c>
      <c r="E687" s="21" t="s">
        <v>212</v>
      </c>
      <c r="F687" s="16"/>
      <c r="G687" s="105" t="s">
        <v>317</v>
      </c>
      <c r="H687" s="41">
        <f>H688+H690+H692+H694</f>
        <v>343.20000000000005</v>
      </c>
      <c r="I687" s="41">
        <f>I688+I690+I692+I694</f>
        <v>361.20000000000005</v>
      </c>
      <c r="J687" s="41">
        <f>J688+J690+J692+J694</f>
        <v>361.20000000000005</v>
      </c>
    </row>
    <row r="688" spans="1:10" ht="51" x14ac:dyDescent="0.2">
      <c r="A688" s="1"/>
      <c r="B688" s="25"/>
      <c r="C688" s="16" t="s">
        <v>106</v>
      </c>
      <c r="D688" s="16" t="s">
        <v>106</v>
      </c>
      <c r="E688" s="167" t="s">
        <v>485</v>
      </c>
      <c r="F688" s="16"/>
      <c r="G688" s="104" t="s">
        <v>209</v>
      </c>
      <c r="H688" s="39">
        <f>H689</f>
        <v>6.6</v>
      </c>
      <c r="I688" s="39">
        <f>I689</f>
        <v>6.6</v>
      </c>
      <c r="J688" s="39">
        <f>J689</f>
        <v>6.6</v>
      </c>
    </row>
    <row r="689" spans="1:10" ht="38.25" x14ac:dyDescent="0.2">
      <c r="A689" s="1"/>
      <c r="B689" s="25"/>
      <c r="C689" s="16" t="s">
        <v>106</v>
      </c>
      <c r="D689" s="16" t="s">
        <v>106</v>
      </c>
      <c r="E689" s="167" t="s">
        <v>485</v>
      </c>
      <c r="F689" s="84" t="s">
        <v>214</v>
      </c>
      <c r="G689" s="101" t="s">
        <v>215</v>
      </c>
      <c r="H689" s="41">
        <v>6.6</v>
      </c>
      <c r="I689" s="41">
        <v>6.6</v>
      </c>
      <c r="J689" s="41">
        <v>6.6</v>
      </c>
    </row>
    <row r="690" spans="1:10" ht="25.5" x14ac:dyDescent="0.2">
      <c r="A690" s="1"/>
      <c r="B690" s="25"/>
      <c r="C690" s="16" t="s">
        <v>106</v>
      </c>
      <c r="D690" s="16" t="s">
        <v>106</v>
      </c>
      <c r="E690" s="167" t="s">
        <v>486</v>
      </c>
      <c r="F690" s="16"/>
      <c r="G690" s="101" t="s">
        <v>181</v>
      </c>
      <c r="H690" s="41">
        <f>H691</f>
        <v>271.60000000000002</v>
      </c>
      <c r="I690" s="41">
        <f>I691</f>
        <v>289.60000000000002</v>
      </c>
      <c r="J690" s="41">
        <f>J691</f>
        <v>289.60000000000002</v>
      </c>
    </row>
    <row r="691" spans="1:10" ht="38.25" x14ac:dyDescent="0.2">
      <c r="A691" s="1"/>
      <c r="B691" s="25"/>
      <c r="C691" s="16" t="s">
        <v>106</v>
      </c>
      <c r="D691" s="16" t="s">
        <v>106</v>
      </c>
      <c r="E691" s="167" t="s">
        <v>486</v>
      </c>
      <c r="F691" s="84" t="s">
        <v>214</v>
      </c>
      <c r="G691" s="101" t="s">
        <v>215</v>
      </c>
      <c r="H691" s="41">
        <f>289.6-18</f>
        <v>271.60000000000002</v>
      </c>
      <c r="I691" s="41">
        <v>289.60000000000002</v>
      </c>
      <c r="J691" s="41">
        <v>289.60000000000002</v>
      </c>
    </row>
    <row r="692" spans="1:10" ht="53.25" customHeight="1" x14ac:dyDescent="0.2">
      <c r="A692" s="1"/>
      <c r="B692" s="25"/>
      <c r="C692" s="16" t="s">
        <v>106</v>
      </c>
      <c r="D692" s="16" t="s">
        <v>106</v>
      </c>
      <c r="E692" s="167" t="s">
        <v>487</v>
      </c>
      <c r="F692" s="16"/>
      <c r="G692" s="101" t="s">
        <v>79</v>
      </c>
      <c r="H692" s="41">
        <f>H693</f>
        <v>15</v>
      </c>
      <c r="I692" s="41">
        <f>I693</f>
        <v>15</v>
      </c>
      <c r="J692" s="41">
        <f>J693</f>
        <v>15</v>
      </c>
    </row>
    <row r="693" spans="1:10" ht="38.25" x14ac:dyDescent="0.2">
      <c r="A693" s="1"/>
      <c r="B693" s="25"/>
      <c r="C693" s="16" t="s">
        <v>106</v>
      </c>
      <c r="D693" s="16" t="s">
        <v>106</v>
      </c>
      <c r="E693" s="167" t="s">
        <v>487</v>
      </c>
      <c r="F693" s="84" t="s">
        <v>214</v>
      </c>
      <c r="G693" s="101" t="s">
        <v>215</v>
      </c>
      <c r="H693" s="41">
        <v>15</v>
      </c>
      <c r="I693" s="41">
        <v>15</v>
      </c>
      <c r="J693" s="41">
        <v>15</v>
      </c>
    </row>
    <row r="694" spans="1:10" x14ac:dyDescent="0.2">
      <c r="A694" s="1"/>
      <c r="B694" s="25"/>
      <c r="C694" s="16" t="s">
        <v>106</v>
      </c>
      <c r="D694" s="16" t="s">
        <v>106</v>
      </c>
      <c r="E694" s="167" t="s">
        <v>488</v>
      </c>
      <c r="F694" s="84"/>
      <c r="G694" s="54" t="s">
        <v>395</v>
      </c>
      <c r="H694" s="41">
        <f>H695</f>
        <v>50</v>
      </c>
      <c r="I694" s="41">
        <f>I695</f>
        <v>50</v>
      </c>
      <c r="J694" s="41">
        <f>J695</f>
        <v>50</v>
      </c>
    </row>
    <row r="695" spans="1:10" ht="38.25" x14ac:dyDescent="0.2">
      <c r="A695" s="1"/>
      <c r="B695" s="25"/>
      <c r="C695" s="16" t="s">
        <v>106</v>
      </c>
      <c r="D695" s="16" t="s">
        <v>106</v>
      </c>
      <c r="E695" s="167" t="s">
        <v>488</v>
      </c>
      <c r="F695" s="84" t="s">
        <v>214</v>
      </c>
      <c r="G695" s="101" t="s">
        <v>215</v>
      </c>
      <c r="H695" s="41">
        <v>50</v>
      </c>
      <c r="I695" s="41">
        <v>50</v>
      </c>
      <c r="J695" s="41">
        <v>50</v>
      </c>
    </row>
    <row r="696" spans="1:10" ht="76.5" x14ac:dyDescent="0.2">
      <c r="A696" s="1"/>
      <c r="B696" s="25"/>
      <c r="C696" s="16" t="s">
        <v>106</v>
      </c>
      <c r="D696" s="16" t="s">
        <v>106</v>
      </c>
      <c r="E696" s="21" t="s">
        <v>264</v>
      </c>
      <c r="F696" s="16"/>
      <c r="G696" s="105" t="s">
        <v>265</v>
      </c>
      <c r="H696" s="41">
        <f t="shared" ref="H696:J697" si="286">H697</f>
        <v>7316.2</v>
      </c>
      <c r="I696" s="41">
        <f t="shared" si="286"/>
        <v>7316.2</v>
      </c>
      <c r="J696" s="41">
        <f t="shared" si="286"/>
        <v>7316.2</v>
      </c>
    </row>
    <row r="697" spans="1:10" ht="38.25" x14ac:dyDescent="0.2">
      <c r="A697" s="148"/>
      <c r="B697" s="25"/>
      <c r="C697" s="16" t="s">
        <v>106</v>
      </c>
      <c r="D697" s="16" t="s">
        <v>106</v>
      </c>
      <c r="E697" s="74">
        <v>230221100</v>
      </c>
      <c r="F697" s="16"/>
      <c r="G697" s="101" t="s">
        <v>0</v>
      </c>
      <c r="H697" s="41">
        <f t="shared" si="286"/>
        <v>7316.2</v>
      </c>
      <c r="I697" s="41">
        <f t="shared" si="286"/>
        <v>7316.2</v>
      </c>
      <c r="J697" s="41">
        <f t="shared" si="286"/>
        <v>7316.2</v>
      </c>
    </row>
    <row r="698" spans="1:10" x14ac:dyDescent="0.2">
      <c r="A698" s="148"/>
      <c r="B698" s="25"/>
      <c r="C698" s="16" t="s">
        <v>106</v>
      </c>
      <c r="D698" s="16" t="s">
        <v>106</v>
      </c>
      <c r="E698" s="74">
        <v>230221100</v>
      </c>
      <c r="F698" s="84" t="s">
        <v>228</v>
      </c>
      <c r="G698" s="101" t="s">
        <v>227</v>
      </c>
      <c r="H698" s="41">
        <v>7316.2</v>
      </c>
      <c r="I698" s="41">
        <v>7316.2</v>
      </c>
      <c r="J698" s="41">
        <v>7316.2</v>
      </c>
    </row>
    <row r="699" spans="1:10" ht="63.75" x14ac:dyDescent="0.2">
      <c r="A699" s="1"/>
      <c r="B699" s="25"/>
      <c r="C699" s="16" t="s">
        <v>106</v>
      </c>
      <c r="D699" s="16" t="s">
        <v>106</v>
      </c>
      <c r="E699" s="21" t="s">
        <v>491</v>
      </c>
      <c r="F699" s="84"/>
      <c r="G699" s="101" t="s">
        <v>490</v>
      </c>
      <c r="H699" s="41">
        <f t="shared" ref="H699:J700" si="287">H700</f>
        <v>495.7</v>
      </c>
      <c r="I699" s="41">
        <f t="shared" si="287"/>
        <v>0</v>
      </c>
      <c r="J699" s="41">
        <f t="shared" si="287"/>
        <v>0</v>
      </c>
    </row>
    <row r="700" spans="1:10" ht="51" x14ac:dyDescent="0.2">
      <c r="A700" s="1"/>
      <c r="B700" s="25"/>
      <c r="C700" s="16" t="s">
        <v>106</v>
      </c>
      <c r="D700" s="16" t="s">
        <v>106</v>
      </c>
      <c r="E700" s="74">
        <v>230321210</v>
      </c>
      <c r="F700" s="84"/>
      <c r="G700" s="101" t="s">
        <v>489</v>
      </c>
      <c r="H700" s="41">
        <f t="shared" si="287"/>
        <v>495.7</v>
      </c>
      <c r="I700" s="41">
        <f t="shared" si="287"/>
        <v>0</v>
      </c>
      <c r="J700" s="41">
        <f t="shared" si="287"/>
        <v>0</v>
      </c>
    </row>
    <row r="701" spans="1:10" ht="38.25" x14ac:dyDescent="0.2">
      <c r="A701" s="1"/>
      <c r="B701" s="25"/>
      <c r="C701" s="16" t="s">
        <v>106</v>
      </c>
      <c r="D701" s="16" t="s">
        <v>106</v>
      </c>
      <c r="E701" s="74">
        <v>230321210</v>
      </c>
      <c r="F701" s="84" t="s">
        <v>214</v>
      </c>
      <c r="G701" s="101" t="s">
        <v>215</v>
      </c>
      <c r="H701" s="41">
        <v>495.7</v>
      </c>
      <c r="I701" s="41">
        <v>0</v>
      </c>
      <c r="J701" s="41">
        <v>0</v>
      </c>
    </row>
    <row r="702" spans="1:10" ht="76.5" x14ac:dyDescent="0.2">
      <c r="A702" s="148"/>
      <c r="B702" s="25"/>
      <c r="C702" s="5" t="s">
        <v>106</v>
      </c>
      <c r="D702" s="5" t="s">
        <v>106</v>
      </c>
      <c r="E702" s="118" t="s">
        <v>73</v>
      </c>
      <c r="F702" s="84"/>
      <c r="G702" s="53" t="s">
        <v>646</v>
      </c>
      <c r="H702" s="99">
        <f>H703+H709</f>
        <v>74.099999999999994</v>
      </c>
      <c r="I702" s="99">
        <f t="shared" ref="I702:J702" si="288">I703</f>
        <v>50</v>
      </c>
      <c r="J702" s="99">
        <f t="shared" si="288"/>
        <v>50</v>
      </c>
    </row>
    <row r="703" spans="1:10" ht="76.5" x14ac:dyDescent="0.2">
      <c r="A703" s="148"/>
      <c r="B703" s="25"/>
      <c r="C703" s="47" t="s">
        <v>106</v>
      </c>
      <c r="D703" s="47" t="s">
        <v>106</v>
      </c>
      <c r="E703" s="121" t="s">
        <v>556</v>
      </c>
      <c r="F703" s="124"/>
      <c r="G703" s="174" t="s">
        <v>182</v>
      </c>
      <c r="H703" s="123">
        <f>H704</f>
        <v>40</v>
      </c>
      <c r="I703" s="123">
        <f>I704</f>
        <v>50</v>
      </c>
      <c r="J703" s="123">
        <f>J704</f>
        <v>50</v>
      </c>
    </row>
    <row r="704" spans="1:10" ht="51" x14ac:dyDescent="0.2">
      <c r="A704" s="148"/>
      <c r="B704" s="25"/>
      <c r="C704" s="16" t="s">
        <v>106</v>
      </c>
      <c r="D704" s="16" t="s">
        <v>106</v>
      </c>
      <c r="E704" s="21" t="s">
        <v>557</v>
      </c>
      <c r="F704" s="124"/>
      <c r="G704" s="109" t="s">
        <v>322</v>
      </c>
      <c r="H704" s="163">
        <f>H705+H707</f>
        <v>40</v>
      </c>
      <c r="I704" s="163">
        <f>I705+I707</f>
        <v>50</v>
      </c>
      <c r="J704" s="163">
        <f>J705+J707</f>
        <v>50</v>
      </c>
    </row>
    <row r="705" spans="1:10" ht="90.75" customHeight="1" x14ac:dyDescent="0.2">
      <c r="A705" s="148"/>
      <c r="B705" s="25"/>
      <c r="C705" s="16" t="s">
        <v>106</v>
      </c>
      <c r="D705" s="16" t="s">
        <v>106</v>
      </c>
      <c r="E705" s="79">
        <v>1020123085</v>
      </c>
      <c r="F705" s="124"/>
      <c r="G705" s="101" t="s">
        <v>183</v>
      </c>
      <c r="H705" s="110">
        <f>H706</f>
        <v>5</v>
      </c>
      <c r="I705" s="110">
        <f>I706</f>
        <v>5</v>
      </c>
      <c r="J705" s="110">
        <f>J706</f>
        <v>5</v>
      </c>
    </row>
    <row r="706" spans="1:10" ht="38.25" x14ac:dyDescent="0.2">
      <c r="A706" s="148"/>
      <c r="B706" s="25"/>
      <c r="C706" s="16" t="s">
        <v>106</v>
      </c>
      <c r="D706" s="16" t="s">
        <v>106</v>
      </c>
      <c r="E706" s="79">
        <v>1020123085</v>
      </c>
      <c r="F706" s="112" t="s">
        <v>214</v>
      </c>
      <c r="G706" s="101" t="s">
        <v>215</v>
      </c>
      <c r="H706" s="110">
        <v>5</v>
      </c>
      <c r="I706" s="110">
        <v>5</v>
      </c>
      <c r="J706" s="110">
        <v>5</v>
      </c>
    </row>
    <row r="707" spans="1:10" x14ac:dyDescent="0.2">
      <c r="A707" s="148"/>
      <c r="B707" s="25"/>
      <c r="C707" s="16" t="s">
        <v>106</v>
      </c>
      <c r="D707" s="16" t="s">
        <v>106</v>
      </c>
      <c r="E707" s="79">
        <v>1020123086</v>
      </c>
      <c r="F707" s="124"/>
      <c r="G707" s="101" t="s">
        <v>184</v>
      </c>
      <c r="H707" s="110">
        <f>H708</f>
        <v>35</v>
      </c>
      <c r="I707" s="110">
        <f>I708</f>
        <v>45</v>
      </c>
      <c r="J707" s="110">
        <f>J708</f>
        <v>45</v>
      </c>
    </row>
    <row r="708" spans="1:10" ht="38.25" x14ac:dyDescent="0.2">
      <c r="A708" s="148"/>
      <c r="B708" s="25"/>
      <c r="C708" s="16" t="s">
        <v>106</v>
      </c>
      <c r="D708" s="16" t="s">
        <v>106</v>
      </c>
      <c r="E708" s="79">
        <v>1020123086</v>
      </c>
      <c r="F708" s="112" t="s">
        <v>214</v>
      </c>
      <c r="G708" s="101" t="s">
        <v>215</v>
      </c>
      <c r="H708" s="110">
        <f>45-10</f>
        <v>35</v>
      </c>
      <c r="I708" s="110">
        <v>45</v>
      </c>
      <c r="J708" s="110">
        <v>45</v>
      </c>
    </row>
    <row r="709" spans="1:10" ht="51" x14ac:dyDescent="0.2">
      <c r="A709" s="148"/>
      <c r="B709" s="25"/>
      <c r="C709" s="16" t="s">
        <v>106</v>
      </c>
      <c r="D709" s="16" t="s">
        <v>106</v>
      </c>
      <c r="E709" s="121" t="s">
        <v>745</v>
      </c>
      <c r="F709" s="124"/>
      <c r="G709" s="174" t="s">
        <v>743</v>
      </c>
      <c r="H709" s="123">
        <f>H710</f>
        <v>34.1</v>
      </c>
      <c r="I709" s="123">
        <f>I710</f>
        <v>0</v>
      </c>
      <c r="J709" s="123">
        <f>J710</f>
        <v>0</v>
      </c>
    </row>
    <row r="710" spans="1:10" ht="51" x14ac:dyDescent="0.2">
      <c r="A710" s="148"/>
      <c r="B710" s="25"/>
      <c r="C710" s="16" t="s">
        <v>106</v>
      </c>
      <c r="D710" s="16" t="s">
        <v>106</v>
      </c>
      <c r="E710" s="21" t="s">
        <v>744</v>
      </c>
      <c r="F710" s="124"/>
      <c r="G710" s="109" t="s">
        <v>746</v>
      </c>
      <c r="H710" s="163">
        <f>H711</f>
        <v>34.1</v>
      </c>
      <c r="I710" s="163">
        <f t="shared" ref="I710:J711" si="289">I711</f>
        <v>0</v>
      </c>
      <c r="J710" s="163">
        <f t="shared" si="289"/>
        <v>0</v>
      </c>
    </row>
    <row r="711" spans="1:10" ht="38.25" x14ac:dyDescent="0.2">
      <c r="A711" s="148"/>
      <c r="B711" s="25"/>
      <c r="C711" s="16" t="s">
        <v>106</v>
      </c>
      <c r="D711" s="16" t="s">
        <v>106</v>
      </c>
      <c r="E711" s="79">
        <v>1030323090</v>
      </c>
      <c r="F711" s="124"/>
      <c r="G711" s="101" t="s">
        <v>747</v>
      </c>
      <c r="H711" s="110">
        <f>H712</f>
        <v>34.1</v>
      </c>
      <c r="I711" s="110">
        <f t="shared" si="289"/>
        <v>0</v>
      </c>
      <c r="J711" s="110">
        <f t="shared" si="289"/>
        <v>0</v>
      </c>
    </row>
    <row r="712" spans="1:10" ht="38.25" x14ac:dyDescent="0.2">
      <c r="A712" s="148"/>
      <c r="B712" s="25"/>
      <c r="C712" s="16" t="s">
        <v>106</v>
      </c>
      <c r="D712" s="16" t="s">
        <v>106</v>
      </c>
      <c r="E712" s="79">
        <v>1030323090</v>
      </c>
      <c r="F712" s="112" t="s">
        <v>214</v>
      </c>
      <c r="G712" s="101" t="s">
        <v>215</v>
      </c>
      <c r="H712" s="110">
        <f>10+24.1</f>
        <v>34.1</v>
      </c>
      <c r="I712" s="110">
        <v>0</v>
      </c>
      <c r="J712" s="110">
        <v>0</v>
      </c>
    </row>
    <row r="713" spans="1:10" ht="25.5" x14ac:dyDescent="0.2">
      <c r="A713" s="148"/>
      <c r="B713" s="25"/>
      <c r="C713" s="16" t="s">
        <v>106</v>
      </c>
      <c r="D713" s="16" t="s">
        <v>106</v>
      </c>
      <c r="E713" s="84" t="s">
        <v>26</v>
      </c>
      <c r="F713" s="84"/>
      <c r="G713" s="103" t="s">
        <v>40</v>
      </c>
      <c r="H713" s="41">
        <f>H714</f>
        <v>50</v>
      </c>
      <c r="I713" s="41">
        <f t="shared" ref="I713:J713" si="290">I714</f>
        <v>0</v>
      </c>
      <c r="J713" s="41">
        <f t="shared" si="290"/>
        <v>0</v>
      </c>
    </row>
    <row r="714" spans="1:10" ht="43.5" customHeight="1" x14ac:dyDescent="0.2">
      <c r="A714" s="148"/>
      <c r="B714" s="25"/>
      <c r="C714" s="16" t="s">
        <v>106</v>
      </c>
      <c r="D714" s="16" t="s">
        <v>106</v>
      </c>
      <c r="E714" s="84" t="s">
        <v>629</v>
      </c>
      <c r="F714" s="16"/>
      <c r="G714" s="54" t="s">
        <v>627</v>
      </c>
      <c r="H714" s="41">
        <f>SUM(H715:H715)</f>
        <v>50</v>
      </c>
      <c r="I714" s="41">
        <f>SUM(I715:I715)</f>
        <v>0</v>
      </c>
      <c r="J714" s="41">
        <f>SUM(J715:J715)</f>
        <v>0</v>
      </c>
    </row>
    <row r="715" spans="1:10" x14ac:dyDescent="0.2">
      <c r="A715" s="148"/>
      <c r="B715" s="25"/>
      <c r="C715" s="16" t="s">
        <v>106</v>
      </c>
      <c r="D715" s="16" t="s">
        <v>106</v>
      </c>
      <c r="E715" s="84" t="s">
        <v>629</v>
      </c>
      <c r="F715" s="84" t="s">
        <v>228</v>
      </c>
      <c r="G715" s="101" t="s">
        <v>227</v>
      </c>
      <c r="H715" s="39">
        <v>50</v>
      </c>
      <c r="I715" s="39">
        <v>0</v>
      </c>
      <c r="J715" s="39">
        <v>0</v>
      </c>
    </row>
    <row r="716" spans="1:10" ht="15.75" x14ac:dyDescent="0.25">
      <c r="A716" s="3"/>
      <c r="B716" s="94"/>
      <c r="C716" s="4" t="s">
        <v>103</v>
      </c>
      <c r="D716" s="3"/>
      <c r="E716" s="3"/>
      <c r="F716" s="3"/>
      <c r="G716" s="49" t="s">
        <v>21</v>
      </c>
      <c r="H716" s="95">
        <f>H717+H759</f>
        <v>157995.00000000003</v>
      </c>
      <c r="I716" s="95">
        <f>I717+I759</f>
        <v>57455.200000000004</v>
      </c>
      <c r="J716" s="95">
        <f>J717+J759</f>
        <v>58382.8</v>
      </c>
    </row>
    <row r="717" spans="1:10" s="37" customFormat="1" ht="14.25" x14ac:dyDescent="0.2">
      <c r="A717" s="27"/>
      <c r="B717" s="70"/>
      <c r="C717" s="35" t="s">
        <v>103</v>
      </c>
      <c r="D717" s="35" t="s">
        <v>90</v>
      </c>
      <c r="E717" s="35"/>
      <c r="F717" s="35"/>
      <c r="G717" s="45" t="s">
        <v>108</v>
      </c>
      <c r="H717" s="42">
        <f>H718+H747+H754</f>
        <v>154644.40000000002</v>
      </c>
      <c r="I717" s="42">
        <f>I718+I754</f>
        <v>54304.800000000003</v>
      </c>
      <c r="J717" s="42">
        <f>J718+J754</f>
        <v>55232.4</v>
      </c>
    </row>
    <row r="718" spans="1:10" s="37" customFormat="1" ht="79.5" customHeight="1" x14ac:dyDescent="0.25">
      <c r="A718" s="27"/>
      <c r="B718" s="70"/>
      <c r="C718" s="16" t="s">
        <v>103</v>
      </c>
      <c r="D718" s="16" t="s">
        <v>90</v>
      </c>
      <c r="E718" s="73" t="s">
        <v>61</v>
      </c>
      <c r="F718" s="35"/>
      <c r="G718" s="53" t="s">
        <v>636</v>
      </c>
      <c r="H718" s="65">
        <f t="shared" ref="H718:J718" si="291">H719</f>
        <v>78556.400000000009</v>
      </c>
      <c r="I718" s="65">
        <f t="shared" si="291"/>
        <v>54304.800000000003</v>
      </c>
      <c r="J718" s="65">
        <f t="shared" si="291"/>
        <v>55232.4</v>
      </c>
    </row>
    <row r="719" spans="1:10" s="37" customFormat="1" ht="25.5" x14ac:dyDescent="0.2">
      <c r="A719" s="27"/>
      <c r="B719" s="70"/>
      <c r="C719" s="16" t="s">
        <v>103</v>
      </c>
      <c r="D719" s="16" t="s">
        <v>90</v>
      </c>
      <c r="E719" s="21" t="s">
        <v>62</v>
      </c>
      <c r="F719" s="35"/>
      <c r="G719" s="48" t="s">
        <v>174</v>
      </c>
      <c r="H719" s="58">
        <f>H720+H732+H741+H744</f>
        <v>78556.400000000009</v>
      </c>
      <c r="I719" s="58">
        <f t="shared" ref="I719:J719" si="292">I720+I732+I741+I744</f>
        <v>54304.800000000003</v>
      </c>
      <c r="J719" s="58">
        <f t="shared" si="292"/>
        <v>55232.4</v>
      </c>
    </row>
    <row r="720" spans="1:10" s="37" customFormat="1" ht="38.25" x14ac:dyDescent="0.2">
      <c r="A720" s="27"/>
      <c r="B720" s="70"/>
      <c r="C720" s="16" t="s">
        <v>103</v>
      </c>
      <c r="D720" s="16" t="s">
        <v>90</v>
      </c>
      <c r="E720" s="21" t="s">
        <v>211</v>
      </c>
      <c r="F720" s="35"/>
      <c r="G720" s="105" t="s">
        <v>216</v>
      </c>
      <c r="H720" s="97">
        <f>H721+H724+H726+H729</f>
        <v>59948.500000000007</v>
      </c>
      <c r="I720" s="97">
        <f t="shared" ref="I720:J720" si="293">I721+I724+I726+I729</f>
        <v>54268.800000000003</v>
      </c>
      <c r="J720" s="97">
        <f t="shared" si="293"/>
        <v>55196.4</v>
      </c>
    </row>
    <row r="721" spans="1:13" ht="25.5" x14ac:dyDescent="0.2">
      <c r="A721" s="1"/>
      <c r="B721" s="25"/>
      <c r="C721" s="16" t="s">
        <v>103</v>
      </c>
      <c r="D721" s="16" t="s">
        <v>90</v>
      </c>
      <c r="E721" s="74">
        <v>210122900</v>
      </c>
      <c r="F721" s="16"/>
      <c r="G721" s="181" t="s">
        <v>173</v>
      </c>
      <c r="H721" s="39">
        <f>H722+H723</f>
        <v>10300.900000000001</v>
      </c>
      <c r="I721" s="39">
        <f>I722+I723</f>
        <v>10073.6</v>
      </c>
      <c r="J721" s="39">
        <f>J722+J723</f>
        <v>10310.799999999999</v>
      </c>
    </row>
    <row r="722" spans="1:13" ht="25.5" x14ac:dyDescent="0.2">
      <c r="A722" s="1"/>
      <c r="B722" s="25"/>
      <c r="C722" s="16" t="s">
        <v>103</v>
      </c>
      <c r="D722" s="16" t="s">
        <v>90</v>
      </c>
      <c r="E722" s="74">
        <v>210122900</v>
      </c>
      <c r="F722" s="84" t="s">
        <v>66</v>
      </c>
      <c r="G722" s="55" t="s">
        <v>132</v>
      </c>
      <c r="H722" s="39">
        <v>5635.6</v>
      </c>
      <c r="I722" s="39">
        <v>5635.6</v>
      </c>
      <c r="J722" s="39">
        <v>5635.6</v>
      </c>
    </row>
    <row r="723" spans="1:13" ht="38.25" x14ac:dyDescent="0.2">
      <c r="A723" s="1"/>
      <c r="B723" s="25"/>
      <c r="C723" s="16" t="s">
        <v>103</v>
      </c>
      <c r="D723" s="16" t="s">
        <v>90</v>
      </c>
      <c r="E723" s="74">
        <v>210122900</v>
      </c>
      <c r="F723" s="84" t="s">
        <v>214</v>
      </c>
      <c r="G723" s="101" t="s">
        <v>215</v>
      </c>
      <c r="H723" s="39">
        <f>4888.4+14.8-301.9+64</f>
        <v>4665.3</v>
      </c>
      <c r="I723" s="39">
        <v>4438</v>
      </c>
      <c r="J723" s="39">
        <v>4675.2</v>
      </c>
    </row>
    <row r="724" spans="1:13" ht="51" x14ac:dyDescent="0.2">
      <c r="A724" s="1"/>
      <c r="B724" s="25"/>
      <c r="C724" s="16" t="s">
        <v>103</v>
      </c>
      <c r="D724" s="16" t="s">
        <v>90</v>
      </c>
      <c r="E724" s="74">
        <v>210121100</v>
      </c>
      <c r="F724" s="16"/>
      <c r="G724" s="181" t="s">
        <v>175</v>
      </c>
      <c r="H724" s="39">
        <f>H725</f>
        <v>26410.7</v>
      </c>
      <c r="I724" s="39">
        <f>I725</f>
        <v>25794.799999999999</v>
      </c>
      <c r="J724" s="39">
        <f>J725</f>
        <v>26485.200000000001</v>
      </c>
    </row>
    <row r="725" spans="1:13" x14ac:dyDescent="0.2">
      <c r="A725" s="1"/>
      <c r="B725" s="25"/>
      <c r="C725" s="16" t="s">
        <v>103</v>
      </c>
      <c r="D725" s="16" t="s">
        <v>90</v>
      </c>
      <c r="E725" s="74">
        <v>210121100</v>
      </c>
      <c r="F725" s="21" t="s">
        <v>228</v>
      </c>
      <c r="G725" s="101" t="s">
        <v>227</v>
      </c>
      <c r="H725" s="39">
        <f>26548.3+236.7-102-240-32.3</f>
        <v>26410.7</v>
      </c>
      <c r="I725" s="148">
        <v>25794.799999999999</v>
      </c>
      <c r="J725" s="148">
        <v>26485.200000000001</v>
      </c>
    </row>
    <row r="726" spans="1:13" ht="36.75" customHeight="1" x14ac:dyDescent="0.2">
      <c r="A726" s="1"/>
      <c r="B726" s="25"/>
      <c r="C726" s="16" t="s">
        <v>103</v>
      </c>
      <c r="D726" s="16" t="s">
        <v>90</v>
      </c>
      <c r="E726" s="74" t="s">
        <v>467</v>
      </c>
      <c r="F726" s="84"/>
      <c r="G726" s="101" t="s">
        <v>324</v>
      </c>
      <c r="H726" s="39">
        <f>SUM(H727:H728)</f>
        <v>232.3</v>
      </c>
      <c r="I726" s="39">
        <f>SUM(I727:I728)</f>
        <v>200</v>
      </c>
      <c r="J726" s="39">
        <f>SUM(J727:J728)</f>
        <v>200</v>
      </c>
      <c r="M726" s="107"/>
    </row>
    <row r="727" spans="1:13" ht="25.5" x14ac:dyDescent="0.2">
      <c r="A727" s="1"/>
      <c r="B727" s="25"/>
      <c r="C727" s="16" t="s">
        <v>103</v>
      </c>
      <c r="D727" s="16" t="s">
        <v>90</v>
      </c>
      <c r="E727" s="74" t="s">
        <v>467</v>
      </c>
      <c r="F727" s="84" t="s">
        <v>66</v>
      </c>
      <c r="G727" s="55" t="s">
        <v>132</v>
      </c>
      <c r="H727" s="163">
        <v>50</v>
      </c>
      <c r="I727" s="163">
        <v>50</v>
      </c>
      <c r="J727" s="163">
        <v>50</v>
      </c>
    </row>
    <row r="728" spans="1:13" x14ac:dyDescent="0.2">
      <c r="A728" s="1"/>
      <c r="B728" s="25"/>
      <c r="C728" s="16" t="s">
        <v>103</v>
      </c>
      <c r="D728" s="16" t="s">
        <v>90</v>
      </c>
      <c r="E728" s="74" t="s">
        <v>467</v>
      </c>
      <c r="F728" s="21" t="s">
        <v>228</v>
      </c>
      <c r="G728" s="101" t="s">
        <v>227</v>
      </c>
      <c r="H728" s="39">
        <f>150+32.3</f>
        <v>182.3</v>
      </c>
      <c r="I728" s="39">
        <v>150</v>
      </c>
      <c r="J728" s="39">
        <v>150</v>
      </c>
    </row>
    <row r="729" spans="1:13" ht="51" x14ac:dyDescent="0.2">
      <c r="A729" s="148"/>
      <c r="B729" s="25"/>
      <c r="C729" s="16" t="s">
        <v>103</v>
      </c>
      <c r="D729" s="16" t="s">
        <v>90</v>
      </c>
      <c r="E729" s="74">
        <v>210110680</v>
      </c>
      <c r="F729" s="84"/>
      <c r="G729" s="101" t="s">
        <v>364</v>
      </c>
      <c r="H729" s="39">
        <f>SUM(H730:H731)</f>
        <v>23004.6</v>
      </c>
      <c r="I729" s="39">
        <f t="shared" ref="I729:J729" si="294">SUM(I730:I731)</f>
        <v>18200.400000000001</v>
      </c>
      <c r="J729" s="39">
        <f t="shared" si="294"/>
        <v>18200.400000000001</v>
      </c>
    </row>
    <row r="730" spans="1:13" ht="25.5" x14ac:dyDescent="0.2">
      <c r="A730" s="148"/>
      <c r="B730" s="25"/>
      <c r="C730" s="16" t="s">
        <v>103</v>
      </c>
      <c r="D730" s="16" t="s">
        <v>90</v>
      </c>
      <c r="E730" s="74">
        <v>210110680</v>
      </c>
      <c r="F730" s="84" t="s">
        <v>66</v>
      </c>
      <c r="G730" s="55" t="s">
        <v>132</v>
      </c>
      <c r="H730" s="163">
        <f>5432+1219.9</f>
        <v>6651.9</v>
      </c>
      <c r="I730" s="163">
        <v>5432</v>
      </c>
      <c r="J730" s="163">
        <v>5432</v>
      </c>
    </row>
    <row r="731" spans="1:13" x14ac:dyDescent="0.2">
      <c r="A731" s="148"/>
      <c r="B731" s="25"/>
      <c r="C731" s="16" t="s">
        <v>103</v>
      </c>
      <c r="D731" s="16" t="s">
        <v>90</v>
      </c>
      <c r="E731" s="74">
        <v>210110680</v>
      </c>
      <c r="F731" s="21" t="s">
        <v>228</v>
      </c>
      <c r="G731" s="101" t="s">
        <v>227</v>
      </c>
      <c r="H731" s="39">
        <f>12768.4+3584.3</f>
        <v>16352.7</v>
      </c>
      <c r="I731" s="39">
        <v>12768.4</v>
      </c>
      <c r="J731" s="39">
        <v>12768.4</v>
      </c>
    </row>
    <row r="732" spans="1:13" ht="51" x14ac:dyDescent="0.2">
      <c r="A732" s="1"/>
      <c r="B732" s="25"/>
      <c r="C732" s="16" t="s">
        <v>103</v>
      </c>
      <c r="D732" s="16" t="s">
        <v>90</v>
      </c>
      <c r="E732" s="21" t="s">
        <v>260</v>
      </c>
      <c r="F732" s="35"/>
      <c r="G732" s="101" t="s">
        <v>259</v>
      </c>
      <c r="H732" s="41">
        <f>H733+H735+H737+H739</f>
        <v>8540.2999999999993</v>
      </c>
      <c r="I732" s="41">
        <f t="shared" ref="I732:J732" si="295">I733+I735+I737+I739</f>
        <v>35</v>
      </c>
      <c r="J732" s="41">
        <f t="shared" si="295"/>
        <v>35</v>
      </c>
    </row>
    <row r="733" spans="1:13" ht="51" x14ac:dyDescent="0.2">
      <c r="A733" s="148"/>
      <c r="B733" s="25"/>
      <c r="C733" s="16" t="s">
        <v>103</v>
      </c>
      <c r="D733" s="16" t="s">
        <v>90</v>
      </c>
      <c r="E733" s="154" t="s">
        <v>470</v>
      </c>
      <c r="F733" s="84"/>
      <c r="G733" s="160" t="s">
        <v>382</v>
      </c>
      <c r="H733" s="39">
        <f>H734</f>
        <v>187.3</v>
      </c>
      <c r="I733" s="39">
        <f>I734</f>
        <v>35</v>
      </c>
      <c r="J733" s="39">
        <f>J734</f>
        <v>35</v>
      </c>
    </row>
    <row r="734" spans="1:13" x14ac:dyDescent="0.2">
      <c r="A734" s="148"/>
      <c r="B734" s="25"/>
      <c r="C734" s="16" t="s">
        <v>103</v>
      </c>
      <c r="D734" s="16" t="s">
        <v>90</v>
      </c>
      <c r="E734" s="154" t="s">
        <v>470</v>
      </c>
      <c r="F734" s="21" t="s">
        <v>228</v>
      </c>
      <c r="G734" s="101" t="s">
        <v>227</v>
      </c>
      <c r="H734" s="39">
        <f>35+180.3-28</f>
        <v>187.3</v>
      </c>
      <c r="I734" s="39">
        <v>35</v>
      </c>
      <c r="J734" s="39">
        <v>35</v>
      </c>
    </row>
    <row r="735" spans="1:13" ht="38.25" x14ac:dyDescent="0.2">
      <c r="A735" s="1"/>
      <c r="B735" s="25"/>
      <c r="C735" s="16" t="s">
        <v>103</v>
      </c>
      <c r="D735" s="16" t="s">
        <v>90</v>
      </c>
      <c r="E735" s="165" t="s">
        <v>472</v>
      </c>
      <c r="F735" s="21"/>
      <c r="G735" s="101" t="s">
        <v>471</v>
      </c>
      <c r="H735" s="39">
        <f>H736</f>
        <v>953</v>
      </c>
      <c r="I735" s="39">
        <f>I736</f>
        <v>0</v>
      </c>
      <c r="J735" s="39">
        <f>J736</f>
        <v>0</v>
      </c>
    </row>
    <row r="736" spans="1:13" x14ac:dyDescent="0.2">
      <c r="A736" s="1"/>
      <c r="B736" s="25"/>
      <c r="C736" s="16" t="s">
        <v>103</v>
      </c>
      <c r="D736" s="16" t="s">
        <v>90</v>
      </c>
      <c r="E736" s="165" t="s">
        <v>472</v>
      </c>
      <c r="F736" s="21" t="s">
        <v>228</v>
      </c>
      <c r="G736" s="101" t="s">
        <v>227</v>
      </c>
      <c r="H736" s="39">
        <f>223+800-70</f>
        <v>953</v>
      </c>
      <c r="I736" s="39">
        <v>0</v>
      </c>
      <c r="J736" s="39">
        <v>0</v>
      </c>
    </row>
    <row r="737" spans="1:10" ht="51" x14ac:dyDescent="0.2">
      <c r="A737" s="148"/>
      <c r="B737" s="25"/>
      <c r="C737" s="16" t="s">
        <v>103</v>
      </c>
      <c r="D737" s="16" t="s">
        <v>90</v>
      </c>
      <c r="E737" s="165" t="s">
        <v>762</v>
      </c>
      <c r="F737" s="21"/>
      <c r="G737" s="101" t="s">
        <v>763</v>
      </c>
      <c r="H737" s="39">
        <f>H738</f>
        <v>740</v>
      </c>
      <c r="I737" s="39">
        <f t="shared" ref="I737:J737" si="296">I738</f>
        <v>0</v>
      </c>
      <c r="J737" s="39">
        <f t="shared" si="296"/>
        <v>0</v>
      </c>
    </row>
    <row r="738" spans="1:10" x14ac:dyDescent="0.2">
      <c r="A738" s="148"/>
      <c r="B738" s="25"/>
      <c r="C738" s="16" t="s">
        <v>103</v>
      </c>
      <c r="D738" s="16" t="s">
        <v>90</v>
      </c>
      <c r="E738" s="165" t="s">
        <v>762</v>
      </c>
      <c r="F738" s="21" t="s">
        <v>228</v>
      </c>
      <c r="G738" s="101" t="s">
        <v>227</v>
      </c>
      <c r="H738" s="39">
        <v>740</v>
      </c>
      <c r="I738" s="39">
        <v>0</v>
      </c>
      <c r="J738" s="39">
        <v>0</v>
      </c>
    </row>
    <row r="739" spans="1:10" ht="51" x14ac:dyDescent="0.2">
      <c r="A739" s="148"/>
      <c r="B739" s="25"/>
      <c r="C739" s="16" t="s">
        <v>103</v>
      </c>
      <c r="D739" s="16" t="s">
        <v>90</v>
      </c>
      <c r="E739" s="165" t="s">
        <v>817</v>
      </c>
      <c r="F739" s="21"/>
      <c r="G739" s="101" t="s">
        <v>763</v>
      </c>
      <c r="H739" s="39">
        <f>H740</f>
        <v>6660</v>
      </c>
      <c r="I739" s="39">
        <f t="shared" ref="I739:J739" si="297">I740</f>
        <v>0</v>
      </c>
      <c r="J739" s="39">
        <f t="shared" si="297"/>
        <v>0</v>
      </c>
    </row>
    <row r="740" spans="1:10" x14ac:dyDescent="0.2">
      <c r="A740" s="148"/>
      <c r="B740" s="25"/>
      <c r="C740" s="16" t="s">
        <v>103</v>
      </c>
      <c r="D740" s="16" t="s">
        <v>90</v>
      </c>
      <c r="E740" s="165" t="s">
        <v>817</v>
      </c>
      <c r="F740" s="21" t="s">
        <v>228</v>
      </c>
      <c r="G740" s="101" t="s">
        <v>227</v>
      </c>
      <c r="H740" s="39">
        <v>6660</v>
      </c>
      <c r="I740" s="39">
        <v>0</v>
      </c>
      <c r="J740" s="39">
        <v>0</v>
      </c>
    </row>
    <row r="741" spans="1:10" ht="38.25" x14ac:dyDescent="0.2">
      <c r="A741" s="148"/>
      <c r="B741" s="25"/>
      <c r="C741" s="16" t="s">
        <v>103</v>
      </c>
      <c r="D741" s="16" t="s">
        <v>90</v>
      </c>
      <c r="E741" s="165" t="s">
        <v>654</v>
      </c>
      <c r="F741" s="21"/>
      <c r="G741" s="101" t="s">
        <v>655</v>
      </c>
      <c r="H741" s="39">
        <f>H742</f>
        <v>10000</v>
      </c>
      <c r="I741" s="39">
        <f t="shared" ref="I741:J741" si="298">I742</f>
        <v>0</v>
      </c>
      <c r="J741" s="39">
        <f t="shared" si="298"/>
        <v>0</v>
      </c>
    </row>
    <row r="742" spans="1:10" ht="25.5" x14ac:dyDescent="0.2">
      <c r="A742" s="148"/>
      <c r="B742" s="25"/>
      <c r="C742" s="16" t="s">
        <v>103</v>
      </c>
      <c r="D742" s="16" t="s">
        <v>90</v>
      </c>
      <c r="E742" s="165" t="s">
        <v>656</v>
      </c>
      <c r="F742" s="21"/>
      <c r="G742" s="101" t="s">
        <v>657</v>
      </c>
      <c r="H742" s="39">
        <f>H743</f>
        <v>10000</v>
      </c>
      <c r="I742" s="39">
        <f t="shared" ref="I742:J742" si="299">I743</f>
        <v>0</v>
      </c>
      <c r="J742" s="39">
        <f t="shared" si="299"/>
        <v>0</v>
      </c>
    </row>
    <row r="743" spans="1:10" ht="38.25" x14ac:dyDescent="0.2">
      <c r="A743" s="148"/>
      <c r="B743" s="25"/>
      <c r="C743" s="16" t="s">
        <v>103</v>
      </c>
      <c r="D743" s="16" t="s">
        <v>90</v>
      </c>
      <c r="E743" s="165" t="s">
        <v>656</v>
      </c>
      <c r="F743" s="84" t="s">
        <v>214</v>
      </c>
      <c r="G743" s="101" t="s">
        <v>215</v>
      </c>
      <c r="H743" s="39">
        <v>10000</v>
      </c>
      <c r="I743" s="39">
        <v>0</v>
      </c>
      <c r="J743" s="39">
        <v>0</v>
      </c>
    </row>
    <row r="744" spans="1:10" ht="38.25" x14ac:dyDescent="0.2">
      <c r="A744" s="148"/>
      <c r="B744" s="25"/>
      <c r="C744" s="16" t="s">
        <v>103</v>
      </c>
      <c r="D744" s="16" t="s">
        <v>90</v>
      </c>
      <c r="E744" s="165" t="s">
        <v>477</v>
      </c>
      <c r="F744" s="21"/>
      <c r="G744" s="101" t="s">
        <v>478</v>
      </c>
      <c r="H744" s="39">
        <f>H745</f>
        <v>67.599999999999994</v>
      </c>
      <c r="I744" s="39">
        <f t="shared" ref="I744:J744" si="300">I745</f>
        <v>1</v>
      </c>
      <c r="J744" s="39">
        <f t="shared" si="300"/>
        <v>1</v>
      </c>
    </row>
    <row r="745" spans="1:10" ht="63.75" x14ac:dyDescent="0.2">
      <c r="A745" s="148"/>
      <c r="B745" s="25"/>
      <c r="C745" s="16" t="s">
        <v>103</v>
      </c>
      <c r="D745" s="16" t="s">
        <v>90</v>
      </c>
      <c r="E745" s="165" t="s">
        <v>480</v>
      </c>
      <c r="F745" s="21"/>
      <c r="G745" s="101" t="s">
        <v>479</v>
      </c>
      <c r="H745" s="39">
        <f>H746</f>
        <v>67.599999999999994</v>
      </c>
      <c r="I745" s="39">
        <f>I746</f>
        <v>1</v>
      </c>
      <c r="J745" s="39">
        <f>J746</f>
        <v>1</v>
      </c>
    </row>
    <row r="746" spans="1:10" x14ac:dyDescent="0.2">
      <c r="A746" s="148"/>
      <c r="B746" s="25"/>
      <c r="C746" s="16" t="s">
        <v>103</v>
      </c>
      <c r="D746" s="16" t="s">
        <v>90</v>
      </c>
      <c r="E746" s="165" t="s">
        <v>480</v>
      </c>
      <c r="F746" s="21" t="s">
        <v>228</v>
      </c>
      <c r="G746" s="101" t="s">
        <v>227</v>
      </c>
      <c r="H746" s="39">
        <f>1+66.6</f>
        <v>67.599999999999994</v>
      </c>
      <c r="I746" s="39">
        <v>1</v>
      </c>
      <c r="J746" s="39">
        <v>1</v>
      </c>
    </row>
    <row r="747" spans="1:10" ht="89.25" x14ac:dyDescent="0.2">
      <c r="A747" s="148"/>
      <c r="B747" s="25"/>
      <c r="C747" s="5" t="s">
        <v>103</v>
      </c>
      <c r="D747" s="5" t="s">
        <v>90</v>
      </c>
      <c r="E747" s="76">
        <v>1400000000</v>
      </c>
      <c r="F747" s="16"/>
      <c r="G747" s="185" t="s">
        <v>650</v>
      </c>
      <c r="H747" s="99">
        <f>H748</f>
        <v>75913</v>
      </c>
      <c r="I747" s="99">
        <f t="shared" ref="I747:J748" si="301">I748</f>
        <v>0</v>
      </c>
      <c r="J747" s="99">
        <f t="shared" si="301"/>
        <v>0</v>
      </c>
    </row>
    <row r="748" spans="1:10" ht="75" customHeight="1" x14ac:dyDescent="0.2">
      <c r="A748" s="148"/>
      <c r="B748" s="25"/>
      <c r="C748" s="47" t="s">
        <v>103</v>
      </c>
      <c r="D748" s="47" t="s">
        <v>90</v>
      </c>
      <c r="E748" s="75">
        <v>1410000000</v>
      </c>
      <c r="F748" s="16"/>
      <c r="G748" s="48" t="s">
        <v>219</v>
      </c>
      <c r="H748" s="96">
        <f>H749</f>
        <v>75913</v>
      </c>
      <c r="I748" s="96">
        <f t="shared" si="301"/>
        <v>0</v>
      </c>
      <c r="J748" s="96">
        <f t="shared" si="301"/>
        <v>0</v>
      </c>
    </row>
    <row r="749" spans="1:10" ht="54.75" customHeight="1" x14ac:dyDescent="0.2">
      <c r="A749" s="148"/>
      <c r="B749" s="25"/>
      <c r="C749" s="16" t="s">
        <v>103</v>
      </c>
      <c r="D749" s="16" t="s">
        <v>90</v>
      </c>
      <c r="E749" s="74" t="s">
        <v>398</v>
      </c>
      <c r="F749" s="84"/>
      <c r="G749" s="101" t="s">
        <v>399</v>
      </c>
      <c r="H749" s="41">
        <f>H750+H752</f>
        <v>75913</v>
      </c>
      <c r="I749" s="41">
        <f t="shared" ref="I749:J749" si="302">I750+I752</f>
        <v>0</v>
      </c>
      <c r="J749" s="41">
        <f t="shared" si="302"/>
        <v>0</v>
      </c>
    </row>
    <row r="750" spans="1:10" ht="63.75" x14ac:dyDescent="0.2">
      <c r="A750" s="148"/>
      <c r="B750" s="25"/>
      <c r="C750" s="16" t="s">
        <v>103</v>
      </c>
      <c r="D750" s="16" t="s">
        <v>90</v>
      </c>
      <c r="E750" s="159" t="s">
        <v>366</v>
      </c>
      <c r="F750" s="16"/>
      <c r="G750" s="101" t="s">
        <v>367</v>
      </c>
      <c r="H750" s="41">
        <f>H751</f>
        <v>61913</v>
      </c>
      <c r="I750" s="41">
        <f>I751</f>
        <v>0</v>
      </c>
      <c r="J750" s="41">
        <f>J751</f>
        <v>0</v>
      </c>
    </row>
    <row r="751" spans="1:10" ht="38.25" x14ac:dyDescent="0.2">
      <c r="A751" s="148"/>
      <c r="B751" s="25"/>
      <c r="C751" s="16" t="s">
        <v>103</v>
      </c>
      <c r="D751" s="16" t="s">
        <v>90</v>
      </c>
      <c r="E751" s="159" t="s">
        <v>366</v>
      </c>
      <c r="F751" s="84" t="s">
        <v>214</v>
      </c>
      <c r="G751" s="101" t="s">
        <v>215</v>
      </c>
      <c r="H751" s="41">
        <v>61913</v>
      </c>
      <c r="I751" s="41">
        <v>0</v>
      </c>
      <c r="J751" s="41">
        <v>0</v>
      </c>
    </row>
    <row r="752" spans="1:10" ht="82.5" customHeight="1" x14ac:dyDescent="0.2">
      <c r="A752" s="148"/>
      <c r="B752" s="25"/>
      <c r="C752" s="16" t="s">
        <v>103</v>
      </c>
      <c r="D752" s="16" t="s">
        <v>90</v>
      </c>
      <c r="E752" s="159" t="s">
        <v>754</v>
      </c>
      <c r="F752" s="84"/>
      <c r="G752" s="101" t="s">
        <v>756</v>
      </c>
      <c r="H752" s="41">
        <f>H753</f>
        <v>14000</v>
      </c>
      <c r="I752" s="41">
        <f t="shared" ref="I752:J752" si="303">I753</f>
        <v>0</v>
      </c>
      <c r="J752" s="41">
        <f t="shared" si="303"/>
        <v>0</v>
      </c>
    </row>
    <row r="753" spans="1:10" ht="38.25" x14ac:dyDescent="0.2">
      <c r="A753" s="148"/>
      <c r="B753" s="25"/>
      <c r="C753" s="16" t="s">
        <v>103</v>
      </c>
      <c r="D753" s="16" t="s">
        <v>90</v>
      </c>
      <c r="E753" s="159" t="s">
        <v>754</v>
      </c>
      <c r="F753" s="84" t="s">
        <v>214</v>
      </c>
      <c r="G753" s="101" t="s">
        <v>215</v>
      </c>
      <c r="H753" s="41">
        <v>14000</v>
      </c>
      <c r="I753" s="41">
        <v>0</v>
      </c>
      <c r="J753" s="41">
        <v>0</v>
      </c>
    </row>
    <row r="754" spans="1:10" ht="25.5" x14ac:dyDescent="0.2">
      <c r="A754" s="148"/>
      <c r="B754" s="25"/>
      <c r="C754" s="16" t="s">
        <v>103</v>
      </c>
      <c r="D754" s="16" t="s">
        <v>90</v>
      </c>
      <c r="E754" s="84" t="s">
        <v>26</v>
      </c>
      <c r="F754" s="84"/>
      <c r="G754" s="103" t="s">
        <v>40</v>
      </c>
      <c r="H754" s="41">
        <f>H755+H757</f>
        <v>175</v>
      </c>
      <c r="I754" s="41">
        <f t="shared" ref="I754:J754" si="304">I755+I757</f>
        <v>0</v>
      </c>
      <c r="J754" s="41">
        <f t="shared" si="304"/>
        <v>0</v>
      </c>
    </row>
    <row r="755" spans="1:10" ht="37.5" customHeight="1" x14ac:dyDescent="0.2">
      <c r="A755" s="148"/>
      <c r="B755" s="25"/>
      <c r="C755" s="16" t="s">
        <v>103</v>
      </c>
      <c r="D755" s="16" t="s">
        <v>90</v>
      </c>
      <c r="E755" s="84" t="s">
        <v>629</v>
      </c>
      <c r="F755" s="16"/>
      <c r="G755" s="54" t="s">
        <v>634</v>
      </c>
      <c r="H755" s="41">
        <f>SUM(H756:H756)</f>
        <v>75</v>
      </c>
      <c r="I755" s="41">
        <f>SUM(I756:I756)</f>
        <v>0</v>
      </c>
      <c r="J755" s="41">
        <f>SUM(J756:J756)</f>
        <v>0</v>
      </c>
    </row>
    <row r="756" spans="1:10" x14ac:dyDescent="0.2">
      <c r="A756" s="148"/>
      <c r="B756" s="25"/>
      <c r="C756" s="16" t="s">
        <v>103</v>
      </c>
      <c r="D756" s="16" t="s">
        <v>90</v>
      </c>
      <c r="E756" s="84" t="s">
        <v>629</v>
      </c>
      <c r="F756" s="21" t="s">
        <v>228</v>
      </c>
      <c r="G756" s="101" t="s">
        <v>227</v>
      </c>
      <c r="H756" s="39">
        <v>75</v>
      </c>
      <c r="I756" s="39">
        <v>0</v>
      </c>
      <c r="J756" s="39">
        <v>0</v>
      </c>
    </row>
    <row r="757" spans="1:10" ht="42" customHeight="1" x14ac:dyDescent="0.2">
      <c r="A757" s="148"/>
      <c r="B757" s="25"/>
      <c r="C757" s="16" t="s">
        <v>103</v>
      </c>
      <c r="D757" s="16" t="s">
        <v>90</v>
      </c>
      <c r="E757" s="84" t="s">
        <v>628</v>
      </c>
      <c r="F757" s="21"/>
      <c r="G757" s="54" t="s">
        <v>627</v>
      </c>
      <c r="H757" s="39">
        <f>H758</f>
        <v>100</v>
      </c>
      <c r="I757" s="39">
        <f t="shared" ref="I757:J757" si="305">I758</f>
        <v>0</v>
      </c>
      <c r="J757" s="39">
        <f t="shared" si="305"/>
        <v>0</v>
      </c>
    </row>
    <row r="758" spans="1:10" ht="38.25" x14ac:dyDescent="0.2">
      <c r="A758" s="148"/>
      <c r="B758" s="25"/>
      <c r="C758" s="16" t="s">
        <v>103</v>
      </c>
      <c r="D758" s="16" t="s">
        <v>90</v>
      </c>
      <c r="E758" s="84" t="s">
        <v>628</v>
      </c>
      <c r="F758" s="84" t="s">
        <v>214</v>
      </c>
      <c r="G758" s="101" t="s">
        <v>215</v>
      </c>
      <c r="H758" s="39">
        <v>100</v>
      </c>
      <c r="I758" s="39">
        <v>0</v>
      </c>
      <c r="J758" s="39">
        <v>0</v>
      </c>
    </row>
    <row r="759" spans="1:10" s="37" customFormat="1" ht="25.5" x14ac:dyDescent="0.2">
      <c r="A759" s="27"/>
      <c r="B759" s="70"/>
      <c r="C759" s="35" t="s">
        <v>103</v>
      </c>
      <c r="D759" s="35" t="s">
        <v>96</v>
      </c>
      <c r="E759" s="35"/>
      <c r="F759" s="35"/>
      <c r="G759" s="46" t="s">
        <v>7</v>
      </c>
      <c r="H759" s="42">
        <f>H760</f>
        <v>3350.6000000000004</v>
      </c>
      <c r="I759" s="42">
        <f t="shared" ref="I759:J759" si="306">I760</f>
        <v>3150.4</v>
      </c>
      <c r="J759" s="42">
        <f t="shared" si="306"/>
        <v>3150.4</v>
      </c>
    </row>
    <row r="760" spans="1:10" s="37" customFormat="1" ht="81" customHeight="1" x14ac:dyDescent="0.25">
      <c r="A760" s="27"/>
      <c r="B760" s="70"/>
      <c r="C760" s="5" t="s">
        <v>103</v>
      </c>
      <c r="D760" s="5" t="s">
        <v>96</v>
      </c>
      <c r="E760" s="73" t="s">
        <v>61</v>
      </c>
      <c r="F760" s="35"/>
      <c r="G760" s="53" t="s">
        <v>636</v>
      </c>
      <c r="H760" s="65">
        <f>H761+H767</f>
        <v>3350.6000000000004</v>
      </c>
      <c r="I760" s="65">
        <f>I761+I767</f>
        <v>3150.4</v>
      </c>
      <c r="J760" s="65">
        <f>J761+J767</f>
        <v>3150.4</v>
      </c>
    </row>
    <row r="761" spans="1:10" s="37" customFormat="1" ht="25.5" x14ac:dyDescent="0.2">
      <c r="A761" s="27"/>
      <c r="B761" s="70"/>
      <c r="C761" s="16" t="s">
        <v>103</v>
      </c>
      <c r="D761" s="16" t="s">
        <v>96</v>
      </c>
      <c r="E761" s="21" t="s">
        <v>62</v>
      </c>
      <c r="F761" s="35"/>
      <c r="G761" s="48" t="s">
        <v>174</v>
      </c>
      <c r="H761" s="42">
        <f t="shared" ref="H761:J763" si="307">H762</f>
        <v>390</v>
      </c>
      <c r="I761" s="42">
        <f t="shared" si="307"/>
        <v>300</v>
      </c>
      <c r="J761" s="42">
        <f t="shared" si="307"/>
        <v>300</v>
      </c>
    </row>
    <row r="762" spans="1:10" s="37" customFormat="1" ht="38.25" x14ac:dyDescent="0.2">
      <c r="A762" s="27"/>
      <c r="B762" s="70"/>
      <c r="C762" s="16" t="s">
        <v>103</v>
      </c>
      <c r="D762" s="16" t="s">
        <v>96</v>
      </c>
      <c r="E762" s="21" t="s">
        <v>481</v>
      </c>
      <c r="F762" s="35"/>
      <c r="G762" s="105" t="s">
        <v>261</v>
      </c>
      <c r="H762" s="41">
        <f>H763+H765</f>
        <v>390</v>
      </c>
      <c r="I762" s="41">
        <f t="shared" ref="I762:J762" si="308">I763+I765</f>
        <v>300</v>
      </c>
      <c r="J762" s="41">
        <f t="shared" si="308"/>
        <v>300</v>
      </c>
    </row>
    <row r="763" spans="1:10" s="37" customFormat="1" ht="51" x14ac:dyDescent="0.2">
      <c r="A763" s="27"/>
      <c r="B763" s="70"/>
      <c r="C763" s="16" t="s">
        <v>103</v>
      </c>
      <c r="D763" s="16" t="s">
        <v>96</v>
      </c>
      <c r="E763" s="21" t="s">
        <v>482</v>
      </c>
      <c r="F763" s="16"/>
      <c r="G763" s="101" t="s">
        <v>177</v>
      </c>
      <c r="H763" s="41">
        <f t="shared" si="307"/>
        <v>300</v>
      </c>
      <c r="I763" s="41">
        <f t="shared" si="307"/>
        <v>300</v>
      </c>
      <c r="J763" s="41">
        <f t="shared" si="307"/>
        <v>300</v>
      </c>
    </row>
    <row r="764" spans="1:10" s="37" customFormat="1" ht="38.25" x14ac:dyDescent="0.2">
      <c r="A764" s="27"/>
      <c r="B764" s="70"/>
      <c r="C764" s="16" t="s">
        <v>103</v>
      </c>
      <c r="D764" s="16" t="s">
        <v>96</v>
      </c>
      <c r="E764" s="21" t="s">
        <v>482</v>
      </c>
      <c r="F764" s="84" t="s">
        <v>214</v>
      </c>
      <c r="G764" s="101" t="s">
        <v>215</v>
      </c>
      <c r="H764" s="41">
        <v>300</v>
      </c>
      <c r="I764" s="41">
        <v>300</v>
      </c>
      <c r="J764" s="41">
        <v>300</v>
      </c>
    </row>
    <row r="765" spans="1:10" s="37" customFormat="1" ht="25.5" x14ac:dyDescent="0.2">
      <c r="A765" s="27"/>
      <c r="B765" s="70"/>
      <c r="C765" s="16" t="s">
        <v>103</v>
      </c>
      <c r="D765" s="16" t="s">
        <v>96</v>
      </c>
      <c r="E765" s="21" t="s">
        <v>726</v>
      </c>
      <c r="F765" s="84"/>
      <c r="G765" s="126" t="s">
        <v>727</v>
      </c>
      <c r="H765" s="41">
        <f>H766</f>
        <v>90</v>
      </c>
      <c r="I765" s="41">
        <f t="shared" ref="I765:J765" si="309">I766</f>
        <v>0</v>
      </c>
      <c r="J765" s="41">
        <f t="shared" si="309"/>
        <v>0</v>
      </c>
    </row>
    <row r="766" spans="1:10" s="37" customFormat="1" ht="38.25" x14ac:dyDescent="0.2">
      <c r="A766" s="27"/>
      <c r="B766" s="70"/>
      <c r="C766" s="16" t="s">
        <v>103</v>
      </c>
      <c r="D766" s="16" t="s">
        <v>96</v>
      </c>
      <c r="E766" s="194" t="s">
        <v>726</v>
      </c>
      <c r="F766" s="84" t="s">
        <v>214</v>
      </c>
      <c r="G766" s="101" t="s">
        <v>215</v>
      </c>
      <c r="H766" s="41">
        <v>90</v>
      </c>
      <c r="I766" s="41">
        <v>0</v>
      </c>
      <c r="J766" s="41">
        <v>0</v>
      </c>
    </row>
    <row r="767" spans="1:10" s="37" customFormat="1" ht="14.25" x14ac:dyDescent="0.2">
      <c r="A767" s="27"/>
      <c r="B767" s="70"/>
      <c r="C767" s="16" t="s">
        <v>103</v>
      </c>
      <c r="D767" s="16" t="s">
        <v>96</v>
      </c>
      <c r="E767" s="52" t="s">
        <v>33</v>
      </c>
      <c r="F767" s="21"/>
      <c r="G767" s="66" t="s">
        <v>48</v>
      </c>
      <c r="H767" s="58">
        <f>H768</f>
        <v>2960.6000000000004</v>
      </c>
      <c r="I767" s="58">
        <f>I768</f>
        <v>2850.4</v>
      </c>
      <c r="J767" s="58">
        <f>J768</f>
        <v>2850.4</v>
      </c>
    </row>
    <row r="768" spans="1:10" s="37" customFormat="1" ht="63.75" x14ac:dyDescent="0.2">
      <c r="A768" s="27"/>
      <c r="B768" s="70"/>
      <c r="C768" s="16" t="s">
        <v>103</v>
      </c>
      <c r="D768" s="16" t="s">
        <v>96</v>
      </c>
      <c r="E768" s="81">
        <v>290022200</v>
      </c>
      <c r="F768" s="21"/>
      <c r="G768" s="101" t="s">
        <v>267</v>
      </c>
      <c r="H768" s="97">
        <f>SUM(H769:H770)</f>
        <v>2960.6000000000004</v>
      </c>
      <c r="I768" s="97">
        <f>SUM(I769:I770)</f>
        <v>2850.4</v>
      </c>
      <c r="J768" s="97">
        <f>SUM(J769:J770)</f>
        <v>2850.4</v>
      </c>
    </row>
    <row r="769" spans="1:10" s="37" customFormat="1" ht="38.25" x14ac:dyDescent="0.2">
      <c r="A769" s="27"/>
      <c r="B769" s="70"/>
      <c r="C769" s="16" t="s">
        <v>103</v>
      </c>
      <c r="D769" s="16" t="s">
        <v>96</v>
      </c>
      <c r="E769" s="81">
        <v>290022200</v>
      </c>
      <c r="F769" s="16" t="s">
        <v>64</v>
      </c>
      <c r="G769" s="55" t="s">
        <v>65</v>
      </c>
      <c r="H769" s="97">
        <f>2788.9+116.4</f>
        <v>2905.3</v>
      </c>
      <c r="I769" s="97">
        <v>2788.9</v>
      </c>
      <c r="J769" s="97">
        <v>2788.9</v>
      </c>
    </row>
    <row r="770" spans="1:10" s="37" customFormat="1" ht="38.25" x14ac:dyDescent="0.2">
      <c r="A770" s="27"/>
      <c r="B770" s="70"/>
      <c r="C770" s="16" t="s">
        <v>103</v>
      </c>
      <c r="D770" s="16" t="s">
        <v>96</v>
      </c>
      <c r="E770" s="81">
        <v>290022200</v>
      </c>
      <c r="F770" s="84" t="s">
        <v>214</v>
      </c>
      <c r="G770" s="101" t="s">
        <v>215</v>
      </c>
      <c r="H770" s="41">
        <f>61.5-6.2</f>
        <v>55.3</v>
      </c>
      <c r="I770" s="41">
        <v>61.5</v>
      </c>
      <c r="J770" s="41">
        <v>61.5</v>
      </c>
    </row>
    <row r="771" spans="1:10" ht="15.75" x14ac:dyDescent="0.25">
      <c r="A771" s="1"/>
      <c r="B771" s="25"/>
      <c r="C771" s="4" t="s">
        <v>104</v>
      </c>
      <c r="D771" s="3"/>
      <c r="E771" s="3"/>
      <c r="F771" s="3"/>
      <c r="G771" s="49" t="s">
        <v>125</v>
      </c>
      <c r="H771" s="95">
        <f t="shared" ref="H771:J774" si="310">H772</f>
        <v>15796.3</v>
      </c>
      <c r="I771" s="95">
        <f t="shared" si="310"/>
        <v>496.29999999999995</v>
      </c>
      <c r="J771" s="95">
        <f t="shared" si="310"/>
        <v>496.29999999999995</v>
      </c>
    </row>
    <row r="772" spans="1:10" ht="14.25" x14ac:dyDescent="0.2">
      <c r="A772" s="1"/>
      <c r="B772" s="25"/>
      <c r="C772" s="35" t="s">
        <v>104</v>
      </c>
      <c r="D772" s="35" t="s">
        <v>91</v>
      </c>
      <c r="E772" s="35"/>
      <c r="F772" s="35"/>
      <c r="G772" s="46" t="s">
        <v>6</v>
      </c>
      <c r="H772" s="42">
        <f t="shared" si="310"/>
        <v>15796.3</v>
      </c>
      <c r="I772" s="42">
        <f t="shared" si="310"/>
        <v>496.29999999999995</v>
      </c>
      <c r="J772" s="42">
        <f t="shared" si="310"/>
        <v>496.29999999999995</v>
      </c>
    </row>
    <row r="773" spans="1:10" ht="75" customHeight="1" x14ac:dyDescent="0.2">
      <c r="A773" s="1"/>
      <c r="B773" s="25"/>
      <c r="C773" s="16" t="s">
        <v>104</v>
      </c>
      <c r="D773" s="16" t="s">
        <v>91</v>
      </c>
      <c r="E773" s="73" t="s">
        <v>61</v>
      </c>
      <c r="F773" s="35"/>
      <c r="G773" s="53" t="s">
        <v>636</v>
      </c>
      <c r="H773" s="62">
        <f t="shared" si="310"/>
        <v>15796.3</v>
      </c>
      <c r="I773" s="62">
        <f t="shared" si="310"/>
        <v>496.29999999999995</v>
      </c>
      <c r="J773" s="62">
        <f t="shared" si="310"/>
        <v>496.29999999999995</v>
      </c>
    </row>
    <row r="774" spans="1:10" ht="27" customHeight="1" x14ac:dyDescent="0.2">
      <c r="A774" s="1"/>
      <c r="B774" s="25"/>
      <c r="C774" s="47" t="s">
        <v>104</v>
      </c>
      <c r="D774" s="47" t="s">
        <v>91</v>
      </c>
      <c r="E774" s="52" t="s">
        <v>45</v>
      </c>
      <c r="F774" s="35"/>
      <c r="G774" s="48" t="s">
        <v>204</v>
      </c>
      <c r="H774" s="58">
        <f>H775</f>
        <v>15796.3</v>
      </c>
      <c r="I774" s="58">
        <f t="shared" si="310"/>
        <v>496.29999999999995</v>
      </c>
      <c r="J774" s="58">
        <f t="shared" si="310"/>
        <v>496.29999999999995</v>
      </c>
    </row>
    <row r="775" spans="1:10" ht="89.25" x14ac:dyDescent="0.2">
      <c r="A775" s="1"/>
      <c r="B775" s="25"/>
      <c r="C775" s="16" t="s">
        <v>104</v>
      </c>
      <c r="D775" s="16" t="s">
        <v>91</v>
      </c>
      <c r="E775" s="21" t="s">
        <v>262</v>
      </c>
      <c r="F775" s="35"/>
      <c r="G775" s="103" t="s">
        <v>263</v>
      </c>
      <c r="H775" s="58">
        <f>H776+H778+H781</f>
        <v>15796.3</v>
      </c>
      <c r="I775" s="58">
        <f t="shared" ref="I775:J775" si="311">I776+I778+I781</f>
        <v>496.29999999999995</v>
      </c>
      <c r="J775" s="58">
        <f t="shared" si="311"/>
        <v>496.29999999999995</v>
      </c>
    </row>
    <row r="776" spans="1:10" ht="89.25" x14ac:dyDescent="0.2">
      <c r="A776" s="1"/>
      <c r="B776" s="25"/>
      <c r="C776" s="16" t="s">
        <v>104</v>
      </c>
      <c r="D776" s="16" t="s">
        <v>91</v>
      </c>
      <c r="E776" s="21" t="s">
        <v>483</v>
      </c>
      <c r="F776" s="21"/>
      <c r="G776" s="103" t="s">
        <v>179</v>
      </c>
      <c r="H776" s="39">
        <f>H777</f>
        <v>415.7</v>
      </c>
      <c r="I776" s="39">
        <f>I777</f>
        <v>415.7</v>
      </c>
      <c r="J776" s="39">
        <f>J777</f>
        <v>415.7</v>
      </c>
    </row>
    <row r="777" spans="1:10" ht="38.25" x14ac:dyDescent="0.2">
      <c r="A777" s="1"/>
      <c r="B777" s="25"/>
      <c r="C777" s="16" t="s">
        <v>104</v>
      </c>
      <c r="D777" s="16" t="s">
        <v>91</v>
      </c>
      <c r="E777" s="21" t="s">
        <v>483</v>
      </c>
      <c r="F777" s="84" t="s">
        <v>214</v>
      </c>
      <c r="G777" s="101" t="s">
        <v>215</v>
      </c>
      <c r="H777" s="39">
        <v>415.7</v>
      </c>
      <c r="I777" s="39">
        <v>415.7</v>
      </c>
      <c r="J777" s="39">
        <v>415.7</v>
      </c>
    </row>
    <row r="778" spans="1:10" ht="50.25" customHeight="1" x14ac:dyDescent="0.2">
      <c r="A778" s="1"/>
      <c r="B778" s="25"/>
      <c r="C778" s="16" t="s">
        <v>104</v>
      </c>
      <c r="D778" s="16" t="s">
        <v>91</v>
      </c>
      <c r="E778" s="21" t="s">
        <v>484</v>
      </c>
      <c r="F778" s="21"/>
      <c r="G778" s="103" t="s">
        <v>63</v>
      </c>
      <c r="H778" s="39">
        <f>SUM(H779:H780)</f>
        <v>80.599999999999994</v>
      </c>
      <c r="I778" s="39">
        <f>SUM(I779:I780)</f>
        <v>80.599999999999994</v>
      </c>
      <c r="J778" s="39">
        <f>SUM(J779:J780)</f>
        <v>80.599999999999994</v>
      </c>
    </row>
    <row r="779" spans="1:10" ht="25.5" x14ac:dyDescent="0.2">
      <c r="A779" s="1"/>
      <c r="B779" s="25"/>
      <c r="C779" s="16" t="s">
        <v>104</v>
      </c>
      <c r="D779" s="16" t="s">
        <v>91</v>
      </c>
      <c r="E779" s="21" t="s">
        <v>484</v>
      </c>
      <c r="F779" s="84" t="s">
        <v>66</v>
      </c>
      <c r="G779" s="55" t="s">
        <v>132</v>
      </c>
      <c r="H779" s="39">
        <v>44.6</v>
      </c>
      <c r="I779" s="39">
        <v>44.6</v>
      </c>
      <c r="J779" s="39">
        <v>44.6</v>
      </c>
    </row>
    <row r="780" spans="1:10" ht="38.25" x14ac:dyDescent="0.2">
      <c r="A780" s="1"/>
      <c r="B780" s="25"/>
      <c r="C780" s="16" t="s">
        <v>104</v>
      </c>
      <c r="D780" s="16" t="s">
        <v>91</v>
      </c>
      <c r="E780" s="21" t="s">
        <v>484</v>
      </c>
      <c r="F780" s="84" t="s">
        <v>214</v>
      </c>
      <c r="G780" s="101" t="s">
        <v>215</v>
      </c>
      <c r="H780" s="39">
        <v>36</v>
      </c>
      <c r="I780" s="39">
        <v>36</v>
      </c>
      <c r="J780" s="39">
        <v>36</v>
      </c>
    </row>
    <row r="781" spans="1:10" ht="25.5" x14ac:dyDescent="0.2">
      <c r="A781" s="148"/>
      <c r="B781" s="25"/>
      <c r="C781" s="16" t="s">
        <v>104</v>
      </c>
      <c r="D781" s="16" t="s">
        <v>91</v>
      </c>
      <c r="E781" s="21" t="s">
        <v>717</v>
      </c>
      <c r="F781" s="84"/>
      <c r="G781" s="101" t="s">
        <v>718</v>
      </c>
      <c r="H781" s="39">
        <f>H782</f>
        <v>15300</v>
      </c>
      <c r="I781" s="39">
        <f t="shared" ref="I781:J781" si="312">I782</f>
        <v>0</v>
      </c>
      <c r="J781" s="39">
        <f t="shared" si="312"/>
        <v>0</v>
      </c>
    </row>
    <row r="782" spans="1:10" ht="38.25" x14ac:dyDescent="0.2">
      <c r="A782" s="148"/>
      <c r="B782" s="25"/>
      <c r="C782" s="16" t="s">
        <v>104</v>
      </c>
      <c r="D782" s="16" t="s">
        <v>91</v>
      </c>
      <c r="E782" s="21" t="s">
        <v>717</v>
      </c>
      <c r="F782" s="84" t="s">
        <v>214</v>
      </c>
      <c r="G782" s="101" t="s">
        <v>215</v>
      </c>
      <c r="H782" s="39">
        <f>100+28+172+15000</f>
        <v>15300</v>
      </c>
      <c r="I782" s="39">
        <v>0</v>
      </c>
      <c r="J782" s="39">
        <v>0</v>
      </c>
    </row>
    <row r="783" spans="1:10" s="8" customFormat="1" ht="72" x14ac:dyDescent="0.25">
      <c r="A783" s="3">
        <v>6</v>
      </c>
      <c r="B783" s="94">
        <v>902</v>
      </c>
      <c r="C783" s="13"/>
      <c r="D783" s="13"/>
      <c r="E783" s="13"/>
      <c r="F783" s="13"/>
      <c r="G783" s="14" t="s">
        <v>200</v>
      </c>
      <c r="H783" s="95">
        <f>H784+H796</f>
        <v>9609.1</v>
      </c>
      <c r="I783" s="95">
        <f t="shared" ref="I783:J783" si="313">I784+I796</f>
        <v>9773</v>
      </c>
      <c r="J783" s="95">
        <f t="shared" si="313"/>
        <v>9773</v>
      </c>
    </row>
    <row r="784" spans="1:10" ht="15.75" x14ac:dyDescent="0.25">
      <c r="A784" s="3"/>
      <c r="B784" s="94"/>
      <c r="C784" s="4" t="s">
        <v>90</v>
      </c>
      <c r="D784" s="11"/>
      <c r="E784" s="11"/>
      <c r="F784" s="11"/>
      <c r="G784" s="15" t="s">
        <v>93</v>
      </c>
      <c r="H784" s="95">
        <f>H785+H792</f>
        <v>9606.1</v>
      </c>
      <c r="I784" s="95">
        <f>I785+I792</f>
        <v>9748</v>
      </c>
      <c r="J784" s="95">
        <f>J785+J792</f>
        <v>9748</v>
      </c>
    </row>
    <row r="785" spans="1:12" s="37" customFormat="1" ht="51" x14ac:dyDescent="0.2">
      <c r="A785" s="27"/>
      <c r="B785" s="70"/>
      <c r="C785" s="35" t="s">
        <v>90</v>
      </c>
      <c r="D785" s="35" t="s">
        <v>98</v>
      </c>
      <c r="E785" s="35"/>
      <c r="F785" s="35"/>
      <c r="G785" s="46" t="s">
        <v>127</v>
      </c>
      <c r="H785" s="42">
        <f t="shared" ref="H785:J786" si="314">SUM(H786)</f>
        <v>9556.1</v>
      </c>
      <c r="I785" s="42">
        <f t="shared" si="314"/>
        <v>9248</v>
      </c>
      <c r="J785" s="42">
        <f t="shared" si="314"/>
        <v>9248</v>
      </c>
    </row>
    <row r="786" spans="1:12" ht="25.5" x14ac:dyDescent="0.2">
      <c r="A786" s="1"/>
      <c r="B786" s="25"/>
      <c r="C786" s="16" t="s">
        <v>90</v>
      </c>
      <c r="D786" s="16" t="s">
        <v>98</v>
      </c>
      <c r="E786" s="80">
        <v>9900000000</v>
      </c>
      <c r="F786" s="16"/>
      <c r="G786" s="55" t="s">
        <v>146</v>
      </c>
      <c r="H786" s="39">
        <f t="shared" si="314"/>
        <v>9556.1</v>
      </c>
      <c r="I786" s="39">
        <f t="shared" si="314"/>
        <v>9248</v>
      </c>
      <c r="J786" s="39">
        <f t="shared" si="314"/>
        <v>9248</v>
      </c>
    </row>
    <row r="787" spans="1:12" ht="38.25" x14ac:dyDescent="0.2">
      <c r="A787" s="1"/>
      <c r="B787" s="25"/>
      <c r="C787" s="16" t="s">
        <v>90</v>
      </c>
      <c r="D787" s="16" t="s">
        <v>98</v>
      </c>
      <c r="E787" s="80">
        <v>9980000000</v>
      </c>
      <c r="F787" s="16"/>
      <c r="G787" s="54" t="s">
        <v>31</v>
      </c>
      <c r="H787" s="39">
        <f>H788</f>
        <v>9556.1</v>
      </c>
      <c r="I787" s="39">
        <f>I788</f>
        <v>9248</v>
      </c>
      <c r="J787" s="39">
        <f>J788</f>
        <v>9248</v>
      </c>
    </row>
    <row r="788" spans="1:12" x14ac:dyDescent="0.2">
      <c r="A788" s="1"/>
      <c r="B788" s="25"/>
      <c r="C788" s="16" t="s">
        <v>90</v>
      </c>
      <c r="D788" s="16" t="s">
        <v>98</v>
      </c>
      <c r="E788" s="197">
        <v>9980022200</v>
      </c>
      <c r="F788" s="21"/>
      <c r="G788" s="103" t="s">
        <v>117</v>
      </c>
      <c r="H788" s="39">
        <f>SUM(H789:H791)</f>
        <v>9556.1</v>
      </c>
      <c r="I788" s="39">
        <f>SUM(I789:I790)</f>
        <v>9248</v>
      </c>
      <c r="J788" s="39">
        <f>SUM(J789:J790)</f>
        <v>9248</v>
      </c>
    </row>
    <row r="789" spans="1:12" ht="38.25" x14ac:dyDescent="0.2">
      <c r="A789" s="1"/>
      <c r="B789" s="25"/>
      <c r="C789" s="16" t="s">
        <v>90</v>
      </c>
      <c r="D789" s="16" t="s">
        <v>98</v>
      </c>
      <c r="E789" s="197">
        <v>9980022200</v>
      </c>
      <c r="F789" s="16" t="s">
        <v>64</v>
      </c>
      <c r="G789" s="106" t="s">
        <v>65</v>
      </c>
      <c r="H789" s="39">
        <f>8799.1-1.3+189+308.1+8</f>
        <v>9302.9000000000015</v>
      </c>
      <c r="I789" s="39">
        <v>8799.1</v>
      </c>
      <c r="J789" s="39">
        <v>8799.1</v>
      </c>
    </row>
    <row r="790" spans="1:12" ht="38.25" x14ac:dyDescent="0.2">
      <c r="A790" s="1"/>
      <c r="B790" s="25"/>
      <c r="C790" s="16" t="s">
        <v>90</v>
      </c>
      <c r="D790" s="16" t="s">
        <v>98</v>
      </c>
      <c r="E790" s="197">
        <v>9980022200</v>
      </c>
      <c r="F790" s="84" t="s">
        <v>214</v>
      </c>
      <c r="G790" s="101" t="s">
        <v>215</v>
      </c>
      <c r="H790" s="39">
        <f>448.9-189-8</f>
        <v>251.89999999999998</v>
      </c>
      <c r="I790" s="39">
        <v>448.9</v>
      </c>
      <c r="J790" s="39">
        <v>448.9</v>
      </c>
    </row>
    <row r="791" spans="1:12" x14ac:dyDescent="0.2">
      <c r="A791" s="148"/>
      <c r="B791" s="25"/>
      <c r="C791" s="16" t="s">
        <v>90</v>
      </c>
      <c r="D791" s="16" t="s">
        <v>98</v>
      </c>
      <c r="E791" s="197">
        <v>9980022200</v>
      </c>
      <c r="F791" s="84" t="s">
        <v>133</v>
      </c>
      <c r="G791" s="101" t="s">
        <v>134</v>
      </c>
      <c r="H791" s="39">
        <v>1.3</v>
      </c>
      <c r="I791" s="39">
        <v>0</v>
      </c>
      <c r="J791" s="39">
        <v>0</v>
      </c>
    </row>
    <row r="792" spans="1:12" ht="14.25" x14ac:dyDescent="0.2">
      <c r="A792" s="1"/>
      <c r="B792" s="25"/>
      <c r="C792" s="35" t="s">
        <v>90</v>
      </c>
      <c r="D792" s="35" t="s">
        <v>104</v>
      </c>
      <c r="E792" s="35"/>
      <c r="F792" s="35"/>
      <c r="G792" s="27" t="s">
        <v>5</v>
      </c>
      <c r="H792" s="42">
        <f t="shared" ref="H792:J794" si="315">H793</f>
        <v>50</v>
      </c>
      <c r="I792" s="42">
        <f t="shared" si="315"/>
        <v>500</v>
      </c>
      <c r="J792" s="42">
        <f t="shared" si="315"/>
        <v>500</v>
      </c>
    </row>
    <row r="793" spans="1:12" ht="14.25" x14ac:dyDescent="0.2">
      <c r="A793" s="1"/>
      <c r="B793" s="25"/>
      <c r="C793" s="16" t="s">
        <v>90</v>
      </c>
      <c r="D793" s="16" t="s">
        <v>104</v>
      </c>
      <c r="E793" s="80">
        <v>9920000000</v>
      </c>
      <c r="F793" s="35"/>
      <c r="G793" s="156" t="s">
        <v>5</v>
      </c>
      <c r="H793" s="42">
        <f t="shared" si="315"/>
        <v>50</v>
      </c>
      <c r="I793" s="42">
        <f t="shared" si="315"/>
        <v>500</v>
      </c>
      <c r="J793" s="42">
        <f t="shared" si="315"/>
        <v>500</v>
      </c>
    </row>
    <row r="794" spans="1:12" ht="25.5" x14ac:dyDescent="0.2">
      <c r="A794" s="1"/>
      <c r="B794" s="25"/>
      <c r="C794" s="16" t="s">
        <v>90</v>
      </c>
      <c r="D794" s="16" t="s">
        <v>104</v>
      </c>
      <c r="E794" s="80">
        <v>9920026100</v>
      </c>
      <c r="F794" s="21"/>
      <c r="G794" s="103" t="s">
        <v>11</v>
      </c>
      <c r="H794" s="39">
        <f t="shared" si="315"/>
        <v>50</v>
      </c>
      <c r="I794" s="39">
        <f t="shared" si="315"/>
        <v>500</v>
      </c>
      <c r="J794" s="39">
        <f t="shared" si="315"/>
        <v>500</v>
      </c>
    </row>
    <row r="795" spans="1:12" x14ac:dyDescent="0.2">
      <c r="A795" s="1"/>
      <c r="B795" s="25"/>
      <c r="C795" s="16" t="s">
        <v>90</v>
      </c>
      <c r="D795" s="16" t="s">
        <v>104</v>
      </c>
      <c r="E795" s="80">
        <v>9920026100</v>
      </c>
      <c r="F795" s="16" t="s">
        <v>86</v>
      </c>
      <c r="G795" s="101" t="s">
        <v>87</v>
      </c>
      <c r="H795" s="39">
        <f>500-50-400</f>
        <v>50</v>
      </c>
      <c r="I795" s="39">
        <v>500</v>
      </c>
      <c r="J795" s="39">
        <v>500</v>
      </c>
    </row>
    <row r="796" spans="1:12" ht="30" x14ac:dyDescent="0.25">
      <c r="B796" s="25"/>
      <c r="C796" s="4" t="s">
        <v>9</v>
      </c>
      <c r="D796" s="5"/>
      <c r="E796" s="200"/>
      <c r="F796" s="200"/>
      <c r="G796" s="49" t="s">
        <v>757</v>
      </c>
      <c r="H796" s="99">
        <f>H797</f>
        <v>3</v>
      </c>
      <c r="I796" s="99">
        <f t="shared" ref="I796:J799" si="316">I797</f>
        <v>25</v>
      </c>
      <c r="J796" s="99">
        <f t="shared" si="316"/>
        <v>25</v>
      </c>
      <c r="L796" s="107"/>
    </row>
    <row r="797" spans="1:12" ht="25.5" x14ac:dyDescent="0.2">
      <c r="B797" s="25"/>
      <c r="C797" s="47" t="s">
        <v>9</v>
      </c>
      <c r="D797" s="47" t="s">
        <v>90</v>
      </c>
      <c r="E797" s="23"/>
      <c r="F797" s="23"/>
      <c r="G797" s="48" t="s">
        <v>758</v>
      </c>
      <c r="H797" s="96">
        <f>H798</f>
        <v>3</v>
      </c>
      <c r="I797" s="96">
        <f t="shared" si="316"/>
        <v>25</v>
      </c>
      <c r="J797" s="96">
        <f t="shared" si="316"/>
        <v>25</v>
      </c>
      <c r="K797" s="149"/>
    </row>
    <row r="798" spans="1:12" ht="25.5" x14ac:dyDescent="0.2">
      <c r="B798" s="25"/>
      <c r="C798" s="84" t="s">
        <v>9</v>
      </c>
      <c r="D798" s="84" t="s">
        <v>90</v>
      </c>
      <c r="E798" s="84" t="s">
        <v>26</v>
      </c>
      <c r="F798" s="84"/>
      <c r="G798" s="103" t="s">
        <v>40</v>
      </c>
      <c r="H798" s="39">
        <f>H799</f>
        <v>3</v>
      </c>
      <c r="I798" s="39">
        <f t="shared" si="316"/>
        <v>25</v>
      </c>
      <c r="J798" s="39">
        <f t="shared" si="316"/>
        <v>25</v>
      </c>
    </row>
    <row r="799" spans="1:12" ht="25.5" x14ac:dyDescent="0.2">
      <c r="B799" s="25"/>
      <c r="C799" s="84" t="s">
        <v>9</v>
      </c>
      <c r="D799" s="84" t="s">
        <v>90</v>
      </c>
      <c r="E799" s="148">
        <v>9940026500</v>
      </c>
      <c r="F799" s="148"/>
      <c r="G799" s="199" t="s">
        <v>759</v>
      </c>
      <c r="H799" s="39">
        <f>H800</f>
        <v>3</v>
      </c>
      <c r="I799" s="39">
        <f t="shared" si="316"/>
        <v>25</v>
      </c>
      <c r="J799" s="39">
        <f t="shared" si="316"/>
        <v>25</v>
      </c>
    </row>
    <row r="800" spans="1:12" x14ac:dyDescent="0.2">
      <c r="B800" s="25"/>
      <c r="C800" s="84" t="s">
        <v>9</v>
      </c>
      <c r="D800" s="84" t="s">
        <v>90</v>
      </c>
      <c r="E800" s="148">
        <v>9940026500</v>
      </c>
      <c r="F800" s="84" t="s">
        <v>760</v>
      </c>
      <c r="G800" s="148" t="s">
        <v>761</v>
      </c>
      <c r="H800" s="39">
        <f>4.2-1.2</f>
        <v>3</v>
      </c>
      <c r="I800" s="39">
        <f>20.8+4.2</f>
        <v>25</v>
      </c>
      <c r="J800" s="39">
        <f>20.8+4.2</f>
        <v>25</v>
      </c>
    </row>
  </sheetData>
  <mergeCells count="14">
    <mergeCell ref="B8:C8"/>
    <mergeCell ref="B9:C9"/>
    <mergeCell ref="B10:C10"/>
    <mergeCell ref="A18:A19"/>
    <mergeCell ref="A15:J15"/>
    <mergeCell ref="E17:E19"/>
    <mergeCell ref="F17:F19"/>
    <mergeCell ref="G17:G19"/>
    <mergeCell ref="H17:J17"/>
    <mergeCell ref="I18:J18"/>
    <mergeCell ref="C17:C19"/>
    <mergeCell ref="B17:B19"/>
    <mergeCell ref="H18:H19"/>
    <mergeCell ref="D17:D19"/>
  </mergeCells>
  <phoneticPr fontId="2" type="noConversion"/>
  <pageMargins left="0.75" right="0.75" top="0.9" bottom="1" header="0.5" footer="0.5"/>
  <pageSetup paperSize="9" scale="95" orientation="portrait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J656"/>
  <sheetViews>
    <sheetView view="pageBreakPreview" topLeftCell="A353" zoomScaleNormal="100" zoomScaleSheetLayoutView="100" workbookViewId="0">
      <selection activeCell="D11" sqref="D11"/>
    </sheetView>
  </sheetViews>
  <sheetFormatPr defaultColWidth="9.140625" defaultRowHeight="12.75" x14ac:dyDescent="0.2"/>
  <cols>
    <col min="1" max="1" width="11.85546875" style="93" customWidth="1"/>
    <col min="2" max="2" width="3.28515625" style="93" customWidth="1"/>
    <col min="3" max="3" width="39.7109375" style="93" customWidth="1"/>
    <col min="4" max="4" width="11.85546875" style="93" customWidth="1"/>
    <col min="5" max="5" width="10.85546875" style="93" customWidth="1"/>
    <col min="6" max="6" width="10.7109375" style="93" customWidth="1"/>
    <col min="7" max="8" width="9.5703125" style="93" bestFit="1" customWidth="1"/>
    <col min="9" max="16384" width="9.140625" style="93"/>
  </cols>
  <sheetData>
    <row r="1" spans="1:7" x14ac:dyDescent="0.2">
      <c r="C1" s="87" t="s">
        <v>323</v>
      </c>
    </row>
    <row r="2" spans="1:7" x14ac:dyDescent="0.2">
      <c r="C2" s="87" t="s">
        <v>683</v>
      </c>
    </row>
    <row r="3" spans="1:7" x14ac:dyDescent="0.2">
      <c r="C3" s="87" t="s">
        <v>878</v>
      </c>
    </row>
    <row r="4" spans="1:7" x14ac:dyDescent="0.2">
      <c r="C4" s="87" t="s">
        <v>684</v>
      </c>
    </row>
    <row r="5" spans="1:7" x14ac:dyDescent="0.2">
      <c r="C5" s="87" t="s">
        <v>685</v>
      </c>
    </row>
    <row r="6" spans="1:7" x14ac:dyDescent="0.2">
      <c r="C6" s="87" t="s">
        <v>145</v>
      </c>
    </row>
    <row r="7" spans="1:7" x14ac:dyDescent="0.2">
      <c r="C7" s="87" t="s">
        <v>501</v>
      </c>
      <c r="D7" s="90"/>
      <c r="E7" s="91"/>
      <c r="F7" s="91"/>
    </row>
    <row r="8" spans="1:7" x14ac:dyDescent="0.2">
      <c r="C8" s="87"/>
      <c r="D8" s="90"/>
      <c r="E8" s="91"/>
      <c r="F8" s="91"/>
    </row>
    <row r="9" spans="1:7" x14ac:dyDescent="0.2">
      <c r="C9" s="87" t="s">
        <v>323</v>
      </c>
      <c r="D9" s="90"/>
      <c r="E9" s="91"/>
      <c r="F9" s="91"/>
    </row>
    <row r="10" spans="1:7" x14ac:dyDescent="0.2">
      <c r="C10" s="87" t="s">
        <v>390</v>
      </c>
      <c r="D10" s="90"/>
      <c r="E10" s="91"/>
      <c r="F10" s="91"/>
    </row>
    <row r="11" spans="1:7" x14ac:dyDescent="0.2">
      <c r="C11" s="87" t="s">
        <v>686</v>
      </c>
      <c r="D11" s="44"/>
    </row>
    <row r="12" spans="1:7" x14ac:dyDescent="0.2">
      <c r="C12" s="87" t="s">
        <v>145</v>
      </c>
      <c r="D12" s="44"/>
    </row>
    <row r="13" spans="1:7" x14ac:dyDescent="0.2">
      <c r="C13" s="87" t="s">
        <v>501</v>
      </c>
      <c r="D13" s="44"/>
    </row>
    <row r="14" spans="1:7" x14ac:dyDescent="0.2">
      <c r="C14" s="87"/>
      <c r="D14" s="44"/>
    </row>
    <row r="15" spans="1:7" ht="64.5" customHeight="1" x14ac:dyDescent="0.2">
      <c r="A15" s="257" t="s">
        <v>597</v>
      </c>
      <c r="B15" s="276"/>
      <c r="C15" s="276"/>
      <c r="D15" s="276"/>
      <c r="E15" s="276"/>
      <c r="F15" s="276"/>
      <c r="G15" s="132"/>
    </row>
    <row r="16" spans="1:7" ht="15" x14ac:dyDescent="0.2">
      <c r="A16" s="128"/>
      <c r="B16" s="131"/>
      <c r="C16" s="131"/>
      <c r="D16" s="131"/>
      <c r="E16" s="131"/>
      <c r="F16" s="131"/>
      <c r="G16" s="132"/>
    </row>
    <row r="17" spans="1:8" x14ac:dyDescent="0.2">
      <c r="D17" s="6"/>
    </row>
    <row r="18" spans="1:8" x14ac:dyDescent="0.2">
      <c r="A18" s="263" t="s">
        <v>121</v>
      </c>
      <c r="B18" s="263" t="s">
        <v>115</v>
      </c>
      <c r="C18" s="273" t="s">
        <v>276</v>
      </c>
      <c r="D18" s="269" t="s">
        <v>29</v>
      </c>
      <c r="E18" s="256"/>
      <c r="F18" s="256"/>
    </row>
    <row r="19" spans="1:8" x14ac:dyDescent="0.2">
      <c r="A19" s="264"/>
      <c r="B19" s="264"/>
      <c r="C19" s="274"/>
      <c r="D19" s="273" t="s">
        <v>372</v>
      </c>
      <c r="E19" s="256" t="s">
        <v>142</v>
      </c>
      <c r="F19" s="256"/>
    </row>
    <row r="20" spans="1:8" x14ac:dyDescent="0.2">
      <c r="A20" s="265"/>
      <c r="B20" s="265"/>
      <c r="C20" s="275"/>
      <c r="D20" s="275"/>
      <c r="E20" s="1" t="s">
        <v>392</v>
      </c>
      <c r="F20" s="1" t="s">
        <v>499</v>
      </c>
    </row>
    <row r="21" spans="1:8" x14ac:dyDescent="0.2">
      <c r="A21" s="2">
        <v>3</v>
      </c>
      <c r="B21" s="2">
        <v>4</v>
      </c>
      <c r="C21" s="2">
        <v>5</v>
      </c>
      <c r="D21" s="2">
        <v>6</v>
      </c>
      <c r="E21" s="2">
        <v>7</v>
      </c>
      <c r="F21" s="2">
        <v>8</v>
      </c>
    </row>
    <row r="22" spans="1:8" ht="18" x14ac:dyDescent="0.25">
      <c r="A22" s="2"/>
      <c r="B22" s="2"/>
      <c r="C22" s="9" t="s">
        <v>94</v>
      </c>
      <c r="D22" s="151">
        <f>D23+D601</f>
        <v>1262150.0000000005</v>
      </c>
      <c r="E22" s="151">
        <f>E23+E601</f>
        <v>925010.20000000019</v>
      </c>
      <c r="F22" s="151">
        <f>F23+F601</f>
        <v>882160.80000000028</v>
      </c>
      <c r="H22" s="107"/>
    </row>
    <row r="23" spans="1:8" ht="15.75" x14ac:dyDescent="0.25">
      <c r="A23" s="2"/>
      <c r="B23" s="2"/>
      <c r="C23" s="3" t="s">
        <v>375</v>
      </c>
      <c r="D23" s="151">
        <f>D24+D151+D230+D255+D298+D329+D336+D362+D373+D406+D421+D445+D489+D511+D529+D583</f>
        <v>1153862.5000000005</v>
      </c>
      <c r="E23" s="151">
        <f>E24+E151+E230+E255+E298+E329+E336+E362+E373+E406+E421+E445+E489+E511+E529+E583</f>
        <v>823792.70000000019</v>
      </c>
      <c r="F23" s="151">
        <f>F24+F151+F230+F255+F298+F329+F336+F362+F373+F406+F421+F445+F489+F511+F529+F583</f>
        <v>780938.00000000023</v>
      </c>
      <c r="H23" s="107"/>
    </row>
    <row r="24" spans="1:8" ht="67.5" customHeight="1" x14ac:dyDescent="0.2">
      <c r="A24" s="73" t="s">
        <v>75</v>
      </c>
      <c r="B24" s="35"/>
      <c r="C24" s="64" t="s">
        <v>635</v>
      </c>
      <c r="D24" s="62">
        <f>D25+D44+D90+D118+D146</f>
        <v>574253.70000000019</v>
      </c>
      <c r="E24" s="62">
        <f>E25+E44+E90+E118+E146</f>
        <v>546583.80000000005</v>
      </c>
      <c r="F24" s="62">
        <f>F25+F44+F90+F118+F146</f>
        <v>546314.9</v>
      </c>
      <c r="G24" s="107"/>
    </row>
    <row r="25" spans="1:8" ht="25.5" x14ac:dyDescent="0.2">
      <c r="A25" s="52" t="s">
        <v>76</v>
      </c>
      <c r="B25" s="35"/>
      <c r="C25" s="46" t="s">
        <v>411</v>
      </c>
      <c r="D25" s="97">
        <f>D26+D35+D40</f>
        <v>161402.4</v>
      </c>
      <c r="E25" s="97">
        <f>E26+E35+E40</f>
        <v>153389.09999999998</v>
      </c>
      <c r="F25" s="97">
        <f>F26+F35+F40</f>
        <v>153151.09999999998</v>
      </c>
      <c r="G25" s="107"/>
    </row>
    <row r="26" spans="1:8" ht="38.25" x14ac:dyDescent="0.2">
      <c r="A26" s="21" t="s">
        <v>344</v>
      </c>
      <c r="B26" s="35"/>
      <c r="C26" s="100" t="s">
        <v>412</v>
      </c>
      <c r="D26" s="97">
        <f>D27+D29+D31+D33</f>
        <v>150448.9</v>
      </c>
      <c r="E26" s="97">
        <f t="shared" ref="E26:F26" si="0">E27+E29+E31+E33</f>
        <v>142850.59999999998</v>
      </c>
      <c r="F26" s="97">
        <f t="shared" si="0"/>
        <v>142612.59999999998</v>
      </c>
      <c r="G26" s="107"/>
    </row>
    <row r="27" spans="1:8" ht="51" customHeight="1" x14ac:dyDescent="0.2">
      <c r="A27" s="21" t="s">
        <v>401</v>
      </c>
      <c r="B27" s="21"/>
      <c r="C27" s="101" t="s">
        <v>400</v>
      </c>
      <c r="D27" s="97">
        <f>D28</f>
        <v>84139.6</v>
      </c>
      <c r="E27" s="97">
        <f t="shared" ref="E27:F27" si="1">E28</f>
        <v>79437.399999999994</v>
      </c>
      <c r="F27" s="97">
        <f t="shared" si="1"/>
        <v>79437.399999999994</v>
      </c>
      <c r="G27" s="107"/>
    </row>
    <row r="28" spans="1:8" x14ac:dyDescent="0.2">
      <c r="A28" s="21" t="s">
        <v>401</v>
      </c>
      <c r="B28" s="21" t="s">
        <v>228</v>
      </c>
      <c r="C28" s="101" t="s">
        <v>227</v>
      </c>
      <c r="D28" s="162">
        <f>79437.3+4702.3</f>
        <v>84139.6</v>
      </c>
      <c r="E28" s="162">
        <v>79437.399999999994</v>
      </c>
      <c r="F28" s="162">
        <v>79437.399999999994</v>
      </c>
      <c r="G28" s="107"/>
    </row>
    <row r="29" spans="1:8" ht="64.5" customHeight="1" x14ac:dyDescent="0.25">
      <c r="A29" s="161" t="s">
        <v>403</v>
      </c>
      <c r="B29" s="21"/>
      <c r="C29" s="101" t="s">
        <v>402</v>
      </c>
      <c r="D29" s="97">
        <f>D30</f>
        <v>65418.399999999994</v>
      </c>
      <c r="E29" s="97">
        <f t="shared" ref="E29:F29" si="2">E30</f>
        <v>63413.2</v>
      </c>
      <c r="F29" s="97">
        <f t="shared" si="2"/>
        <v>63175.199999999997</v>
      </c>
      <c r="G29" s="107"/>
    </row>
    <row r="30" spans="1:8" ht="15" x14ac:dyDescent="0.25">
      <c r="A30" s="228" t="s">
        <v>403</v>
      </c>
      <c r="B30" s="21" t="s">
        <v>228</v>
      </c>
      <c r="C30" s="101" t="s">
        <v>227</v>
      </c>
      <c r="D30" s="231">
        <f>65069.6-432+23.2-16.3+402.8+363.7+7.4</f>
        <v>65418.399999999994</v>
      </c>
      <c r="E30" s="97">
        <v>63413.2</v>
      </c>
      <c r="F30" s="97">
        <v>63175.199999999997</v>
      </c>
      <c r="G30" s="107"/>
    </row>
    <row r="31" spans="1:8" ht="36.75" customHeight="1" x14ac:dyDescent="0.25">
      <c r="A31" s="229" t="s">
        <v>799</v>
      </c>
      <c r="B31" s="21"/>
      <c r="C31" s="101" t="s">
        <v>800</v>
      </c>
      <c r="D31" s="97">
        <f>D32</f>
        <v>882</v>
      </c>
      <c r="E31" s="97">
        <f t="shared" ref="E31:F31" si="3">E32</f>
        <v>0</v>
      </c>
      <c r="F31" s="97">
        <f t="shared" si="3"/>
        <v>0</v>
      </c>
      <c r="G31" s="107"/>
    </row>
    <row r="32" spans="1:8" ht="15" x14ac:dyDescent="0.25">
      <c r="A32" s="227" t="s">
        <v>799</v>
      </c>
      <c r="B32" s="21" t="s">
        <v>228</v>
      </c>
      <c r="C32" s="101" t="s">
        <v>227</v>
      </c>
      <c r="D32" s="163">
        <f>874.7+7.3</f>
        <v>882</v>
      </c>
      <c r="E32" s="97">
        <v>0</v>
      </c>
      <c r="F32" s="97">
        <v>0</v>
      </c>
      <c r="G32" s="107"/>
    </row>
    <row r="33" spans="1:7" ht="54.75" customHeight="1" x14ac:dyDescent="0.25">
      <c r="A33" s="229" t="s">
        <v>807</v>
      </c>
      <c r="B33" s="21"/>
      <c r="C33" s="126" t="s">
        <v>808</v>
      </c>
      <c r="D33" s="97">
        <f>D34</f>
        <v>8.9</v>
      </c>
      <c r="E33" s="97">
        <f t="shared" ref="E33:F33" si="4">E34</f>
        <v>0</v>
      </c>
      <c r="F33" s="97">
        <f t="shared" si="4"/>
        <v>0</v>
      </c>
      <c r="G33" s="107"/>
    </row>
    <row r="34" spans="1:7" ht="15" x14ac:dyDescent="0.25">
      <c r="A34" s="229" t="s">
        <v>807</v>
      </c>
      <c r="B34" s="21" t="s">
        <v>228</v>
      </c>
      <c r="C34" s="101" t="s">
        <v>227</v>
      </c>
      <c r="D34" s="162">
        <f>16.3-7.4</f>
        <v>8.9</v>
      </c>
      <c r="E34" s="97">
        <v>0</v>
      </c>
      <c r="F34" s="97">
        <v>0</v>
      </c>
      <c r="G34" s="107"/>
    </row>
    <row r="35" spans="1:7" ht="26.25" customHeight="1" x14ac:dyDescent="0.2">
      <c r="A35" s="21" t="s">
        <v>289</v>
      </c>
      <c r="B35" s="35"/>
      <c r="C35" s="100" t="s">
        <v>404</v>
      </c>
      <c r="D35" s="97">
        <f>D36+D38</f>
        <v>415</v>
      </c>
      <c r="E35" s="97">
        <f t="shared" ref="E35:F35" si="5">E36+E38</f>
        <v>0</v>
      </c>
      <c r="F35" s="97">
        <f t="shared" si="5"/>
        <v>0</v>
      </c>
      <c r="G35" s="107"/>
    </row>
    <row r="36" spans="1:7" ht="52.5" customHeight="1" x14ac:dyDescent="0.2">
      <c r="A36" s="21" t="s">
        <v>406</v>
      </c>
      <c r="B36" s="57"/>
      <c r="C36" s="117" t="s">
        <v>405</v>
      </c>
      <c r="D36" s="97">
        <f>D37</f>
        <v>300</v>
      </c>
      <c r="E36" s="97">
        <f t="shared" ref="E36:F36" si="6">E37</f>
        <v>0</v>
      </c>
      <c r="F36" s="97">
        <f t="shared" si="6"/>
        <v>0</v>
      </c>
      <c r="G36" s="107"/>
    </row>
    <row r="37" spans="1:7" x14ac:dyDescent="0.2">
      <c r="A37" s="21" t="s">
        <v>406</v>
      </c>
      <c r="B37" s="21" t="s">
        <v>228</v>
      </c>
      <c r="C37" s="101" t="s">
        <v>227</v>
      </c>
      <c r="D37" s="97">
        <v>300</v>
      </c>
      <c r="E37" s="97">
        <v>0</v>
      </c>
      <c r="F37" s="97">
        <v>0</v>
      </c>
      <c r="G37" s="107"/>
    </row>
    <row r="38" spans="1:7" ht="61.5" customHeight="1" x14ac:dyDescent="0.2">
      <c r="A38" s="57" t="s">
        <v>407</v>
      </c>
      <c r="B38" s="21"/>
      <c r="C38" s="101" t="s">
        <v>389</v>
      </c>
      <c r="D38" s="97">
        <f>D39</f>
        <v>115</v>
      </c>
      <c r="E38" s="97">
        <f t="shared" ref="E38:F38" si="7">E39</f>
        <v>0</v>
      </c>
      <c r="F38" s="97">
        <f t="shared" si="7"/>
        <v>0</v>
      </c>
      <c r="G38" s="107"/>
    </row>
    <row r="39" spans="1:7" x14ac:dyDescent="0.2">
      <c r="A39" s="57" t="s">
        <v>407</v>
      </c>
      <c r="B39" s="21" t="s">
        <v>228</v>
      </c>
      <c r="C39" s="101" t="s">
        <v>227</v>
      </c>
      <c r="D39" s="97">
        <v>115</v>
      </c>
      <c r="E39" s="97">
        <v>0</v>
      </c>
      <c r="F39" s="97">
        <v>0</v>
      </c>
      <c r="G39" s="158"/>
    </row>
    <row r="40" spans="1:7" ht="25.5" x14ac:dyDescent="0.2">
      <c r="A40" s="21" t="s">
        <v>290</v>
      </c>
      <c r="B40" s="21"/>
      <c r="C40" s="100" t="s">
        <v>408</v>
      </c>
      <c r="D40" s="97">
        <f>D41</f>
        <v>10538.5</v>
      </c>
      <c r="E40" s="97">
        <f>E41</f>
        <v>10538.5</v>
      </c>
      <c r="F40" s="97">
        <f>F41</f>
        <v>10538.5</v>
      </c>
      <c r="G40" s="107"/>
    </row>
    <row r="41" spans="1:7" ht="78.75" customHeight="1" x14ac:dyDescent="0.2">
      <c r="A41" s="57" t="s">
        <v>410</v>
      </c>
      <c r="B41" s="21"/>
      <c r="C41" s="101" t="s">
        <v>409</v>
      </c>
      <c r="D41" s="97">
        <f>D42+D43</f>
        <v>10538.5</v>
      </c>
      <c r="E41" s="97">
        <f>E42+E43</f>
        <v>10538.5</v>
      </c>
      <c r="F41" s="97">
        <f>F42+F43</f>
        <v>10538.5</v>
      </c>
      <c r="G41" s="107"/>
    </row>
    <row r="42" spans="1:7" ht="38.25" x14ac:dyDescent="0.2">
      <c r="A42" s="57" t="s">
        <v>410</v>
      </c>
      <c r="B42" s="84" t="s">
        <v>214</v>
      </c>
      <c r="C42" s="101" t="s">
        <v>215</v>
      </c>
      <c r="D42" s="97">
        <v>260</v>
      </c>
      <c r="E42" s="97">
        <v>260</v>
      </c>
      <c r="F42" s="97">
        <v>260</v>
      </c>
      <c r="G42" s="107"/>
    </row>
    <row r="43" spans="1:7" ht="25.5" customHeight="1" x14ac:dyDescent="0.2">
      <c r="A43" s="57" t="s">
        <v>410</v>
      </c>
      <c r="B43" s="84" t="s">
        <v>266</v>
      </c>
      <c r="C43" s="101" t="s">
        <v>254</v>
      </c>
      <c r="D43" s="97">
        <v>10278.5</v>
      </c>
      <c r="E43" s="97">
        <v>10278.5</v>
      </c>
      <c r="F43" s="97">
        <v>10278.5</v>
      </c>
      <c r="G43" s="107"/>
    </row>
    <row r="44" spans="1:7" ht="38.25" x14ac:dyDescent="0.2">
      <c r="A44" s="52" t="s">
        <v>77</v>
      </c>
      <c r="B44" s="21"/>
      <c r="C44" s="46" t="s">
        <v>619</v>
      </c>
      <c r="D44" s="97">
        <f>D45+D56+D65+D72+D85</f>
        <v>358783.20000000007</v>
      </c>
      <c r="E44" s="97">
        <f>E45+E56+E65+E72+E85</f>
        <v>343292.30000000005</v>
      </c>
      <c r="F44" s="97">
        <f>F45+F56+F65+F72+F85</f>
        <v>343561.4</v>
      </c>
      <c r="G44" s="107"/>
    </row>
    <row r="45" spans="1:7" ht="51" x14ac:dyDescent="0.2">
      <c r="A45" s="21" t="s">
        <v>294</v>
      </c>
      <c r="B45" s="35"/>
      <c r="C45" s="100" t="s">
        <v>413</v>
      </c>
      <c r="D45" s="97">
        <f>D46+D48+D50+D52+D54</f>
        <v>307341.60000000003</v>
      </c>
      <c r="E45" s="97">
        <f t="shared" ref="E45:F45" si="8">E46+E48+E50+E52+E54</f>
        <v>298611.90000000002</v>
      </c>
      <c r="F45" s="97">
        <f t="shared" si="8"/>
        <v>301051.2</v>
      </c>
      <c r="G45" s="107"/>
    </row>
    <row r="46" spans="1:7" ht="66.75" customHeight="1" x14ac:dyDescent="0.2">
      <c r="A46" s="83" t="s">
        <v>415</v>
      </c>
      <c r="B46" s="84"/>
      <c r="C46" s="101" t="s">
        <v>414</v>
      </c>
      <c r="D46" s="97">
        <f>D47</f>
        <v>214831.2</v>
      </c>
      <c r="E46" s="97">
        <f>E47</f>
        <v>209914.5</v>
      </c>
      <c r="F46" s="97">
        <f>F47</f>
        <v>209914.5</v>
      </c>
      <c r="G46" s="107"/>
    </row>
    <row r="47" spans="1:7" x14ac:dyDescent="0.2">
      <c r="A47" s="57" t="s">
        <v>415</v>
      </c>
      <c r="B47" s="21" t="s">
        <v>228</v>
      </c>
      <c r="C47" s="101" t="s">
        <v>227</v>
      </c>
      <c r="D47" s="163">
        <f>210061.5-147.4+4917.1</f>
        <v>214831.2</v>
      </c>
      <c r="E47" s="163">
        <f>210062.1-147.6</f>
        <v>209914.5</v>
      </c>
      <c r="F47" s="163">
        <f>210062.1-147.6</f>
        <v>209914.5</v>
      </c>
      <c r="G47" s="107"/>
    </row>
    <row r="48" spans="1:7" ht="66.75" customHeight="1" x14ac:dyDescent="0.2">
      <c r="A48" s="57" t="s">
        <v>416</v>
      </c>
      <c r="B48" s="21"/>
      <c r="C48" s="101" t="s">
        <v>293</v>
      </c>
      <c r="D48" s="97">
        <f>D49</f>
        <v>76153.700000000012</v>
      </c>
      <c r="E48" s="97">
        <f>E49</f>
        <v>72917.2</v>
      </c>
      <c r="F48" s="97">
        <f>F49</f>
        <v>75356.5</v>
      </c>
      <c r="G48" s="107"/>
    </row>
    <row r="49" spans="1:7" x14ac:dyDescent="0.2">
      <c r="A49" s="57" t="s">
        <v>416</v>
      </c>
      <c r="B49" s="21" t="s">
        <v>228</v>
      </c>
      <c r="C49" s="101" t="s">
        <v>227</v>
      </c>
      <c r="D49" s="231">
        <f>76437.5-496+281.2+149.5+452-10.9-402.8-261.9+5.1</f>
        <v>76153.700000000012</v>
      </c>
      <c r="E49" s="97">
        <f>75586.5-2669.3</f>
        <v>72917.2</v>
      </c>
      <c r="F49" s="97">
        <v>75356.5</v>
      </c>
      <c r="G49" s="107"/>
    </row>
    <row r="50" spans="1:7" ht="49.5" customHeight="1" x14ac:dyDescent="0.2">
      <c r="A50" s="57" t="s">
        <v>418</v>
      </c>
      <c r="B50" s="21"/>
      <c r="C50" s="101" t="s">
        <v>417</v>
      </c>
      <c r="D50" s="97">
        <f>D51</f>
        <v>15780.2</v>
      </c>
      <c r="E50" s="97">
        <f>E51</f>
        <v>15780.2</v>
      </c>
      <c r="F50" s="97">
        <f>F51</f>
        <v>15780.2</v>
      </c>
      <c r="G50" s="107"/>
    </row>
    <row r="51" spans="1:7" x14ac:dyDescent="0.2">
      <c r="A51" s="21" t="s">
        <v>418</v>
      </c>
      <c r="B51" s="21" t="s">
        <v>228</v>
      </c>
      <c r="C51" s="101" t="s">
        <v>227</v>
      </c>
      <c r="D51" s="162">
        <v>15780.2</v>
      </c>
      <c r="E51" s="162">
        <v>15780.2</v>
      </c>
      <c r="F51" s="162">
        <v>15780.2</v>
      </c>
      <c r="G51" s="107"/>
    </row>
    <row r="52" spans="1:7" ht="51.75" x14ac:dyDescent="0.25">
      <c r="A52" s="229" t="s">
        <v>801</v>
      </c>
      <c r="B52" s="21"/>
      <c r="C52" s="126" t="s">
        <v>802</v>
      </c>
      <c r="D52" s="163">
        <f>D53</f>
        <v>570.70000000000005</v>
      </c>
      <c r="E52" s="163">
        <f t="shared" ref="E52:F52" si="9">E53</f>
        <v>0</v>
      </c>
      <c r="F52" s="163">
        <f t="shared" si="9"/>
        <v>0</v>
      </c>
      <c r="G52" s="107"/>
    </row>
    <row r="53" spans="1:7" ht="15" x14ac:dyDescent="0.25">
      <c r="A53" s="229" t="s">
        <v>801</v>
      </c>
      <c r="B53" s="21" t="s">
        <v>228</v>
      </c>
      <c r="C53" s="101" t="s">
        <v>227</v>
      </c>
      <c r="D53" s="162">
        <f>580.5-9.8</f>
        <v>570.70000000000005</v>
      </c>
      <c r="E53" s="163">
        <v>0</v>
      </c>
      <c r="F53" s="163">
        <v>0</v>
      </c>
      <c r="G53" s="107"/>
    </row>
    <row r="54" spans="1:7" ht="52.5" customHeight="1" x14ac:dyDescent="0.25">
      <c r="A54" s="229" t="s">
        <v>810</v>
      </c>
      <c r="B54" s="21"/>
      <c r="C54" s="126" t="s">
        <v>809</v>
      </c>
      <c r="D54" s="162">
        <f>D55</f>
        <v>5.8000000000000007</v>
      </c>
      <c r="E54" s="162">
        <f t="shared" ref="E54:F54" si="10">E55</f>
        <v>0</v>
      </c>
      <c r="F54" s="162">
        <f t="shared" si="10"/>
        <v>0</v>
      </c>
      <c r="G54" s="107"/>
    </row>
    <row r="55" spans="1:7" ht="15" x14ac:dyDescent="0.25">
      <c r="A55" s="229" t="s">
        <v>810</v>
      </c>
      <c r="B55" s="21" t="s">
        <v>228</v>
      </c>
      <c r="C55" s="101" t="s">
        <v>227</v>
      </c>
      <c r="D55" s="162">
        <f>10.9-5.1</f>
        <v>5.8000000000000007</v>
      </c>
      <c r="E55" s="163">
        <v>0</v>
      </c>
      <c r="F55" s="163">
        <v>0</v>
      </c>
      <c r="G55" s="107"/>
    </row>
    <row r="56" spans="1:7" ht="37.5" customHeight="1" x14ac:dyDescent="0.2">
      <c r="A56" s="21" t="s">
        <v>420</v>
      </c>
      <c r="B56" s="83"/>
      <c r="C56" s="100" t="s">
        <v>419</v>
      </c>
      <c r="D56" s="97">
        <f>D57+D59+D61+D63</f>
        <v>4290.2000000000007</v>
      </c>
      <c r="E56" s="97">
        <f t="shared" ref="E56:F56" si="11">E57+E59+E61+E63</f>
        <v>0</v>
      </c>
      <c r="F56" s="97">
        <f t="shared" si="11"/>
        <v>0</v>
      </c>
      <c r="G56" s="107"/>
    </row>
    <row r="57" spans="1:7" ht="51" customHeight="1" x14ac:dyDescent="0.2">
      <c r="A57" s="57" t="s">
        <v>421</v>
      </c>
      <c r="B57" s="21"/>
      <c r="C57" s="101" t="s">
        <v>422</v>
      </c>
      <c r="D57" s="97">
        <f>D58</f>
        <v>2953.8</v>
      </c>
      <c r="E57" s="97">
        <f>E58</f>
        <v>0</v>
      </c>
      <c r="F57" s="97">
        <f>F58</f>
        <v>0</v>
      </c>
      <c r="G57" s="107"/>
    </row>
    <row r="58" spans="1:7" x14ac:dyDescent="0.2">
      <c r="A58" s="57" t="s">
        <v>421</v>
      </c>
      <c r="B58" s="21" t="s">
        <v>228</v>
      </c>
      <c r="C58" s="101" t="s">
        <v>227</v>
      </c>
      <c r="D58" s="97">
        <f>1491+1294.4+168.4</f>
        <v>2953.8</v>
      </c>
      <c r="E58" s="97">
        <v>0</v>
      </c>
      <c r="F58" s="97">
        <v>0</v>
      </c>
      <c r="G58" s="107"/>
    </row>
    <row r="59" spans="1:7" ht="51.75" customHeight="1" x14ac:dyDescent="0.2">
      <c r="A59" s="57" t="s">
        <v>423</v>
      </c>
      <c r="B59" s="57"/>
      <c r="C59" s="153" t="s">
        <v>424</v>
      </c>
      <c r="D59" s="97">
        <f>D60</f>
        <v>676.4</v>
      </c>
      <c r="E59" s="97">
        <f>E60</f>
        <v>0</v>
      </c>
      <c r="F59" s="97">
        <f>F60</f>
        <v>0</v>
      </c>
      <c r="G59" s="107"/>
    </row>
    <row r="60" spans="1:7" x14ac:dyDescent="0.2">
      <c r="A60" s="57" t="s">
        <v>423</v>
      </c>
      <c r="B60" s="21" t="s">
        <v>228</v>
      </c>
      <c r="C60" s="101" t="s">
        <v>227</v>
      </c>
      <c r="D60" s="97">
        <f>423.8+200+52.6</f>
        <v>676.4</v>
      </c>
      <c r="E60" s="97">
        <v>0</v>
      </c>
      <c r="F60" s="97">
        <v>0</v>
      </c>
      <c r="G60" s="107"/>
    </row>
    <row r="61" spans="1:7" ht="38.25" x14ac:dyDescent="0.2">
      <c r="A61" s="193" t="s">
        <v>729</v>
      </c>
      <c r="B61" s="21"/>
      <c r="C61" s="54" t="s">
        <v>728</v>
      </c>
      <c r="D61" s="97">
        <f>D62</f>
        <v>500</v>
      </c>
      <c r="E61" s="97">
        <f t="shared" ref="E61:F61" si="12">E62</f>
        <v>0</v>
      </c>
      <c r="F61" s="97">
        <f t="shared" si="12"/>
        <v>0</v>
      </c>
      <c r="G61" s="107"/>
    </row>
    <row r="62" spans="1:7" x14ac:dyDescent="0.2">
      <c r="A62" s="193" t="s">
        <v>729</v>
      </c>
      <c r="B62" s="21" t="s">
        <v>228</v>
      </c>
      <c r="C62" s="101" t="s">
        <v>227</v>
      </c>
      <c r="D62" s="97">
        <v>500</v>
      </c>
      <c r="E62" s="97">
        <v>0</v>
      </c>
      <c r="F62" s="97">
        <v>0</v>
      </c>
      <c r="G62" s="107"/>
    </row>
    <row r="63" spans="1:7" ht="38.25" x14ac:dyDescent="0.2">
      <c r="A63" s="195" t="s">
        <v>732</v>
      </c>
      <c r="B63" s="21"/>
      <c r="C63" s="153" t="s">
        <v>733</v>
      </c>
      <c r="D63" s="97">
        <f>D64</f>
        <v>160</v>
      </c>
      <c r="E63" s="97">
        <f t="shared" ref="E63:F63" si="13">E64</f>
        <v>0</v>
      </c>
      <c r="F63" s="97">
        <f t="shared" si="13"/>
        <v>0</v>
      </c>
      <c r="G63" s="107"/>
    </row>
    <row r="64" spans="1:7" x14ac:dyDescent="0.2">
      <c r="A64" s="195" t="s">
        <v>732</v>
      </c>
      <c r="B64" s="21" t="s">
        <v>228</v>
      </c>
      <c r="C64" s="101" t="s">
        <v>227</v>
      </c>
      <c r="D64" s="97">
        <v>160</v>
      </c>
      <c r="E64" s="97">
        <v>0</v>
      </c>
      <c r="F64" s="97">
        <v>0</v>
      </c>
      <c r="G64" s="107"/>
    </row>
    <row r="65" spans="1:7" ht="50.25" customHeight="1" x14ac:dyDescent="0.2">
      <c r="A65" s="21" t="s">
        <v>425</v>
      </c>
      <c r="B65" s="21"/>
      <c r="C65" s="100" t="s">
        <v>658</v>
      </c>
      <c r="D65" s="97">
        <f>D66+D68+D70</f>
        <v>20418.199999999997</v>
      </c>
      <c r="E65" s="97">
        <f>E66+E68+E70</f>
        <v>22800</v>
      </c>
      <c r="F65" s="97">
        <f>F66+F68+F70</f>
        <v>20130.699999999997</v>
      </c>
      <c r="G65" s="107"/>
    </row>
    <row r="66" spans="1:7" ht="38.25" customHeight="1" x14ac:dyDescent="0.2">
      <c r="A66" s="57" t="s">
        <v>426</v>
      </c>
      <c r="B66" s="21"/>
      <c r="C66" s="101" t="s">
        <v>316</v>
      </c>
      <c r="D66" s="97">
        <f>D67</f>
        <v>5360.4</v>
      </c>
      <c r="E66" s="97">
        <f>E67</f>
        <v>5360.4</v>
      </c>
      <c r="F66" s="97">
        <f>F67</f>
        <v>5360.4</v>
      </c>
      <c r="G66" s="107"/>
    </row>
    <row r="67" spans="1:7" x14ac:dyDescent="0.2">
      <c r="A67" s="57" t="s">
        <v>426</v>
      </c>
      <c r="B67" s="21" t="s">
        <v>228</v>
      </c>
      <c r="C67" s="101" t="s">
        <v>227</v>
      </c>
      <c r="D67" s="163">
        <v>5360.4</v>
      </c>
      <c r="E67" s="163">
        <v>5360.4</v>
      </c>
      <c r="F67" s="163">
        <v>5360.4</v>
      </c>
      <c r="G67" s="107"/>
    </row>
    <row r="68" spans="1:7" ht="65.25" customHeight="1" x14ac:dyDescent="0.2">
      <c r="A68" s="21" t="s">
        <v>427</v>
      </c>
      <c r="B68" s="21"/>
      <c r="C68" s="101" t="s">
        <v>137</v>
      </c>
      <c r="D68" s="97">
        <f>D69</f>
        <v>14770.3</v>
      </c>
      <c r="E68" s="97">
        <f>E69</f>
        <v>17439.599999999999</v>
      </c>
      <c r="F68" s="97">
        <f>F69</f>
        <v>14770.3</v>
      </c>
      <c r="G68" s="107"/>
    </row>
    <row r="69" spans="1:7" x14ac:dyDescent="0.2">
      <c r="A69" s="21" t="s">
        <v>427</v>
      </c>
      <c r="B69" s="21" t="s">
        <v>228</v>
      </c>
      <c r="C69" s="101" t="s">
        <v>227</v>
      </c>
      <c r="D69" s="97">
        <v>14770.3</v>
      </c>
      <c r="E69" s="97">
        <f>14770.3+2669.3</f>
        <v>17439.599999999999</v>
      </c>
      <c r="F69" s="97">
        <v>14770.3</v>
      </c>
      <c r="G69" s="107"/>
    </row>
    <row r="70" spans="1:7" ht="52.5" customHeight="1" x14ac:dyDescent="0.2">
      <c r="A70" s="21" t="s">
        <v>428</v>
      </c>
      <c r="B70" s="21"/>
      <c r="C70" s="101" t="s">
        <v>632</v>
      </c>
      <c r="D70" s="97">
        <f>D71</f>
        <v>287.5</v>
      </c>
      <c r="E70" s="97">
        <f>E71</f>
        <v>0</v>
      </c>
      <c r="F70" s="97">
        <f>F71</f>
        <v>0</v>
      </c>
      <c r="G70" s="107"/>
    </row>
    <row r="71" spans="1:7" x14ac:dyDescent="0.2">
      <c r="A71" s="21" t="s">
        <v>428</v>
      </c>
      <c r="B71" s="21" t="s">
        <v>228</v>
      </c>
      <c r="C71" s="101" t="s">
        <v>227</v>
      </c>
      <c r="D71" s="41">
        <f>497-78-131.5</f>
        <v>287.5</v>
      </c>
      <c r="E71" s="41">
        <v>0</v>
      </c>
      <c r="F71" s="41">
        <v>0</v>
      </c>
      <c r="G71" s="107"/>
    </row>
    <row r="72" spans="1:7" ht="51" x14ac:dyDescent="0.2">
      <c r="A72" s="21" t="s">
        <v>429</v>
      </c>
      <c r="B72" s="21"/>
      <c r="C72" s="100" t="s">
        <v>430</v>
      </c>
      <c r="D72" s="41">
        <f>D73+D75+D78+D80+D83</f>
        <v>26063.200000000001</v>
      </c>
      <c r="E72" s="41">
        <f>E73+E75+E78+E80</f>
        <v>21880.400000000001</v>
      </c>
      <c r="F72" s="41">
        <f>F73+F75+F78+F80</f>
        <v>22379.5</v>
      </c>
      <c r="G72" s="107"/>
    </row>
    <row r="73" spans="1:7" ht="53.25" customHeight="1" x14ac:dyDescent="0.2">
      <c r="A73" s="21" t="s">
        <v>431</v>
      </c>
      <c r="B73" s="84"/>
      <c r="C73" s="55" t="s">
        <v>391</v>
      </c>
      <c r="D73" s="41">
        <f>D74</f>
        <v>18083.2</v>
      </c>
      <c r="E73" s="41">
        <f>E74</f>
        <v>17775.400000000001</v>
      </c>
      <c r="F73" s="41">
        <f>F74</f>
        <v>18274.599999999999</v>
      </c>
      <c r="G73" s="107"/>
    </row>
    <row r="74" spans="1:7" x14ac:dyDescent="0.2">
      <c r="A74" s="21" t="s">
        <v>431</v>
      </c>
      <c r="B74" s="21" t="s">
        <v>228</v>
      </c>
      <c r="C74" s="101" t="s">
        <v>227</v>
      </c>
      <c r="D74" s="162">
        <v>18083.2</v>
      </c>
      <c r="E74" s="162">
        <v>17775.400000000001</v>
      </c>
      <c r="F74" s="162">
        <v>18274.599999999999</v>
      </c>
      <c r="G74" s="107"/>
    </row>
    <row r="75" spans="1:7" ht="29.25" customHeight="1" x14ac:dyDescent="0.2">
      <c r="A75" s="57" t="s">
        <v>615</v>
      </c>
      <c r="B75" s="21"/>
      <c r="C75" s="101" t="s">
        <v>136</v>
      </c>
      <c r="D75" s="41">
        <f>SUM(D76:D77)</f>
        <v>135.30000000000001</v>
      </c>
      <c r="E75" s="41">
        <f>SUM(E76:E77)</f>
        <v>135.30000000000001</v>
      </c>
      <c r="F75" s="41">
        <f>SUM(F76:F77)</f>
        <v>135.19999999999999</v>
      </c>
      <c r="G75" s="107"/>
    </row>
    <row r="76" spans="1:7" ht="29.25" customHeight="1" x14ac:dyDescent="0.2">
      <c r="A76" s="57" t="s">
        <v>615</v>
      </c>
      <c r="B76" s="84" t="s">
        <v>66</v>
      </c>
      <c r="C76" s="55" t="s">
        <v>132</v>
      </c>
      <c r="D76" s="41">
        <f>64.4-26.3-14.3</f>
        <v>23.800000000000008</v>
      </c>
      <c r="E76" s="41">
        <v>64.400000000000006</v>
      </c>
      <c r="F76" s="41">
        <v>64.400000000000006</v>
      </c>
      <c r="G76" s="107"/>
    </row>
    <row r="77" spans="1:7" ht="38.25" x14ac:dyDescent="0.2">
      <c r="A77" s="57" t="s">
        <v>615</v>
      </c>
      <c r="B77" s="84" t="s">
        <v>214</v>
      </c>
      <c r="C77" s="101" t="s">
        <v>215</v>
      </c>
      <c r="D77" s="41">
        <f>70.9+26.3+14.3</f>
        <v>111.5</v>
      </c>
      <c r="E77" s="41">
        <v>70.900000000000006</v>
      </c>
      <c r="F77" s="41">
        <v>70.8</v>
      </c>
      <c r="G77" s="107"/>
    </row>
    <row r="78" spans="1:7" x14ac:dyDescent="0.2">
      <c r="A78" s="57" t="s">
        <v>432</v>
      </c>
      <c r="B78" s="21"/>
      <c r="C78" s="101" t="s">
        <v>47</v>
      </c>
      <c r="D78" s="41">
        <f>D79</f>
        <v>1342.4</v>
      </c>
      <c r="E78" s="41">
        <f>E79</f>
        <v>1200.2</v>
      </c>
      <c r="F78" s="41">
        <f>F79</f>
        <v>1200.2</v>
      </c>
      <c r="G78" s="107"/>
    </row>
    <row r="79" spans="1:7" x14ac:dyDescent="0.2">
      <c r="A79" s="57" t="s">
        <v>432</v>
      </c>
      <c r="B79" s="21" t="s">
        <v>228</v>
      </c>
      <c r="C79" s="101" t="s">
        <v>227</v>
      </c>
      <c r="D79" s="41">
        <f>1200.2+142.2</f>
        <v>1342.4</v>
      </c>
      <c r="E79" s="41">
        <v>1200.2</v>
      </c>
      <c r="F79" s="41">
        <v>1200.2</v>
      </c>
      <c r="G79" s="107"/>
    </row>
    <row r="80" spans="1:7" ht="39" customHeight="1" x14ac:dyDescent="0.2">
      <c r="A80" s="57" t="s">
        <v>434</v>
      </c>
      <c r="B80" s="21"/>
      <c r="C80" s="101" t="s">
        <v>433</v>
      </c>
      <c r="D80" s="41">
        <f>SUM(D81:D82)</f>
        <v>2769.5</v>
      </c>
      <c r="E80" s="41">
        <f>SUM(E81:E82)</f>
        <v>2769.5</v>
      </c>
      <c r="F80" s="41">
        <f>SUM(F81:F82)</f>
        <v>2769.5</v>
      </c>
      <c r="G80" s="107"/>
    </row>
    <row r="81" spans="1:7" x14ac:dyDescent="0.2">
      <c r="A81" s="57" t="s">
        <v>434</v>
      </c>
      <c r="B81" s="21" t="s">
        <v>228</v>
      </c>
      <c r="C81" s="101" t="s">
        <v>227</v>
      </c>
      <c r="D81" s="163">
        <v>2049</v>
      </c>
      <c r="E81" s="163">
        <v>2049</v>
      </c>
      <c r="F81" s="163">
        <v>2049</v>
      </c>
      <c r="G81" s="107"/>
    </row>
    <row r="82" spans="1:7" ht="63.75" x14ac:dyDescent="0.2">
      <c r="A82" s="57" t="s">
        <v>434</v>
      </c>
      <c r="B82" s="16" t="s">
        <v>13</v>
      </c>
      <c r="C82" s="101" t="s">
        <v>381</v>
      </c>
      <c r="D82" s="41">
        <v>720.5</v>
      </c>
      <c r="E82" s="41">
        <v>720.5</v>
      </c>
      <c r="F82" s="41">
        <v>720.5</v>
      </c>
      <c r="G82" s="107"/>
    </row>
    <row r="83" spans="1:7" ht="54" customHeight="1" x14ac:dyDescent="0.2">
      <c r="A83" s="57" t="s">
        <v>610</v>
      </c>
      <c r="B83" s="16"/>
      <c r="C83" s="101" t="s">
        <v>611</v>
      </c>
      <c r="D83" s="41">
        <f>D84</f>
        <v>3732.8</v>
      </c>
      <c r="E83" s="41">
        <f t="shared" ref="E83:F83" si="14">E84</f>
        <v>0</v>
      </c>
      <c r="F83" s="41">
        <f t="shared" si="14"/>
        <v>0</v>
      </c>
      <c r="G83" s="107"/>
    </row>
    <row r="84" spans="1:7" x14ac:dyDescent="0.2">
      <c r="A84" s="57" t="s">
        <v>610</v>
      </c>
      <c r="B84" s="21" t="s">
        <v>228</v>
      </c>
      <c r="C84" s="101" t="s">
        <v>227</v>
      </c>
      <c r="D84" s="41">
        <f>4063-330.2</f>
        <v>3732.8</v>
      </c>
      <c r="E84" s="41">
        <v>0</v>
      </c>
      <c r="F84" s="41">
        <v>0</v>
      </c>
      <c r="G84" s="107"/>
    </row>
    <row r="85" spans="1:7" ht="38.25" x14ac:dyDescent="0.2">
      <c r="A85" s="183" t="s">
        <v>713</v>
      </c>
      <c r="B85" s="21"/>
      <c r="C85" s="155" t="s">
        <v>711</v>
      </c>
      <c r="D85" s="41">
        <f>D86+423</f>
        <v>670</v>
      </c>
      <c r="E85" s="41">
        <f t="shared" ref="E85:F86" si="15">E86</f>
        <v>0</v>
      </c>
      <c r="F85" s="41">
        <f t="shared" si="15"/>
        <v>0</v>
      </c>
      <c r="G85" s="107"/>
    </row>
    <row r="86" spans="1:7" ht="25.5" x14ac:dyDescent="0.2">
      <c r="A86" s="183" t="s">
        <v>712</v>
      </c>
      <c r="B86" s="21"/>
      <c r="C86" s="100" t="s">
        <v>714</v>
      </c>
      <c r="D86" s="41">
        <f>D87</f>
        <v>247</v>
      </c>
      <c r="E86" s="41">
        <f t="shared" si="15"/>
        <v>0</v>
      </c>
      <c r="F86" s="41">
        <f t="shared" si="15"/>
        <v>0</v>
      </c>
      <c r="G86" s="107"/>
    </row>
    <row r="87" spans="1:7" x14ac:dyDescent="0.2">
      <c r="A87" s="183" t="s">
        <v>712</v>
      </c>
      <c r="B87" s="21" t="s">
        <v>228</v>
      </c>
      <c r="C87" s="101" t="s">
        <v>227</v>
      </c>
      <c r="D87" s="41">
        <v>247</v>
      </c>
      <c r="E87" s="41">
        <v>0</v>
      </c>
      <c r="F87" s="41">
        <v>0</v>
      </c>
      <c r="G87" s="107"/>
    </row>
    <row r="88" spans="1:7" ht="25.5" x14ac:dyDescent="0.2">
      <c r="A88" s="193" t="s">
        <v>725</v>
      </c>
      <c r="B88" s="21"/>
      <c r="C88" s="100" t="s">
        <v>714</v>
      </c>
      <c r="D88" s="41">
        <f>D89</f>
        <v>423</v>
      </c>
      <c r="E88" s="41">
        <f t="shared" ref="E88:F88" si="16">E89</f>
        <v>0</v>
      </c>
      <c r="F88" s="41">
        <f t="shared" si="16"/>
        <v>0</v>
      </c>
      <c r="G88" s="107"/>
    </row>
    <row r="89" spans="1:7" x14ac:dyDescent="0.2">
      <c r="A89" s="193" t="s">
        <v>725</v>
      </c>
      <c r="B89" s="21" t="s">
        <v>228</v>
      </c>
      <c r="C89" s="101" t="s">
        <v>227</v>
      </c>
      <c r="D89" s="41">
        <v>423</v>
      </c>
      <c r="E89" s="41">
        <v>0</v>
      </c>
      <c r="F89" s="41">
        <v>0</v>
      </c>
      <c r="G89" s="107"/>
    </row>
    <row r="90" spans="1:7" ht="38.25" x14ac:dyDescent="0.2">
      <c r="A90" s="52" t="s">
        <v>435</v>
      </c>
      <c r="B90" s="35"/>
      <c r="C90" s="46" t="s">
        <v>436</v>
      </c>
      <c r="D90" s="97">
        <f>D91+D104+D109</f>
        <v>44029.400000000009</v>
      </c>
      <c r="E90" s="97">
        <f>E91+E104+E109</f>
        <v>40088.799999999996</v>
      </c>
      <c r="F90" s="97">
        <f>F91+F104+F109</f>
        <v>39788.799999999996</v>
      </c>
      <c r="G90" s="107"/>
    </row>
    <row r="91" spans="1:7" ht="51" x14ac:dyDescent="0.2">
      <c r="A91" s="21" t="s">
        <v>440</v>
      </c>
      <c r="B91" s="21"/>
      <c r="C91" s="100" t="s">
        <v>437</v>
      </c>
      <c r="D91" s="41">
        <f>D92+D94+D96+D98+D100+D102</f>
        <v>42105.500000000007</v>
      </c>
      <c r="E91" s="41">
        <f>E92+E94+E96+E98+E100+E102</f>
        <v>39158.799999999996</v>
      </c>
      <c r="F91" s="41">
        <f>F92+F94+F96+F98+F100+F102</f>
        <v>38858.799999999996</v>
      </c>
      <c r="G91" s="107"/>
    </row>
    <row r="92" spans="1:7" ht="63" customHeight="1" x14ac:dyDescent="0.2">
      <c r="A92" s="193" t="s">
        <v>439</v>
      </c>
      <c r="B92" s="16"/>
      <c r="C92" s="101" t="s">
        <v>438</v>
      </c>
      <c r="D92" s="97">
        <f>D93</f>
        <v>31117.900000000005</v>
      </c>
      <c r="E92" s="97">
        <f t="shared" ref="E92:F92" si="17">E93</f>
        <v>32506.3</v>
      </c>
      <c r="F92" s="97">
        <f t="shared" si="17"/>
        <v>32206.3</v>
      </c>
      <c r="G92" s="107"/>
    </row>
    <row r="93" spans="1:7" x14ac:dyDescent="0.2">
      <c r="A93" s="193" t="s">
        <v>439</v>
      </c>
      <c r="B93" s="21" t="s">
        <v>228</v>
      </c>
      <c r="C93" s="101" t="s">
        <v>227</v>
      </c>
      <c r="D93" s="97">
        <f>32611.3-72+140.7-4583.6-20.6-4.3+344.8+1.9+83.2+2616.5</f>
        <v>31117.900000000005</v>
      </c>
      <c r="E93" s="97">
        <v>32506.3</v>
      </c>
      <c r="F93" s="97">
        <v>32206.3</v>
      </c>
      <c r="G93" s="107"/>
    </row>
    <row r="94" spans="1:7" ht="38.25" x14ac:dyDescent="0.2">
      <c r="A94" s="193" t="s">
        <v>753</v>
      </c>
      <c r="B94" s="21"/>
      <c r="C94" s="153" t="s">
        <v>755</v>
      </c>
      <c r="D94" s="97">
        <f>SUM(D95:D95)</f>
        <v>1992.0999999999995</v>
      </c>
      <c r="E94" s="97">
        <f>SUM(E95:E95)</f>
        <v>0</v>
      </c>
      <c r="F94" s="97">
        <f>SUM(F95:F95)</f>
        <v>0</v>
      </c>
      <c r="G94" s="107"/>
    </row>
    <row r="95" spans="1:7" x14ac:dyDescent="0.2">
      <c r="A95" s="193" t="s">
        <v>753</v>
      </c>
      <c r="B95" s="21" t="s">
        <v>228</v>
      </c>
      <c r="C95" s="101" t="s">
        <v>227</v>
      </c>
      <c r="D95" s="97">
        <f>4629.4-20.8-2616.5</f>
        <v>1992.0999999999995</v>
      </c>
      <c r="E95" s="97">
        <v>0</v>
      </c>
      <c r="F95" s="97">
        <v>0</v>
      </c>
      <c r="G95" s="107"/>
    </row>
    <row r="96" spans="1:7" ht="67.5" customHeight="1" x14ac:dyDescent="0.2">
      <c r="A96" s="57" t="s">
        <v>441</v>
      </c>
      <c r="B96" s="21"/>
      <c r="C96" s="101" t="s">
        <v>442</v>
      </c>
      <c r="D96" s="97">
        <f>D97</f>
        <v>8668.6</v>
      </c>
      <c r="E96" s="97">
        <f>E97</f>
        <v>6585.8</v>
      </c>
      <c r="F96" s="97">
        <f>F97</f>
        <v>6585.8</v>
      </c>
      <c r="G96" s="107"/>
    </row>
    <row r="97" spans="1:7" x14ac:dyDescent="0.2">
      <c r="A97" s="57" t="s">
        <v>441</v>
      </c>
      <c r="B97" s="21" t="s">
        <v>228</v>
      </c>
      <c r="C97" s="101" t="s">
        <v>227</v>
      </c>
      <c r="D97" s="164">
        <f>6585.8+2082.8</f>
        <v>8668.6</v>
      </c>
      <c r="E97" s="164">
        <v>6585.8</v>
      </c>
      <c r="F97" s="164">
        <v>6585.8</v>
      </c>
      <c r="G97" s="107"/>
    </row>
    <row r="98" spans="1:7" ht="66" customHeight="1" x14ac:dyDescent="0.2">
      <c r="A98" s="57" t="s">
        <v>443</v>
      </c>
      <c r="B98" s="57"/>
      <c r="C98" s="101" t="s">
        <v>444</v>
      </c>
      <c r="D98" s="102">
        <f>D99</f>
        <v>87.300000000000011</v>
      </c>
      <c r="E98" s="102">
        <f>E99</f>
        <v>66.7</v>
      </c>
      <c r="F98" s="102">
        <f>F99</f>
        <v>66.7</v>
      </c>
      <c r="G98" s="107"/>
    </row>
    <row r="99" spans="1:7" x14ac:dyDescent="0.2">
      <c r="A99" s="21" t="s">
        <v>443</v>
      </c>
      <c r="B99" s="21" t="s">
        <v>228</v>
      </c>
      <c r="C99" s="101" t="s">
        <v>227</v>
      </c>
      <c r="D99" s="41">
        <f>66.7+20.6</f>
        <v>87.300000000000011</v>
      </c>
      <c r="E99" s="41">
        <v>66.7</v>
      </c>
      <c r="F99" s="41">
        <v>66.7</v>
      </c>
      <c r="G99" s="107"/>
    </row>
    <row r="100" spans="1:7" ht="51" x14ac:dyDescent="0.2">
      <c r="A100" s="21" t="s">
        <v>803</v>
      </c>
      <c r="B100" s="21"/>
      <c r="C100" s="126" t="s">
        <v>804</v>
      </c>
      <c r="D100" s="41">
        <f>D101</f>
        <v>237.20000000000002</v>
      </c>
      <c r="E100" s="41">
        <f t="shared" ref="E100:F100" si="18">E101</f>
        <v>0</v>
      </c>
      <c r="F100" s="41">
        <f t="shared" si="18"/>
        <v>0</v>
      </c>
      <c r="G100" s="107"/>
    </row>
    <row r="101" spans="1:7" x14ac:dyDescent="0.2">
      <c r="A101" s="21" t="s">
        <v>803</v>
      </c>
      <c r="B101" s="21" t="s">
        <v>228</v>
      </c>
      <c r="C101" s="101" t="s">
        <v>227</v>
      </c>
      <c r="D101" s="41">
        <f>235.3+1.9</f>
        <v>237.20000000000002</v>
      </c>
      <c r="E101" s="41">
        <v>0</v>
      </c>
      <c r="F101" s="41">
        <v>0</v>
      </c>
      <c r="G101" s="107"/>
    </row>
    <row r="102" spans="1:7" ht="63.75" x14ac:dyDescent="0.2">
      <c r="A102" s="21" t="s">
        <v>811</v>
      </c>
      <c r="B102" s="21"/>
      <c r="C102" s="126" t="s">
        <v>812</v>
      </c>
      <c r="D102" s="41">
        <f>D103</f>
        <v>2.4</v>
      </c>
      <c r="E102" s="41">
        <f t="shared" ref="E102:F102" si="19">E103</f>
        <v>0</v>
      </c>
      <c r="F102" s="41">
        <f t="shared" si="19"/>
        <v>0</v>
      </c>
      <c r="G102" s="107"/>
    </row>
    <row r="103" spans="1:7" x14ac:dyDescent="0.2">
      <c r="A103" s="21" t="s">
        <v>811</v>
      </c>
      <c r="B103" s="21" t="s">
        <v>228</v>
      </c>
      <c r="C103" s="101" t="s">
        <v>227</v>
      </c>
      <c r="D103" s="41">
        <f>4.3-1.9</f>
        <v>2.4</v>
      </c>
      <c r="E103" s="41">
        <v>0</v>
      </c>
      <c r="F103" s="41">
        <v>0</v>
      </c>
      <c r="G103" s="107"/>
    </row>
    <row r="104" spans="1:7" ht="24.75" customHeight="1" x14ac:dyDescent="0.2">
      <c r="A104" s="21" t="s">
        <v>446</v>
      </c>
      <c r="B104" s="35"/>
      <c r="C104" s="100" t="s">
        <v>445</v>
      </c>
      <c r="D104" s="41">
        <f>D105+D107</f>
        <v>1007.8</v>
      </c>
      <c r="E104" s="41">
        <f t="shared" ref="E104:F104" si="20">E105+E107</f>
        <v>0</v>
      </c>
      <c r="F104" s="41">
        <f t="shared" si="20"/>
        <v>0</v>
      </c>
      <c r="G104" s="107"/>
    </row>
    <row r="105" spans="1:7" ht="52.5" customHeight="1" x14ac:dyDescent="0.2">
      <c r="A105" s="57" t="s">
        <v>447</v>
      </c>
      <c r="B105" s="84"/>
      <c r="C105" s="101" t="s">
        <v>448</v>
      </c>
      <c r="D105" s="41">
        <f>D106</f>
        <v>470</v>
      </c>
      <c r="E105" s="41">
        <f>E106</f>
        <v>0</v>
      </c>
      <c r="F105" s="41">
        <f>F106</f>
        <v>0</v>
      </c>
      <c r="G105" s="107"/>
    </row>
    <row r="106" spans="1:7" x14ac:dyDescent="0.2">
      <c r="A106" s="57" t="s">
        <v>447</v>
      </c>
      <c r="B106" s="21" t="s">
        <v>228</v>
      </c>
      <c r="C106" s="101" t="s">
        <v>227</v>
      </c>
      <c r="D106" s="41">
        <f>500-30</f>
        <v>470</v>
      </c>
      <c r="E106" s="41">
        <v>0</v>
      </c>
      <c r="F106" s="41">
        <v>0</v>
      </c>
      <c r="G106" s="107"/>
    </row>
    <row r="107" spans="1:7" ht="25.5" x14ac:dyDescent="0.2">
      <c r="A107" s="192" t="s">
        <v>721</v>
      </c>
      <c r="B107" s="21"/>
      <c r="C107" s="54" t="s">
        <v>722</v>
      </c>
      <c r="D107" s="41">
        <f>D108</f>
        <v>537.79999999999995</v>
      </c>
      <c r="E107" s="41">
        <f t="shared" ref="E107:F107" si="21">E108</f>
        <v>0</v>
      </c>
      <c r="F107" s="41">
        <f t="shared" si="21"/>
        <v>0</v>
      </c>
      <c r="G107" s="107"/>
    </row>
    <row r="108" spans="1:7" x14ac:dyDescent="0.2">
      <c r="A108" s="192" t="s">
        <v>721</v>
      </c>
      <c r="B108" s="21" t="s">
        <v>228</v>
      </c>
      <c r="C108" s="101" t="s">
        <v>227</v>
      </c>
      <c r="D108" s="41">
        <v>537.79999999999995</v>
      </c>
      <c r="E108" s="41">
        <v>0</v>
      </c>
      <c r="F108" s="41">
        <v>0</v>
      </c>
      <c r="G108" s="107"/>
    </row>
    <row r="109" spans="1:7" ht="25.5" customHeight="1" x14ac:dyDescent="0.2">
      <c r="A109" s="21" t="s">
        <v>450</v>
      </c>
      <c r="B109" s="84"/>
      <c r="C109" s="100" t="s">
        <v>449</v>
      </c>
      <c r="D109" s="41">
        <f>D110+D112+D114+D116</f>
        <v>916.1</v>
      </c>
      <c r="E109" s="41">
        <f t="shared" ref="E109:F109" si="22">E110+E112+E114+E116</f>
        <v>930</v>
      </c>
      <c r="F109" s="41">
        <f t="shared" si="22"/>
        <v>930</v>
      </c>
      <c r="G109" s="107"/>
    </row>
    <row r="110" spans="1:7" ht="52.5" customHeight="1" x14ac:dyDescent="0.2">
      <c r="A110" s="57" t="s">
        <v>618</v>
      </c>
      <c r="B110" s="21"/>
      <c r="C110" s="126" t="s">
        <v>451</v>
      </c>
      <c r="D110" s="97">
        <f>D111</f>
        <v>530</v>
      </c>
      <c r="E110" s="97">
        <f t="shared" ref="E110:F110" si="23">E111</f>
        <v>530</v>
      </c>
      <c r="F110" s="97">
        <f t="shared" si="23"/>
        <v>530</v>
      </c>
      <c r="G110" s="107"/>
    </row>
    <row r="111" spans="1:7" x14ac:dyDescent="0.2">
      <c r="A111" s="57" t="s">
        <v>618</v>
      </c>
      <c r="B111" s="21" t="s">
        <v>228</v>
      </c>
      <c r="C111" s="101" t="s">
        <v>227</v>
      </c>
      <c r="D111" s="97">
        <v>530</v>
      </c>
      <c r="E111" s="97">
        <v>530</v>
      </c>
      <c r="F111" s="97">
        <v>530</v>
      </c>
      <c r="G111" s="107"/>
    </row>
    <row r="112" spans="1:7" ht="54" customHeight="1" x14ac:dyDescent="0.2">
      <c r="A112" s="182" t="s">
        <v>633</v>
      </c>
      <c r="B112" s="21"/>
      <c r="C112" s="101" t="s">
        <v>632</v>
      </c>
      <c r="D112" s="97">
        <f>D113</f>
        <v>30</v>
      </c>
      <c r="E112" s="97">
        <f t="shared" ref="E112:F112" si="24">E113</f>
        <v>0</v>
      </c>
      <c r="F112" s="97">
        <f t="shared" si="24"/>
        <v>0</v>
      </c>
      <c r="G112" s="107"/>
    </row>
    <row r="113" spans="1:7" x14ac:dyDescent="0.2">
      <c r="A113" s="182" t="s">
        <v>633</v>
      </c>
      <c r="B113" s="21" t="s">
        <v>228</v>
      </c>
      <c r="C113" s="101" t="s">
        <v>227</v>
      </c>
      <c r="D113" s="97">
        <v>30</v>
      </c>
      <c r="E113" s="97">
        <v>0</v>
      </c>
      <c r="F113" s="97">
        <v>0</v>
      </c>
      <c r="G113" s="107"/>
    </row>
    <row r="114" spans="1:7" ht="25.5" customHeight="1" x14ac:dyDescent="0.2">
      <c r="A114" s="57" t="s">
        <v>452</v>
      </c>
      <c r="B114" s="21"/>
      <c r="C114" s="101" t="s">
        <v>186</v>
      </c>
      <c r="D114" s="41">
        <f>D115</f>
        <v>250</v>
      </c>
      <c r="E114" s="41">
        <f t="shared" ref="E114:F114" si="25">E115</f>
        <v>250</v>
      </c>
      <c r="F114" s="41">
        <f t="shared" si="25"/>
        <v>250</v>
      </c>
      <c r="G114" s="107"/>
    </row>
    <row r="115" spans="1:7" x14ac:dyDescent="0.2">
      <c r="A115" s="57" t="s">
        <v>452</v>
      </c>
      <c r="B115" s="21" t="s">
        <v>228</v>
      </c>
      <c r="C115" s="101" t="s">
        <v>227</v>
      </c>
      <c r="D115" s="41">
        <v>250</v>
      </c>
      <c r="E115" s="41">
        <v>250</v>
      </c>
      <c r="F115" s="41">
        <v>250</v>
      </c>
      <c r="G115" s="107"/>
    </row>
    <row r="116" spans="1:7" ht="27" customHeight="1" x14ac:dyDescent="0.2">
      <c r="A116" s="127" t="s">
        <v>453</v>
      </c>
      <c r="B116" s="125"/>
      <c r="C116" s="101" t="s">
        <v>454</v>
      </c>
      <c r="D116" s="110">
        <f>D117</f>
        <v>106.1</v>
      </c>
      <c r="E116" s="110">
        <f t="shared" ref="E116:F116" si="26">E117</f>
        <v>150</v>
      </c>
      <c r="F116" s="110">
        <f t="shared" si="26"/>
        <v>150</v>
      </c>
      <c r="G116" s="107"/>
    </row>
    <row r="117" spans="1:7" x14ac:dyDescent="0.2">
      <c r="A117" s="127" t="s">
        <v>453</v>
      </c>
      <c r="B117" s="21" t="s">
        <v>228</v>
      </c>
      <c r="C117" s="101" t="s">
        <v>227</v>
      </c>
      <c r="D117" s="110">
        <f>150-43.9</f>
        <v>106.1</v>
      </c>
      <c r="E117" s="110">
        <v>150</v>
      </c>
      <c r="F117" s="110">
        <v>150</v>
      </c>
      <c r="G117" s="107"/>
    </row>
    <row r="118" spans="1:7" ht="26.25" customHeight="1" x14ac:dyDescent="0.2">
      <c r="A118" s="52" t="s">
        <v>456</v>
      </c>
      <c r="B118" s="84"/>
      <c r="C118" s="46" t="s">
        <v>455</v>
      </c>
      <c r="D118" s="110">
        <f>D119+D126+D133+D143</f>
        <v>2725.4</v>
      </c>
      <c r="E118" s="110">
        <f t="shared" ref="E118:F118" si="27">E119+E126+E133+E143</f>
        <v>2766.4</v>
      </c>
      <c r="F118" s="110">
        <f t="shared" si="27"/>
        <v>2766.4</v>
      </c>
      <c r="G118" s="107"/>
    </row>
    <row r="119" spans="1:7" ht="26.25" customHeight="1" x14ac:dyDescent="0.2">
      <c r="A119" s="21" t="s">
        <v>457</v>
      </c>
      <c r="B119" s="21"/>
      <c r="C119" s="100" t="s">
        <v>506</v>
      </c>
      <c r="D119" s="110">
        <f>D120+D122+D124</f>
        <v>348.2</v>
      </c>
      <c r="E119" s="110">
        <f>E120+E122+E124</f>
        <v>355.2</v>
      </c>
      <c r="F119" s="110">
        <f>F120+F122+F124</f>
        <v>355.2</v>
      </c>
      <c r="G119" s="107"/>
    </row>
    <row r="120" spans="1:7" ht="38.25" x14ac:dyDescent="0.2">
      <c r="A120" s="21" t="s">
        <v>616</v>
      </c>
      <c r="B120" s="16"/>
      <c r="C120" s="100" t="s">
        <v>458</v>
      </c>
      <c r="D120" s="102">
        <f>D121</f>
        <v>120.1</v>
      </c>
      <c r="E120" s="102">
        <f>E121</f>
        <v>129.1</v>
      </c>
      <c r="F120" s="102">
        <f>F121</f>
        <v>129.1</v>
      </c>
      <c r="G120" s="107"/>
    </row>
    <row r="121" spans="1:7" x14ac:dyDescent="0.2">
      <c r="A121" s="21" t="s">
        <v>616</v>
      </c>
      <c r="B121" s="84" t="s">
        <v>370</v>
      </c>
      <c r="C121" s="101" t="s">
        <v>371</v>
      </c>
      <c r="D121" s="41">
        <f>129.1-9</f>
        <v>120.1</v>
      </c>
      <c r="E121" s="41">
        <v>129.1</v>
      </c>
      <c r="F121" s="41">
        <v>129.1</v>
      </c>
      <c r="G121" s="107"/>
    </row>
    <row r="122" spans="1:7" ht="39.75" customHeight="1" x14ac:dyDescent="0.2">
      <c r="A122" s="57" t="s">
        <v>617</v>
      </c>
      <c r="B122" s="16"/>
      <c r="C122" s="101" t="s">
        <v>51</v>
      </c>
      <c r="D122" s="41">
        <f>D123</f>
        <v>178.1</v>
      </c>
      <c r="E122" s="41">
        <f>E123</f>
        <v>176.1</v>
      </c>
      <c r="F122" s="41">
        <f>F123</f>
        <v>176.1</v>
      </c>
      <c r="G122" s="107"/>
    </row>
    <row r="123" spans="1:7" ht="38.25" x14ac:dyDescent="0.2">
      <c r="A123" s="57" t="s">
        <v>617</v>
      </c>
      <c r="B123" s="84" t="s">
        <v>214</v>
      </c>
      <c r="C123" s="101" t="s">
        <v>215</v>
      </c>
      <c r="D123" s="41">
        <f>176.1-4.6+6.6</f>
        <v>178.1</v>
      </c>
      <c r="E123" s="41">
        <v>176.1</v>
      </c>
      <c r="F123" s="41">
        <v>176.1</v>
      </c>
      <c r="G123" s="107"/>
    </row>
    <row r="124" spans="1:7" ht="66" customHeight="1" x14ac:dyDescent="0.2">
      <c r="A124" s="57" t="s">
        <v>612</v>
      </c>
      <c r="B124" s="16"/>
      <c r="C124" s="101" t="s">
        <v>459</v>
      </c>
      <c r="D124" s="41">
        <f>D125</f>
        <v>50</v>
      </c>
      <c r="E124" s="41">
        <f>E125</f>
        <v>50</v>
      </c>
      <c r="F124" s="41">
        <f>F125</f>
        <v>50</v>
      </c>
      <c r="G124" s="107"/>
    </row>
    <row r="125" spans="1:7" x14ac:dyDescent="0.2">
      <c r="A125" s="57" t="s">
        <v>612</v>
      </c>
      <c r="B125" s="21" t="s">
        <v>228</v>
      </c>
      <c r="C125" s="101" t="s">
        <v>227</v>
      </c>
      <c r="D125" s="41">
        <v>50</v>
      </c>
      <c r="E125" s="41">
        <v>50</v>
      </c>
      <c r="F125" s="41">
        <v>50</v>
      </c>
      <c r="G125" s="107"/>
    </row>
    <row r="126" spans="1:7" ht="38.25" x14ac:dyDescent="0.2">
      <c r="A126" s="21" t="s">
        <v>460</v>
      </c>
      <c r="B126" s="21"/>
      <c r="C126" s="100" t="s">
        <v>659</v>
      </c>
      <c r="D126" s="102">
        <f>D127+D129+D131</f>
        <v>1247.2</v>
      </c>
      <c r="E126" s="102">
        <f>E127+E129+E131</f>
        <v>1331.2</v>
      </c>
      <c r="F126" s="102">
        <f>F127+F129+F131</f>
        <v>1331.2</v>
      </c>
      <c r="G126" s="107"/>
    </row>
    <row r="127" spans="1:7" ht="42.75" customHeight="1" x14ac:dyDescent="0.2">
      <c r="A127" s="57" t="s">
        <v>613</v>
      </c>
      <c r="B127" s="16"/>
      <c r="C127" s="101" t="s">
        <v>46</v>
      </c>
      <c r="D127" s="41">
        <f>D128</f>
        <v>152.4</v>
      </c>
      <c r="E127" s="41">
        <f>E128</f>
        <v>250</v>
      </c>
      <c r="F127" s="41">
        <f>F128</f>
        <v>250</v>
      </c>
      <c r="G127" s="107"/>
    </row>
    <row r="128" spans="1:7" x14ac:dyDescent="0.2">
      <c r="A128" s="57" t="s">
        <v>613</v>
      </c>
      <c r="B128" s="21" t="s">
        <v>228</v>
      </c>
      <c r="C128" s="101" t="s">
        <v>227</v>
      </c>
      <c r="D128" s="97">
        <f>250-97.6</f>
        <v>152.4</v>
      </c>
      <c r="E128" s="97">
        <v>250</v>
      </c>
      <c r="F128" s="97">
        <v>250</v>
      </c>
      <c r="G128" s="107"/>
    </row>
    <row r="129" spans="1:7" ht="37.5" customHeight="1" x14ac:dyDescent="0.2">
      <c r="A129" s="57" t="s">
        <v>614</v>
      </c>
      <c r="B129" s="16"/>
      <c r="C129" s="153" t="s">
        <v>660</v>
      </c>
      <c r="D129" s="97">
        <f>D130</f>
        <v>68.8</v>
      </c>
      <c r="E129" s="97">
        <f>E130</f>
        <v>55.2</v>
      </c>
      <c r="F129" s="97">
        <f>F130</f>
        <v>55.2</v>
      </c>
      <c r="G129" s="107"/>
    </row>
    <row r="130" spans="1:7" x14ac:dyDescent="0.2">
      <c r="A130" s="57" t="s">
        <v>614</v>
      </c>
      <c r="B130" s="21" t="s">
        <v>228</v>
      </c>
      <c r="C130" s="101" t="s">
        <v>227</v>
      </c>
      <c r="D130" s="97">
        <f>88.9-33.7+13.6</f>
        <v>68.8</v>
      </c>
      <c r="E130" s="97">
        <f t="shared" ref="E130:F130" si="28">88.9-33.7</f>
        <v>55.2</v>
      </c>
      <c r="F130" s="97">
        <f t="shared" si="28"/>
        <v>55.2</v>
      </c>
      <c r="G130" s="107"/>
    </row>
    <row r="131" spans="1:7" ht="91.5" customHeight="1" x14ac:dyDescent="0.2">
      <c r="A131" s="81">
        <v>140210560</v>
      </c>
      <c r="B131" s="84"/>
      <c r="C131" s="101" t="s">
        <v>185</v>
      </c>
      <c r="D131" s="41">
        <f>D132</f>
        <v>1026</v>
      </c>
      <c r="E131" s="41">
        <f>E132</f>
        <v>1026</v>
      </c>
      <c r="F131" s="41">
        <f>F132</f>
        <v>1026</v>
      </c>
      <c r="G131" s="107"/>
    </row>
    <row r="132" spans="1:7" ht="25.5" x14ac:dyDescent="0.2">
      <c r="A132" s="81">
        <v>140210560</v>
      </c>
      <c r="B132" s="83" t="s">
        <v>285</v>
      </c>
      <c r="C132" s="101" t="s">
        <v>286</v>
      </c>
      <c r="D132" s="163">
        <v>1026</v>
      </c>
      <c r="E132" s="163">
        <v>1026</v>
      </c>
      <c r="F132" s="163">
        <v>1026</v>
      </c>
      <c r="G132" s="107"/>
    </row>
    <row r="133" spans="1:7" ht="38.25" x14ac:dyDescent="0.2">
      <c r="A133" s="21" t="s">
        <v>462</v>
      </c>
      <c r="B133" s="21"/>
      <c r="C133" s="100" t="s">
        <v>661</v>
      </c>
      <c r="D133" s="41">
        <f>D134+D136+D139+D141</f>
        <v>1080</v>
      </c>
      <c r="E133" s="41">
        <f>E134+E136+E139+E141</f>
        <v>1080</v>
      </c>
      <c r="F133" s="41">
        <f>F134+F136+F139+F141</f>
        <v>1080</v>
      </c>
      <c r="G133" s="107"/>
    </row>
    <row r="134" spans="1:7" ht="63" customHeight="1" x14ac:dyDescent="0.2">
      <c r="A134" s="81">
        <v>140323020</v>
      </c>
      <c r="B134" s="83"/>
      <c r="C134" s="101" t="s">
        <v>135</v>
      </c>
      <c r="D134" s="41">
        <f>D135</f>
        <v>281.3</v>
      </c>
      <c r="E134" s="41">
        <f>E135</f>
        <v>281.3</v>
      </c>
      <c r="F134" s="41">
        <f>F135</f>
        <v>281.3</v>
      </c>
      <c r="G134" s="107"/>
    </row>
    <row r="135" spans="1:7" ht="38.25" x14ac:dyDescent="0.2">
      <c r="A135" s="81">
        <v>140323020</v>
      </c>
      <c r="B135" s="84" t="s">
        <v>214</v>
      </c>
      <c r="C135" s="101" t="s">
        <v>215</v>
      </c>
      <c r="D135" s="41">
        <v>281.3</v>
      </c>
      <c r="E135" s="41">
        <v>281.3</v>
      </c>
      <c r="F135" s="41">
        <v>281.3</v>
      </c>
      <c r="G135" s="107"/>
    </row>
    <row r="136" spans="1:7" ht="68.25" customHeight="1" x14ac:dyDescent="0.2">
      <c r="A136" s="81">
        <v>140323025</v>
      </c>
      <c r="B136" s="83"/>
      <c r="C136" s="101" t="s">
        <v>662</v>
      </c>
      <c r="D136" s="41">
        <f>SUM(D137:D138)</f>
        <v>305.7</v>
      </c>
      <c r="E136" s="41">
        <f>E137</f>
        <v>305.7</v>
      </c>
      <c r="F136" s="41">
        <f>F137</f>
        <v>305.7</v>
      </c>
      <c r="G136" s="107"/>
    </row>
    <row r="137" spans="1:7" ht="38.25" x14ac:dyDescent="0.2">
      <c r="A137" s="81">
        <v>140323025</v>
      </c>
      <c r="B137" s="84" t="s">
        <v>214</v>
      </c>
      <c r="C137" s="101" t="s">
        <v>215</v>
      </c>
      <c r="D137" s="41">
        <f>305.7-35</f>
        <v>270.7</v>
      </c>
      <c r="E137" s="41">
        <v>305.7</v>
      </c>
      <c r="F137" s="41">
        <v>305.7</v>
      </c>
      <c r="G137" s="107"/>
    </row>
    <row r="138" spans="1:7" x14ac:dyDescent="0.2">
      <c r="A138" s="81">
        <v>140323025</v>
      </c>
      <c r="B138" s="84" t="s">
        <v>730</v>
      </c>
      <c r="C138" s="101" t="s">
        <v>731</v>
      </c>
      <c r="D138" s="41">
        <v>35</v>
      </c>
      <c r="E138" s="41">
        <v>0</v>
      </c>
      <c r="F138" s="41">
        <v>0</v>
      </c>
      <c r="G138" s="107"/>
    </row>
    <row r="139" spans="1:7" ht="54.75" customHeight="1" x14ac:dyDescent="0.2">
      <c r="A139" s="81" t="s">
        <v>463</v>
      </c>
      <c r="B139" s="84"/>
      <c r="C139" s="101" t="s">
        <v>464</v>
      </c>
      <c r="D139" s="41">
        <f>D140</f>
        <v>83</v>
      </c>
      <c r="E139" s="41">
        <f>E140</f>
        <v>83</v>
      </c>
      <c r="F139" s="41">
        <f>F140</f>
        <v>83</v>
      </c>
      <c r="G139" s="107"/>
    </row>
    <row r="140" spans="1:7" ht="38.25" x14ac:dyDescent="0.2">
      <c r="A140" s="81" t="s">
        <v>463</v>
      </c>
      <c r="B140" s="84" t="s">
        <v>214</v>
      </c>
      <c r="C140" s="101" t="s">
        <v>215</v>
      </c>
      <c r="D140" s="41">
        <f>49.3+33.7</f>
        <v>83</v>
      </c>
      <c r="E140" s="41">
        <f t="shared" ref="E140:F140" si="29">49.3+33.7</f>
        <v>83</v>
      </c>
      <c r="F140" s="41">
        <f t="shared" si="29"/>
        <v>83</v>
      </c>
      <c r="G140" s="107"/>
    </row>
    <row r="141" spans="1:7" ht="26.25" customHeight="1" x14ac:dyDescent="0.2">
      <c r="A141" s="81">
        <v>140311080</v>
      </c>
      <c r="B141" s="84"/>
      <c r="C141" s="101" t="s">
        <v>465</v>
      </c>
      <c r="D141" s="41">
        <f>D142</f>
        <v>410</v>
      </c>
      <c r="E141" s="41">
        <f>E142</f>
        <v>410</v>
      </c>
      <c r="F141" s="41">
        <f>F142</f>
        <v>410</v>
      </c>
      <c r="G141" s="107"/>
    </row>
    <row r="142" spans="1:7" ht="38.25" x14ac:dyDescent="0.2">
      <c r="A142" s="81">
        <v>140311080</v>
      </c>
      <c r="B142" s="84" t="s">
        <v>214</v>
      </c>
      <c r="C142" s="101" t="s">
        <v>215</v>
      </c>
      <c r="D142" s="163">
        <v>410</v>
      </c>
      <c r="E142" s="163">
        <v>410</v>
      </c>
      <c r="F142" s="163">
        <v>410</v>
      </c>
      <c r="G142" s="107"/>
    </row>
    <row r="143" spans="1:7" ht="25.5" x14ac:dyDescent="0.2">
      <c r="A143" s="21" t="s">
        <v>736</v>
      </c>
      <c r="B143" s="84"/>
      <c r="C143" s="196" t="s">
        <v>734</v>
      </c>
      <c r="D143" s="163">
        <f>D144</f>
        <v>50</v>
      </c>
      <c r="E143" s="163">
        <f t="shared" ref="E143:F143" si="30">E144</f>
        <v>0</v>
      </c>
      <c r="F143" s="163">
        <f t="shared" si="30"/>
        <v>0</v>
      </c>
      <c r="G143" s="107"/>
    </row>
    <row r="144" spans="1:7" ht="51" x14ac:dyDescent="0.2">
      <c r="A144" s="21" t="s">
        <v>737</v>
      </c>
      <c r="B144" s="84"/>
      <c r="C144" s="160" t="s">
        <v>735</v>
      </c>
      <c r="D144" s="163">
        <f>D145</f>
        <v>50</v>
      </c>
      <c r="E144" s="163">
        <v>0</v>
      </c>
      <c r="F144" s="163">
        <v>0</v>
      </c>
      <c r="G144" s="107"/>
    </row>
    <row r="145" spans="1:7" ht="38.25" x14ac:dyDescent="0.2">
      <c r="A145" s="21" t="s">
        <v>737</v>
      </c>
      <c r="B145" s="84" t="s">
        <v>214</v>
      </c>
      <c r="C145" s="101" t="s">
        <v>215</v>
      </c>
      <c r="D145" s="163">
        <v>50</v>
      </c>
      <c r="E145" s="163">
        <v>0</v>
      </c>
      <c r="F145" s="163">
        <v>0</v>
      </c>
      <c r="G145" s="107"/>
    </row>
    <row r="146" spans="1:7" x14ac:dyDescent="0.2">
      <c r="A146" s="52" t="s">
        <v>78</v>
      </c>
      <c r="B146" s="16"/>
      <c r="C146" s="66" t="s">
        <v>48</v>
      </c>
      <c r="D146" s="41">
        <f>D147</f>
        <v>7313.3</v>
      </c>
      <c r="E146" s="41">
        <f>E147</f>
        <v>7047.2000000000007</v>
      </c>
      <c r="F146" s="41">
        <f>F147</f>
        <v>7047.2000000000007</v>
      </c>
      <c r="G146" s="107"/>
    </row>
    <row r="147" spans="1:7" ht="51" customHeight="1" x14ac:dyDescent="0.2">
      <c r="A147" s="81">
        <v>190022200</v>
      </c>
      <c r="B147" s="84"/>
      <c r="C147" s="101" t="s">
        <v>466</v>
      </c>
      <c r="D147" s="41">
        <f>SUM(D148:D150)</f>
        <v>7313.3</v>
      </c>
      <c r="E147" s="41">
        <f t="shared" ref="E147:F147" si="31">SUM(E148:E150)</f>
        <v>7047.2000000000007</v>
      </c>
      <c r="F147" s="41">
        <f t="shared" si="31"/>
        <v>7047.2000000000007</v>
      </c>
      <c r="G147" s="107"/>
    </row>
    <row r="148" spans="1:7" ht="25.5" x14ac:dyDescent="0.2">
      <c r="A148" s="81">
        <v>190022200</v>
      </c>
      <c r="B148" s="16" t="s">
        <v>64</v>
      </c>
      <c r="C148" s="55" t="s">
        <v>65</v>
      </c>
      <c r="D148" s="41">
        <f>6640.6+20+266.1</f>
        <v>6926.7000000000007</v>
      </c>
      <c r="E148" s="41">
        <v>6640.6</v>
      </c>
      <c r="F148" s="41">
        <v>6640.6</v>
      </c>
      <c r="G148" s="107"/>
    </row>
    <row r="149" spans="1:7" ht="38.25" x14ac:dyDescent="0.2">
      <c r="A149" s="81">
        <v>190022200</v>
      </c>
      <c r="B149" s="84" t="s">
        <v>214</v>
      </c>
      <c r="C149" s="101" t="s">
        <v>215</v>
      </c>
      <c r="D149" s="41">
        <f>406.6-0.2-20</f>
        <v>386.40000000000003</v>
      </c>
      <c r="E149" s="41">
        <v>406.6</v>
      </c>
      <c r="F149" s="41">
        <v>406.6</v>
      </c>
      <c r="G149" s="107"/>
    </row>
    <row r="150" spans="1:7" x14ac:dyDescent="0.2">
      <c r="A150" s="81">
        <v>190022200</v>
      </c>
      <c r="B150" s="84" t="s">
        <v>133</v>
      </c>
      <c r="C150" s="101" t="s">
        <v>134</v>
      </c>
      <c r="D150" s="41">
        <v>0.2</v>
      </c>
      <c r="E150" s="41">
        <v>0</v>
      </c>
      <c r="F150" s="41">
        <v>0</v>
      </c>
      <c r="G150" s="107"/>
    </row>
    <row r="151" spans="1:7" ht="78" customHeight="1" x14ac:dyDescent="0.25">
      <c r="A151" s="73" t="s">
        <v>61</v>
      </c>
      <c r="B151" s="35"/>
      <c r="C151" s="53" t="s">
        <v>636</v>
      </c>
      <c r="D151" s="65">
        <f>D152+D201+D210+D226</f>
        <v>120962.80000000003</v>
      </c>
      <c r="E151" s="65">
        <f>E152+E201+E210+E226</f>
        <v>80171.299999999988</v>
      </c>
      <c r="F151" s="65">
        <f>F152+F201+F210+F226</f>
        <v>81098.899999999994</v>
      </c>
      <c r="G151" s="107"/>
    </row>
    <row r="152" spans="1:7" ht="25.5" x14ac:dyDescent="0.2">
      <c r="A152" s="21" t="s">
        <v>62</v>
      </c>
      <c r="B152" s="35"/>
      <c r="C152" s="48" t="s">
        <v>174</v>
      </c>
      <c r="D152" s="58">
        <f>D153+D165+D176+D185+D190+D193+D196</f>
        <v>94050.800000000017</v>
      </c>
      <c r="E152" s="58">
        <f t="shared" ref="E152:F152" si="32">E153+E165+E176+E185+E190+E193+E196</f>
        <v>69147.199999999997</v>
      </c>
      <c r="F152" s="58">
        <f t="shared" si="32"/>
        <v>70074.8</v>
      </c>
      <c r="G152" s="107"/>
    </row>
    <row r="153" spans="1:7" ht="38.25" x14ac:dyDescent="0.2">
      <c r="A153" s="21" t="s">
        <v>211</v>
      </c>
      <c r="B153" s="35"/>
      <c r="C153" s="105" t="s">
        <v>216</v>
      </c>
      <c r="D153" s="97">
        <f>D154+D157+D159+D162</f>
        <v>59948.500000000007</v>
      </c>
      <c r="E153" s="97">
        <f t="shared" ref="E153:F153" si="33">E154+E157+E159+E162</f>
        <v>54268.800000000003</v>
      </c>
      <c r="F153" s="97">
        <f t="shared" si="33"/>
        <v>55196.4</v>
      </c>
      <c r="G153" s="107"/>
    </row>
    <row r="154" spans="1:7" ht="25.5" x14ac:dyDescent="0.2">
      <c r="A154" s="74">
        <v>210122900</v>
      </c>
      <c r="B154" s="16"/>
      <c r="C154" s="129" t="s">
        <v>173</v>
      </c>
      <c r="D154" s="39">
        <f>D155+D156</f>
        <v>10300.900000000001</v>
      </c>
      <c r="E154" s="39">
        <f t="shared" ref="E154:F154" si="34">SUM(E155:E156)</f>
        <v>10073.6</v>
      </c>
      <c r="F154" s="39">
        <f t="shared" si="34"/>
        <v>10310.799999999999</v>
      </c>
      <c r="G154" s="107"/>
    </row>
    <row r="155" spans="1:7" ht="25.5" x14ac:dyDescent="0.2">
      <c r="A155" s="74">
        <v>210122900</v>
      </c>
      <c r="B155" s="84" t="s">
        <v>66</v>
      </c>
      <c r="C155" s="55" t="s">
        <v>132</v>
      </c>
      <c r="D155" s="39">
        <v>5635.6</v>
      </c>
      <c r="E155" s="39">
        <v>5635.6</v>
      </c>
      <c r="F155" s="39">
        <v>5635.6</v>
      </c>
      <c r="G155" s="107"/>
    </row>
    <row r="156" spans="1:7" ht="38.25" x14ac:dyDescent="0.2">
      <c r="A156" s="74">
        <v>210122900</v>
      </c>
      <c r="B156" s="84" t="s">
        <v>214</v>
      </c>
      <c r="C156" s="101" t="s">
        <v>215</v>
      </c>
      <c r="D156" s="39">
        <f>4888.4+14.8-301.9+64</f>
        <v>4665.3</v>
      </c>
      <c r="E156" s="39">
        <v>4438</v>
      </c>
      <c r="F156" s="39">
        <v>4675.2</v>
      </c>
      <c r="G156" s="107"/>
    </row>
    <row r="157" spans="1:7" ht="51" x14ac:dyDescent="0.2">
      <c r="A157" s="74">
        <v>210121100</v>
      </c>
      <c r="B157" s="16"/>
      <c r="C157" s="144" t="s">
        <v>175</v>
      </c>
      <c r="D157" s="39">
        <f>D158</f>
        <v>26410.7</v>
      </c>
      <c r="E157" s="39">
        <f>E158</f>
        <v>25794.799999999999</v>
      </c>
      <c r="F157" s="39">
        <f>F158</f>
        <v>26485.200000000001</v>
      </c>
      <c r="G157" s="107"/>
    </row>
    <row r="158" spans="1:7" x14ac:dyDescent="0.2">
      <c r="A158" s="74">
        <v>210121100</v>
      </c>
      <c r="B158" s="21" t="s">
        <v>228</v>
      </c>
      <c r="C158" s="101" t="s">
        <v>227</v>
      </c>
      <c r="D158" s="39">
        <f>26548.3+236.7-102-240-32.3</f>
        <v>26410.7</v>
      </c>
      <c r="E158" s="148">
        <v>25794.799999999999</v>
      </c>
      <c r="F158" s="148">
        <v>26485.200000000001</v>
      </c>
      <c r="G158" s="107"/>
    </row>
    <row r="159" spans="1:7" ht="38.25" x14ac:dyDescent="0.2">
      <c r="A159" s="74" t="s">
        <v>467</v>
      </c>
      <c r="B159" s="84"/>
      <c r="C159" s="101" t="s">
        <v>324</v>
      </c>
      <c r="D159" s="39">
        <f>SUM(D160:D161)</f>
        <v>232.3</v>
      </c>
      <c r="E159" s="39">
        <f>SUM(E160:E161)</f>
        <v>200</v>
      </c>
      <c r="F159" s="39">
        <f>SUM(F160:F161)</f>
        <v>200</v>
      </c>
      <c r="G159" s="107"/>
    </row>
    <row r="160" spans="1:7" ht="25.5" x14ac:dyDescent="0.2">
      <c r="A160" s="74" t="s">
        <v>467</v>
      </c>
      <c r="B160" s="84" t="s">
        <v>66</v>
      </c>
      <c r="C160" s="55" t="s">
        <v>132</v>
      </c>
      <c r="D160" s="163">
        <v>50</v>
      </c>
      <c r="E160" s="163">
        <v>50</v>
      </c>
      <c r="F160" s="163">
        <v>50</v>
      </c>
      <c r="G160" s="107"/>
    </row>
    <row r="161" spans="1:7" x14ac:dyDescent="0.2">
      <c r="A161" s="74" t="s">
        <v>467</v>
      </c>
      <c r="B161" s="21" t="s">
        <v>228</v>
      </c>
      <c r="C161" s="101" t="s">
        <v>227</v>
      </c>
      <c r="D161" s="39">
        <f>150+32.3</f>
        <v>182.3</v>
      </c>
      <c r="E161" s="39">
        <v>150</v>
      </c>
      <c r="F161" s="39">
        <v>150</v>
      </c>
      <c r="G161" s="107"/>
    </row>
    <row r="162" spans="1:7" ht="51" x14ac:dyDescent="0.2">
      <c r="A162" s="74">
        <v>210110680</v>
      </c>
      <c r="B162" s="84"/>
      <c r="C162" s="101" t="s">
        <v>364</v>
      </c>
      <c r="D162" s="39">
        <f>SUM(D163:D164)</f>
        <v>23004.6</v>
      </c>
      <c r="E162" s="39">
        <f t="shared" ref="E162:F162" si="35">SUM(E163:E164)</f>
        <v>18200.400000000001</v>
      </c>
      <c r="F162" s="39">
        <f t="shared" si="35"/>
        <v>18200.400000000001</v>
      </c>
      <c r="G162" s="107"/>
    </row>
    <row r="163" spans="1:7" ht="25.5" x14ac:dyDescent="0.2">
      <c r="A163" s="74">
        <v>210110680</v>
      </c>
      <c r="B163" s="84" t="s">
        <v>66</v>
      </c>
      <c r="C163" s="55" t="s">
        <v>132</v>
      </c>
      <c r="D163" s="163">
        <f>5432+1219.9</f>
        <v>6651.9</v>
      </c>
      <c r="E163" s="163">
        <v>5432</v>
      </c>
      <c r="F163" s="163">
        <v>5432</v>
      </c>
      <c r="G163" s="107"/>
    </row>
    <row r="164" spans="1:7" x14ac:dyDescent="0.2">
      <c r="A164" s="74">
        <v>210110680</v>
      </c>
      <c r="B164" s="21" t="s">
        <v>228</v>
      </c>
      <c r="C164" s="101" t="s">
        <v>227</v>
      </c>
      <c r="D164" s="39">
        <f>12768.4+3584.3</f>
        <v>16352.7</v>
      </c>
      <c r="E164" s="39">
        <v>12768.4</v>
      </c>
      <c r="F164" s="39">
        <v>12768.4</v>
      </c>
      <c r="G164" s="107"/>
    </row>
    <row r="165" spans="1:7" ht="25.5" x14ac:dyDescent="0.2">
      <c r="A165" s="21" t="s">
        <v>258</v>
      </c>
      <c r="B165" s="21"/>
      <c r="C165" s="105" t="s">
        <v>468</v>
      </c>
      <c r="D165" s="39">
        <f>D166+D168+D170+D172+D174</f>
        <v>14710.699999999999</v>
      </c>
      <c r="E165" s="39">
        <f t="shared" ref="E165:F165" si="36">E166+E168+E170+E172+E174</f>
        <v>14542.399999999998</v>
      </c>
      <c r="F165" s="39">
        <f t="shared" si="36"/>
        <v>14542.399999999998</v>
      </c>
      <c r="G165" s="107"/>
    </row>
    <row r="166" spans="1:7" ht="25.5" x14ac:dyDescent="0.2">
      <c r="A166" s="74">
        <v>210221100</v>
      </c>
      <c r="B166" s="16"/>
      <c r="C166" s="129" t="s">
        <v>176</v>
      </c>
      <c r="D166" s="39">
        <f>D167</f>
        <v>10587.199999999999</v>
      </c>
      <c r="E166" s="39">
        <f>E167</f>
        <v>11359.3</v>
      </c>
      <c r="F166" s="39">
        <f>F167</f>
        <v>11359.3</v>
      </c>
      <c r="G166" s="107"/>
    </row>
    <row r="167" spans="1:7" x14ac:dyDescent="0.2">
      <c r="A167" s="74">
        <v>210221100</v>
      </c>
      <c r="B167" s="21" t="s">
        <v>228</v>
      </c>
      <c r="C167" s="101" t="s">
        <v>227</v>
      </c>
      <c r="D167" s="148">
        <f>11359.3+72.9-500-8.6-1.5-334.9</f>
        <v>10587.199999999999</v>
      </c>
      <c r="E167" s="148">
        <v>11359.3</v>
      </c>
      <c r="F167" s="148">
        <v>11359.3</v>
      </c>
      <c r="G167" s="107"/>
    </row>
    <row r="168" spans="1:7" ht="63.75" x14ac:dyDescent="0.2">
      <c r="A168" s="74">
        <v>210210690</v>
      </c>
      <c r="B168" s="21"/>
      <c r="C168" s="101" t="s">
        <v>325</v>
      </c>
      <c r="D168" s="39">
        <f>D169</f>
        <v>3993.3</v>
      </c>
      <c r="E168" s="39">
        <f>E169</f>
        <v>3151.3</v>
      </c>
      <c r="F168" s="39">
        <f>F169</f>
        <v>3151.3</v>
      </c>
      <c r="G168" s="107"/>
    </row>
    <row r="169" spans="1:7" x14ac:dyDescent="0.2">
      <c r="A169" s="74">
        <v>210210690</v>
      </c>
      <c r="B169" s="21" t="s">
        <v>228</v>
      </c>
      <c r="C169" s="101" t="s">
        <v>227</v>
      </c>
      <c r="D169" s="164">
        <f>3151.3+842</f>
        <v>3993.3</v>
      </c>
      <c r="E169" s="164">
        <v>3151.3</v>
      </c>
      <c r="F169" s="164">
        <v>3151.3</v>
      </c>
      <c r="G169" s="107"/>
    </row>
    <row r="170" spans="1:7" ht="51" x14ac:dyDescent="0.2">
      <c r="A170" s="74" t="s">
        <v>469</v>
      </c>
      <c r="B170" s="84"/>
      <c r="C170" s="101" t="s">
        <v>326</v>
      </c>
      <c r="D170" s="39">
        <f>SUM(D171:D171)</f>
        <v>40.4</v>
      </c>
      <c r="E170" s="39">
        <f>SUM(E171:E171)</f>
        <v>31.8</v>
      </c>
      <c r="F170" s="39">
        <f>SUM(F171:F171)</f>
        <v>31.8</v>
      </c>
      <c r="G170" s="107"/>
    </row>
    <row r="171" spans="1:7" ht="13.5" thickBot="1" x14ac:dyDescent="0.25">
      <c r="A171" s="74" t="s">
        <v>469</v>
      </c>
      <c r="B171" s="21" t="s">
        <v>228</v>
      </c>
      <c r="C171" s="101" t="s">
        <v>227</v>
      </c>
      <c r="D171" s="39">
        <f>31.8+8.6</f>
        <v>40.4</v>
      </c>
      <c r="E171" s="39">
        <v>31.8</v>
      </c>
      <c r="F171" s="39">
        <v>31.8</v>
      </c>
      <c r="G171" s="107"/>
    </row>
    <row r="172" spans="1:7" ht="51.75" thickBot="1" x14ac:dyDescent="0.25">
      <c r="A172" s="74">
        <v>210211390</v>
      </c>
      <c r="B172" s="21"/>
      <c r="C172" s="230" t="s">
        <v>805</v>
      </c>
      <c r="D172" s="39">
        <f>D173</f>
        <v>88.899999999999991</v>
      </c>
      <c r="E172" s="39">
        <f t="shared" ref="E172:F172" si="37">E173</f>
        <v>0</v>
      </c>
      <c r="F172" s="39">
        <f t="shared" si="37"/>
        <v>0</v>
      </c>
      <c r="G172" s="107"/>
    </row>
    <row r="173" spans="1:7" x14ac:dyDescent="0.2">
      <c r="A173" s="74">
        <v>210211390</v>
      </c>
      <c r="B173" s="21" t="s">
        <v>228</v>
      </c>
      <c r="C173" s="101" t="s">
        <v>227</v>
      </c>
      <c r="D173" s="39">
        <f>88.3+0.6</f>
        <v>88.899999999999991</v>
      </c>
      <c r="E173" s="39">
        <v>0</v>
      </c>
      <c r="F173" s="39">
        <v>0</v>
      </c>
      <c r="G173" s="107"/>
    </row>
    <row r="174" spans="1:7" ht="63.75" x14ac:dyDescent="0.2">
      <c r="A174" s="74" t="s">
        <v>813</v>
      </c>
      <c r="B174" s="21"/>
      <c r="C174" s="126" t="s">
        <v>814</v>
      </c>
      <c r="D174" s="39">
        <f>D175</f>
        <v>0.9</v>
      </c>
      <c r="E174" s="39">
        <f t="shared" ref="E174:F174" si="38">E175</f>
        <v>0</v>
      </c>
      <c r="F174" s="39">
        <f t="shared" si="38"/>
        <v>0</v>
      </c>
      <c r="G174" s="107"/>
    </row>
    <row r="175" spans="1:7" x14ac:dyDescent="0.2">
      <c r="A175" s="74" t="s">
        <v>813</v>
      </c>
      <c r="B175" s="21" t="s">
        <v>228</v>
      </c>
      <c r="C175" s="101" t="s">
        <v>227</v>
      </c>
      <c r="D175" s="39">
        <f>1.5-0.6</f>
        <v>0.9</v>
      </c>
      <c r="E175" s="39">
        <v>0</v>
      </c>
      <c r="F175" s="39">
        <v>0</v>
      </c>
      <c r="G175" s="107"/>
    </row>
    <row r="176" spans="1:7" ht="51" x14ac:dyDescent="0.2">
      <c r="A176" s="21" t="s">
        <v>260</v>
      </c>
      <c r="B176" s="35"/>
      <c r="C176" s="101" t="s">
        <v>259</v>
      </c>
      <c r="D176" s="41">
        <f>D177+D179+D181+D183</f>
        <v>8540.2999999999993</v>
      </c>
      <c r="E176" s="41">
        <f t="shared" ref="E176:F176" si="39">E177+E179+E181+E183</f>
        <v>35</v>
      </c>
      <c r="F176" s="41">
        <f t="shared" si="39"/>
        <v>35</v>
      </c>
      <c r="G176" s="107"/>
    </row>
    <row r="177" spans="1:7" ht="51" x14ac:dyDescent="0.2">
      <c r="A177" s="154" t="s">
        <v>470</v>
      </c>
      <c r="B177" s="84"/>
      <c r="C177" s="160" t="s">
        <v>382</v>
      </c>
      <c r="D177" s="39">
        <f>D178</f>
        <v>187.3</v>
      </c>
      <c r="E177" s="39">
        <f>E178</f>
        <v>35</v>
      </c>
      <c r="F177" s="39">
        <f>F178</f>
        <v>35</v>
      </c>
      <c r="G177" s="107"/>
    </row>
    <row r="178" spans="1:7" x14ac:dyDescent="0.2">
      <c r="A178" s="154" t="s">
        <v>470</v>
      </c>
      <c r="B178" s="21" t="s">
        <v>228</v>
      </c>
      <c r="C178" s="101" t="s">
        <v>227</v>
      </c>
      <c r="D178" s="39">
        <f>35+180.3-28</f>
        <v>187.3</v>
      </c>
      <c r="E178" s="39">
        <v>35</v>
      </c>
      <c r="F178" s="39">
        <v>35</v>
      </c>
      <c r="G178" s="107"/>
    </row>
    <row r="179" spans="1:7" ht="42.75" customHeight="1" x14ac:dyDescent="0.2">
      <c r="A179" s="165" t="s">
        <v>472</v>
      </c>
      <c r="B179" s="21"/>
      <c r="C179" s="101" t="s">
        <v>471</v>
      </c>
      <c r="D179" s="39">
        <f>D180</f>
        <v>953</v>
      </c>
      <c r="E179" s="39">
        <f>E180</f>
        <v>0</v>
      </c>
      <c r="F179" s="39">
        <f>F180</f>
        <v>0</v>
      </c>
      <c r="G179" s="107"/>
    </row>
    <row r="180" spans="1:7" x14ac:dyDescent="0.2">
      <c r="A180" s="165" t="s">
        <v>472</v>
      </c>
      <c r="B180" s="21" t="s">
        <v>228</v>
      </c>
      <c r="C180" s="101" t="s">
        <v>227</v>
      </c>
      <c r="D180" s="39">
        <f>223+800-70</f>
        <v>953</v>
      </c>
      <c r="E180" s="39">
        <v>0</v>
      </c>
      <c r="F180" s="39">
        <v>0</v>
      </c>
      <c r="G180" s="107"/>
    </row>
    <row r="181" spans="1:7" ht="51" x14ac:dyDescent="0.2">
      <c r="A181" s="165" t="s">
        <v>762</v>
      </c>
      <c r="B181" s="21"/>
      <c r="C181" s="101" t="s">
        <v>763</v>
      </c>
      <c r="D181" s="39">
        <f>D182</f>
        <v>740</v>
      </c>
      <c r="E181" s="39">
        <f t="shared" ref="E181:F181" si="40">E182</f>
        <v>0</v>
      </c>
      <c r="F181" s="39">
        <f t="shared" si="40"/>
        <v>0</v>
      </c>
      <c r="G181" s="107"/>
    </row>
    <row r="182" spans="1:7" x14ac:dyDescent="0.2">
      <c r="A182" s="165" t="s">
        <v>762</v>
      </c>
      <c r="B182" s="21" t="s">
        <v>228</v>
      </c>
      <c r="C182" s="101" t="s">
        <v>227</v>
      </c>
      <c r="D182" s="39">
        <v>740</v>
      </c>
      <c r="E182" s="39">
        <v>0</v>
      </c>
      <c r="F182" s="39">
        <v>0</v>
      </c>
      <c r="G182" s="107"/>
    </row>
    <row r="183" spans="1:7" ht="51" x14ac:dyDescent="0.2">
      <c r="A183" s="165" t="s">
        <v>817</v>
      </c>
      <c r="B183" s="21"/>
      <c r="C183" s="101" t="s">
        <v>763</v>
      </c>
      <c r="D183" s="39">
        <f>D184</f>
        <v>6660</v>
      </c>
      <c r="E183" s="39">
        <f t="shared" ref="E183:F183" si="41">E184</f>
        <v>0</v>
      </c>
      <c r="F183" s="39">
        <f t="shared" si="41"/>
        <v>0</v>
      </c>
      <c r="G183" s="107"/>
    </row>
    <row r="184" spans="1:7" x14ac:dyDescent="0.2">
      <c r="A184" s="165" t="s">
        <v>817</v>
      </c>
      <c r="B184" s="21" t="s">
        <v>228</v>
      </c>
      <c r="C184" s="101" t="s">
        <v>227</v>
      </c>
      <c r="D184" s="39">
        <v>6660</v>
      </c>
      <c r="E184" s="39">
        <v>0</v>
      </c>
      <c r="F184" s="39">
        <v>0</v>
      </c>
      <c r="G184" s="107"/>
    </row>
    <row r="185" spans="1:7" ht="76.5" x14ac:dyDescent="0.2">
      <c r="A185" s="21" t="s">
        <v>473</v>
      </c>
      <c r="B185" s="35"/>
      <c r="C185" s="101" t="s">
        <v>474</v>
      </c>
      <c r="D185" s="41">
        <f>D186+D188</f>
        <v>393.7</v>
      </c>
      <c r="E185" s="41">
        <f t="shared" ref="E185:F185" si="42">E186+E188</f>
        <v>0</v>
      </c>
      <c r="F185" s="41">
        <f t="shared" si="42"/>
        <v>0</v>
      </c>
      <c r="G185" s="107"/>
    </row>
    <row r="186" spans="1:7" ht="65.25" customHeight="1" x14ac:dyDescent="0.2">
      <c r="A186" s="165" t="s">
        <v>475</v>
      </c>
      <c r="B186" s="21"/>
      <c r="C186" s="54" t="s">
        <v>476</v>
      </c>
      <c r="D186" s="39">
        <f t="shared" ref="D186:F186" si="43">D187</f>
        <v>245</v>
      </c>
      <c r="E186" s="39">
        <f t="shared" si="43"/>
        <v>0</v>
      </c>
      <c r="F186" s="39">
        <f t="shared" si="43"/>
        <v>0</v>
      </c>
      <c r="G186" s="107"/>
    </row>
    <row r="187" spans="1:7" x14ac:dyDescent="0.2">
      <c r="A187" s="165" t="s">
        <v>475</v>
      </c>
      <c r="B187" s="21" t="s">
        <v>228</v>
      </c>
      <c r="C187" s="101" t="s">
        <v>227</v>
      </c>
      <c r="D187" s="39">
        <v>245</v>
      </c>
      <c r="E187" s="39">
        <v>0</v>
      </c>
      <c r="F187" s="39">
        <v>0</v>
      </c>
      <c r="G187" s="107"/>
    </row>
    <row r="188" spans="1:7" ht="51" x14ac:dyDescent="0.2">
      <c r="A188" s="165" t="s">
        <v>710</v>
      </c>
      <c r="B188" s="21"/>
      <c r="C188" s="153" t="s">
        <v>709</v>
      </c>
      <c r="D188" s="39">
        <f>D189</f>
        <v>148.69999999999999</v>
      </c>
      <c r="E188" s="39">
        <f t="shared" ref="E188:F188" si="44">E189</f>
        <v>0</v>
      </c>
      <c r="F188" s="39">
        <f t="shared" si="44"/>
        <v>0</v>
      </c>
      <c r="G188" s="107"/>
    </row>
    <row r="189" spans="1:7" x14ac:dyDescent="0.2">
      <c r="A189" s="165" t="s">
        <v>710</v>
      </c>
      <c r="B189" s="21" t="s">
        <v>228</v>
      </c>
      <c r="C189" s="101" t="s">
        <v>227</v>
      </c>
      <c r="D189" s="39">
        <v>148.69999999999999</v>
      </c>
      <c r="E189" s="39">
        <v>0</v>
      </c>
      <c r="F189" s="39">
        <v>0</v>
      </c>
      <c r="G189" s="107"/>
    </row>
    <row r="190" spans="1:7" ht="38.25" x14ac:dyDescent="0.2">
      <c r="A190" s="165" t="s">
        <v>654</v>
      </c>
      <c r="B190" s="21"/>
      <c r="C190" s="101" t="s">
        <v>655</v>
      </c>
      <c r="D190" s="39">
        <f>D191</f>
        <v>10000</v>
      </c>
      <c r="E190" s="39">
        <f t="shared" ref="E190:F191" si="45">E191</f>
        <v>0</v>
      </c>
      <c r="F190" s="39">
        <f t="shared" si="45"/>
        <v>0</v>
      </c>
      <c r="G190" s="107"/>
    </row>
    <row r="191" spans="1:7" ht="25.5" x14ac:dyDescent="0.2">
      <c r="A191" s="165" t="s">
        <v>656</v>
      </c>
      <c r="B191" s="21"/>
      <c r="C191" s="101" t="s">
        <v>657</v>
      </c>
      <c r="D191" s="39">
        <f>D192</f>
        <v>10000</v>
      </c>
      <c r="E191" s="39">
        <f t="shared" si="45"/>
        <v>0</v>
      </c>
      <c r="F191" s="39">
        <f t="shared" si="45"/>
        <v>0</v>
      </c>
      <c r="G191" s="107"/>
    </row>
    <row r="192" spans="1:7" ht="38.25" x14ac:dyDescent="0.2">
      <c r="A192" s="165" t="s">
        <v>656</v>
      </c>
      <c r="B192" s="84" t="s">
        <v>214</v>
      </c>
      <c r="C192" s="101" t="s">
        <v>215</v>
      </c>
      <c r="D192" s="39">
        <v>10000</v>
      </c>
      <c r="E192" s="39">
        <v>0</v>
      </c>
      <c r="F192" s="39">
        <v>0</v>
      </c>
      <c r="G192" s="107"/>
    </row>
    <row r="193" spans="1:7" ht="37.5" customHeight="1" x14ac:dyDescent="0.2">
      <c r="A193" s="165" t="s">
        <v>477</v>
      </c>
      <c r="B193" s="21"/>
      <c r="C193" s="101" t="s">
        <v>478</v>
      </c>
      <c r="D193" s="39">
        <f>D194</f>
        <v>67.599999999999994</v>
      </c>
      <c r="E193" s="39">
        <f t="shared" ref="E193:F193" si="46">E194</f>
        <v>1</v>
      </c>
      <c r="F193" s="39">
        <f t="shared" si="46"/>
        <v>1</v>
      </c>
      <c r="G193" s="107"/>
    </row>
    <row r="194" spans="1:7" ht="48.75" customHeight="1" x14ac:dyDescent="0.2">
      <c r="A194" s="165" t="s">
        <v>480</v>
      </c>
      <c r="B194" s="21"/>
      <c r="C194" s="101" t="s">
        <v>479</v>
      </c>
      <c r="D194" s="39">
        <f>D195</f>
        <v>67.599999999999994</v>
      </c>
      <c r="E194" s="39">
        <f>E195</f>
        <v>1</v>
      </c>
      <c r="F194" s="39">
        <f>F195</f>
        <v>1</v>
      </c>
      <c r="G194" s="107"/>
    </row>
    <row r="195" spans="1:7" x14ac:dyDescent="0.2">
      <c r="A195" s="165" t="s">
        <v>480</v>
      </c>
      <c r="B195" s="21" t="s">
        <v>228</v>
      </c>
      <c r="C195" s="101" t="s">
        <v>227</v>
      </c>
      <c r="D195" s="39">
        <f>1+66.6</f>
        <v>67.599999999999994</v>
      </c>
      <c r="E195" s="39">
        <v>1</v>
      </c>
      <c r="F195" s="39">
        <v>1</v>
      </c>
      <c r="G195" s="107"/>
    </row>
    <row r="196" spans="1:7" ht="25.5" x14ac:dyDescent="0.2">
      <c r="A196" s="21" t="s">
        <v>481</v>
      </c>
      <c r="B196" s="35"/>
      <c r="C196" s="105" t="s">
        <v>261</v>
      </c>
      <c r="D196" s="41">
        <f>D197+D199</f>
        <v>390</v>
      </c>
      <c r="E196" s="41">
        <f t="shared" ref="E196:F196" si="47">E197+E199</f>
        <v>300</v>
      </c>
      <c r="F196" s="41">
        <f t="shared" si="47"/>
        <v>300</v>
      </c>
      <c r="G196" s="107"/>
    </row>
    <row r="197" spans="1:7" ht="38.25" x14ac:dyDescent="0.2">
      <c r="A197" s="21" t="s">
        <v>482</v>
      </c>
      <c r="B197" s="16"/>
      <c r="C197" s="101" t="s">
        <v>177</v>
      </c>
      <c r="D197" s="41">
        <f t="shared" ref="D197:F197" si="48">D198</f>
        <v>300</v>
      </c>
      <c r="E197" s="41">
        <f t="shared" si="48"/>
        <v>300</v>
      </c>
      <c r="F197" s="41">
        <f t="shared" si="48"/>
        <v>300</v>
      </c>
      <c r="G197" s="107"/>
    </row>
    <row r="198" spans="1:7" ht="38.25" x14ac:dyDescent="0.2">
      <c r="A198" s="21" t="s">
        <v>482</v>
      </c>
      <c r="B198" s="84" t="s">
        <v>214</v>
      </c>
      <c r="C198" s="101" t="s">
        <v>215</v>
      </c>
      <c r="D198" s="41">
        <v>300</v>
      </c>
      <c r="E198" s="41">
        <v>300</v>
      </c>
      <c r="F198" s="41">
        <v>300</v>
      </c>
      <c r="G198" s="107"/>
    </row>
    <row r="199" spans="1:7" ht="25.5" x14ac:dyDescent="0.2">
      <c r="A199" s="21" t="s">
        <v>726</v>
      </c>
      <c r="B199" s="84"/>
      <c r="C199" s="126" t="s">
        <v>727</v>
      </c>
      <c r="D199" s="41">
        <f>D200</f>
        <v>90</v>
      </c>
      <c r="E199" s="41">
        <f t="shared" ref="E199:F199" si="49">E200</f>
        <v>0</v>
      </c>
      <c r="F199" s="41">
        <f t="shared" si="49"/>
        <v>0</v>
      </c>
      <c r="G199" s="107"/>
    </row>
    <row r="200" spans="1:7" ht="38.25" x14ac:dyDescent="0.2">
      <c r="A200" s="194" t="s">
        <v>726</v>
      </c>
      <c r="B200" s="84" t="s">
        <v>214</v>
      </c>
      <c r="C200" s="101" t="s">
        <v>215</v>
      </c>
      <c r="D200" s="41">
        <v>90</v>
      </c>
      <c r="E200" s="41">
        <v>0</v>
      </c>
      <c r="F200" s="41">
        <v>0</v>
      </c>
      <c r="G200" s="107"/>
    </row>
    <row r="201" spans="1:7" ht="25.5" x14ac:dyDescent="0.2">
      <c r="A201" s="52" t="s">
        <v>45</v>
      </c>
      <c r="B201" s="35"/>
      <c r="C201" s="48" t="s">
        <v>204</v>
      </c>
      <c r="D201" s="58">
        <f>D202</f>
        <v>15796.3</v>
      </c>
      <c r="E201" s="58">
        <f t="shared" ref="E201:F201" si="50">E202</f>
        <v>496.29999999999995</v>
      </c>
      <c r="F201" s="58">
        <f t="shared" si="50"/>
        <v>496.29999999999995</v>
      </c>
      <c r="G201" s="107"/>
    </row>
    <row r="202" spans="1:7" ht="76.5" x14ac:dyDescent="0.2">
      <c r="A202" s="21" t="s">
        <v>262</v>
      </c>
      <c r="B202" s="35"/>
      <c r="C202" s="103" t="s">
        <v>263</v>
      </c>
      <c r="D202" s="58">
        <f>D203+D205+D208</f>
        <v>15796.3</v>
      </c>
      <c r="E202" s="58">
        <f t="shared" ref="E202:F202" si="51">E203+E205+E208</f>
        <v>496.29999999999995</v>
      </c>
      <c r="F202" s="58">
        <f t="shared" si="51"/>
        <v>496.29999999999995</v>
      </c>
      <c r="G202" s="107"/>
    </row>
    <row r="203" spans="1:7" ht="76.5" x14ac:dyDescent="0.2">
      <c r="A203" s="21" t="s">
        <v>483</v>
      </c>
      <c r="B203" s="21"/>
      <c r="C203" s="103" t="s">
        <v>179</v>
      </c>
      <c r="D203" s="39">
        <f>D204</f>
        <v>415.7</v>
      </c>
      <c r="E203" s="39">
        <f>E204</f>
        <v>415.7</v>
      </c>
      <c r="F203" s="39">
        <f>F204</f>
        <v>415.7</v>
      </c>
      <c r="G203" s="107"/>
    </row>
    <row r="204" spans="1:7" ht="38.25" x14ac:dyDescent="0.2">
      <c r="A204" s="21" t="s">
        <v>483</v>
      </c>
      <c r="B204" s="84" t="s">
        <v>214</v>
      </c>
      <c r="C204" s="101" t="s">
        <v>215</v>
      </c>
      <c r="D204" s="39">
        <v>415.7</v>
      </c>
      <c r="E204" s="39">
        <v>415.7</v>
      </c>
      <c r="F204" s="39">
        <v>415.7</v>
      </c>
      <c r="G204" s="107"/>
    </row>
    <row r="205" spans="1:7" ht="51" x14ac:dyDescent="0.2">
      <c r="A205" s="21" t="s">
        <v>484</v>
      </c>
      <c r="B205" s="21"/>
      <c r="C205" s="103" t="s">
        <v>63</v>
      </c>
      <c r="D205" s="39">
        <f>SUM(D206:D207)</f>
        <v>80.599999999999994</v>
      </c>
      <c r="E205" s="39">
        <f>SUM(E206:E207)</f>
        <v>80.599999999999994</v>
      </c>
      <c r="F205" s="39">
        <f>SUM(F206:F207)</f>
        <v>80.599999999999994</v>
      </c>
      <c r="G205" s="107"/>
    </row>
    <row r="206" spans="1:7" ht="25.5" x14ac:dyDescent="0.2">
      <c r="A206" s="21" t="s">
        <v>484</v>
      </c>
      <c r="B206" s="84" t="s">
        <v>66</v>
      </c>
      <c r="C206" s="55" t="s">
        <v>132</v>
      </c>
      <c r="D206" s="39">
        <v>44.6</v>
      </c>
      <c r="E206" s="39">
        <v>44.6</v>
      </c>
      <c r="F206" s="39">
        <v>44.6</v>
      </c>
      <c r="G206" s="107"/>
    </row>
    <row r="207" spans="1:7" ht="38.25" x14ac:dyDescent="0.2">
      <c r="A207" s="21" t="s">
        <v>484</v>
      </c>
      <c r="B207" s="84" t="s">
        <v>214</v>
      </c>
      <c r="C207" s="101" t="s">
        <v>215</v>
      </c>
      <c r="D207" s="39">
        <v>36</v>
      </c>
      <c r="E207" s="39">
        <v>36</v>
      </c>
      <c r="F207" s="39">
        <v>36</v>
      </c>
      <c r="G207" s="107"/>
    </row>
    <row r="208" spans="1:7" ht="25.5" x14ac:dyDescent="0.2">
      <c r="A208" s="21" t="s">
        <v>717</v>
      </c>
      <c r="B208" s="84"/>
      <c r="C208" s="101" t="s">
        <v>718</v>
      </c>
      <c r="D208" s="39">
        <f>D209</f>
        <v>15300</v>
      </c>
      <c r="E208" s="39">
        <f t="shared" ref="E208:F208" si="52">E209</f>
        <v>0</v>
      </c>
      <c r="F208" s="39">
        <f t="shared" si="52"/>
        <v>0</v>
      </c>
      <c r="G208" s="107"/>
    </row>
    <row r="209" spans="1:7" ht="38.25" x14ac:dyDescent="0.2">
      <c r="A209" s="21" t="s">
        <v>717</v>
      </c>
      <c r="B209" s="84" t="s">
        <v>214</v>
      </c>
      <c r="C209" s="101" t="s">
        <v>215</v>
      </c>
      <c r="D209" s="39">
        <f>100+28+172+15000</f>
        <v>15300</v>
      </c>
      <c r="E209" s="39">
        <v>0</v>
      </c>
      <c r="F209" s="39">
        <v>0</v>
      </c>
      <c r="G209" s="107"/>
    </row>
    <row r="210" spans="1:7" ht="25.5" x14ac:dyDescent="0.2">
      <c r="A210" s="52" t="s">
        <v>32</v>
      </c>
      <c r="B210" s="21"/>
      <c r="C210" s="48" t="s">
        <v>180</v>
      </c>
      <c r="D210" s="41">
        <f>D211+D220+D223</f>
        <v>8155.0999999999995</v>
      </c>
      <c r="E210" s="41">
        <f>E211+E220+E223</f>
        <v>7677.4</v>
      </c>
      <c r="F210" s="41">
        <f>F211+F220+F223</f>
        <v>7677.4</v>
      </c>
      <c r="G210" s="107"/>
    </row>
    <row r="211" spans="1:7" ht="25.5" x14ac:dyDescent="0.2">
      <c r="A211" s="21" t="s">
        <v>212</v>
      </c>
      <c r="B211" s="16"/>
      <c r="C211" s="105" t="s">
        <v>317</v>
      </c>
      <c r="D211" s="41">
        <f>D212+D214+D216+D218</f>
        <v>343.20000000000005</v>
      </c>
      <c r="E211" s="41">
        <f>E212+E214+E216+E218</f>
        <v>361.20000000000005</v>
      </c>
      <c r="F211" s="41">
        <f>F212+F214+F216+F218</f>
        <v>361.20000000000005</v>
      </c>
      <c r="G211" s="107"/>
    </row>
    <row r="212" spans="1:7" ht="51" x14ac:dyDescent="0.2">
      <c r="A212" s="167" t="s">
        <v>485</v>
      </c>
      <c r="B212" s="16"/>
      <c r="C212" s="104" t="s">
        <v>209</v>
      </c>
      <c r="D212" s="39">
        <f>D213</f>
        <v>6.6</v>
      </c>
      <c r="E212" s="39">
        <f>E213</f>
        <v>6.6</v>
      </c>
      <c r="F212" s="39">
        <f>F213</f>
        <v>6.6</v>
      </c>
      <c r="G212" s="107"/>
    </row>
    <row r="213" spans="1:7" ht="38.25" x14ac:dyDescent="0.2">
      <c r="A213" s="167" t="s">
        <v>485</v>
      </c>
      <c r="B213" s="84" t="s">
        <v>214</v>
      </c>
      <c r="C213" s="101" t="s">
        <v>215</v>
      </c>
      <c r="D213" s="41">
        <v>6.6</v>
      </c>
      <c r="E213" s="41">
        <v>6.6</v>
      </c>
      <c r="F213" s="41">
        <v>6.6</v>
      </c>
      <c r="G213" s="107"/>
    </row>
    <row r="214" spans="1:7" ht="25.5" x14ac:dyDescent="0.2">
      <c r="A214" s="167" t="s">
        <v>486</v>
      </c>
      <c r="B214" s="16"/>
      <c r="C214" s="101" t="s">
        <v>181</v>
      </c>
      <c r="D214" s="41">
        <f>D215</f>
        <v>271.60000000000002</v>
      </c>
      <c r="E214" s="41">
        <f>E215</f>
        <v>289.60000000000002</v>
      </c>
      <c r="F214" s="41">
        <f>F215</f>
        <v>289.60000000000002</v>
      </c>
      <c r="G214" s="107"/>
    </row>
    <row r="215" spans="1:7" ht="38.25" x14ac:dyDescent="0.2">
      <c r="A215" s="167" t="s">
        <v>486</v>
      </c>
      <c r="B215" s="84" t="s">
        <v>214</v>
      </c>
      <c r="C215" s="101" t="s">
        <v>215</v>
      </c>
      <c r="D215" s="41">
        <f>289.6-18</f>
        <v>271.60000000000002</v>
      </c>
      <c r="E215" s="41">
        <v>289.60000000000002</v>
      </c>
      <c r="F215" s="41">
        <v>289.60000000000002</v>
      </c>
      <c r="G215" s="107"/>
    </row>
    <row r="216" spans="1:7" ht="51" x14ac:dyDescent="0.2">
      <c r="A216" s="167" t="s">
        <v>487</v>
      </c>
      <c r="B216" s="16"/>
      <c r="C216" s="101" t="s">
        <v>79</v>
      </c>
      <c r="D216" s="41">
        <f>D217</f>
        <v>15</v>
      </c>
      <c r="E216" s="41">
        <f>E217</f>
        <v>15</v>
      </c>
      <c r="F216" s="41">
        <f>F217</f>
        <v>15</v>
      </c>
      <c r="G216" s="107"/>
    </row>
    <row r="217" spans="1:7" ht="38.25" x14ac:dyDescent="0.2">
      <c r="A217" s="167" t="s">
        <v>487</v>
      </c>
      <c r="B217" s="84" t="s">
        <v>214</v>
      </c>
      <c r="C217" s="101" t="s">
        <v>215</v>
      </c>
      <c r="D217" s="41">
        <v>15</v>
      </c>
      <c r="E217" s="41">
        <v>15</v>
      </c>
      <c r="F217" s="41">
        <v>15</v>
      </c>
      <c r="G217" s="107"/>
    </row>
    <row r="218" spans="1:7" x14ac:dyDescent="0.2">
      <c r="A218" s="167" t="s">
        <v>488</v>
      </c>
      <c r="B218" s="84"/>
      <c r="C218" s="54" t="s">
        <v>395</v>
      </c>
      <c r="D218" s="41">
        <f>D219</f>
        <v>50</v>
      </c>
      <c r="E218" s="41">
        <f>E219</f>
        <v>50</v>
      </c>
      <c r="F218" s="41">
        <f>F219</f>
        <v>50</v>
      </c>
      <c r="G218" s="107"/>
    </row>
    <row r="219" spans="1:7" ht="38.25" x14ac:dyDescent="0.2">
      <c r="A219" s="167" t="s">
        <v>488</v>
      </c>
      <c r="B219" s="84" t="s">
        <v>214</v>
      </c>
      <c r="C219" s="101" t="s">
        <v>215</v>
      </c>
      <c r="D219" s="41">
        <v>50</v>
      </c>
      <c r="E219" s="41">
        <v>50</v>
      </c>
      <c r="F219" s="41">
        <v>50</v>
      </c>
      <c r="G219" s="107"/>
    </row>
    <row r="220" spans="1:7" ht="76.5" x14ac:dyDescent="0.2">
      <c r="A220" s="21" t="s">
        <v>264</v>
      </c>
      <c r="B220" s="16"/>
      <c r="C220" s="105" t="s">
        <v>265</v>
      </c>
      <c r="D220" s="41">
        <f t="shared" ref="D220:F221" si="53">D221</f>
        <v>7316.2</v>
      </c>
      <c r="E220" s="41">
        <f t="shared" si="53"/>
        <v>7316.2</v>
      </c>
      <c r="F220" s="41">
        <f t="shared" si="53"/>
        <v>7316.2</v>
      </c>
      <c r="G220" s="107"/>
    </row>
    <row r="221" spans="1:7" ht="38.25" x14ac:dyDescent="0.2">
      <c r="A221" s="74">
        <v>230221100</v>
      </c>
      <c r="B221" s="16"/>
      <c r="C221" s="101" t="s">
        <v>0</v>
      </c>
      <c r="D221" s="41">
        <f t="shared" si="53"/>
        <v>7316.2</v>
      </c>
      <c r="E221" s="41">
        <f t="shared" si="53"/>
        <v>7316.2</v>
      </c>
      <c r="F221" s="41">
        <f t="shared" si="53"/>
        <v>7316.2</v>
      </c>
      <c r="G221" s="107"/>
    </row>
    <row r="222" spans="1:7" x14ac:dyDescent="0.2">
      <c r="A222" s="74">
        <v>230221100</v>
      </c>
      <c r="B222" s="84" t="s">
        <v>228</v>
      </c>
      <c r="C222" s="101" t="s">
        <v>227</v>
      </c>
      <c r="D222" s="41">
        <v>7316.2</v>
      </c>
      <c r="E222" s="41">
        <v>7316.2</v>
      </c>
      <c r="F222" s="41">
        <v>7316.2</v>
      </c>
      <c r="G222" s="107"/>
    </row>
    <row r="223" spans="1:7" ht="63.75" x14ac:dyDescent="0.2">
      <c r="A223" s="21" t="s">
        <v>491</v>
      </c>
      <c r="B223" s="84"/>
      <c r="C223" s="101" t="s">
        <v>490</v>
      </c>
      <c r="D223" s="41">
        <f t="shared" ref="D223:F224" si="54">D224</f>
        <v>495.7</v>
      </c>
      <c r="E223" s="41">
        <f t="shared" si="54"/>
        <v>0</v>
      </c>
      <c r="F223" s="41">
        <f t="shared" si="54"/>
        <v>0</v>
      </c>
      <c r="G223" s="107"/>
    </row>
    <row r="224" spans="1:7" ht="53.25" customHeight="1" x14ac:dyDescent="0.2">
      <c r="A224" s="74">
        <v>230321210</v>
      </c>
      <c r="B224" s="84"/>
      <c r="C224" s="101" t="s">
        <v>489</v>
      </c>
      <c r="D224" s="41">
        <f t="shared" si="54"/>
        <v>495.7</v>
      </c>
      <c r="E224" s="41">
        <f t="shared" si="54"/>
        <v>0</v>
      </c>
      <c r="F224" s="41">
        <f t="shared" si="54"/>
        <v>0</v>
      </c>
      <c r="G224" s="107"/>
    </row>
    <row r="225" spans="1:7" ht="38.25" x14ac:dyDescent="0.2">
      <c r="A225" s="74">
        <v>230321210</v>
      </c>
      <c r="B225" s="84" t="s">
        <v>214</v>
      </c>
      <c r="C225" s="101" t="s">
        <v>215</v>
      </c>
      <c r="D225" s="41">
        <v>495.7</v>
      </c>
      <c r="E225" s="41">
        <v>0</v>
      </c>
      <c r="F225" s="41">
        <v>0</v>
      </c>
      <c r="G225" s="107"/>
    </row>
    <row r="226" spans="1:7" x14ac:dyDescent="0.2">
      <c r="A226" s="52" t="s">
        <v>33</v>
      </c>
      <c r="B226" s="21"/>
      <c r="C226" s="66" t="s">
        <v>48</v>
      </c>
      <c r="D226" s="58">
        <f>D227</f>
        <v>2960.6000000000004</v>
      </c>
      <c r="E226" s="58">
        <f>E227</f>
        <v>2850.4</v>
      </c>
      <c r="F226" s="58">
        <f>F227</f>
        <v>2850.4</v>
      </c>
      <c r="G226" s="107"/>
    </row>
    <row r="227" spans="1:7" ht="63.75" x14ac:dyDescent="0.2">
      <c r="A227" s="81">
        <v>290022200</v>
      </c>
      <c r="B227" s="21"/>
      <c r="C227" s="101" t="s">
        <v>267</v>
      </c>
      <c r="D227" s="97">
        <f>SUM(D228:D229)</f>
        <v>2960.6000000000004</v>
      </c>
      <c r="E227" s="97">
        <f>SUM(E228:E229)</f>
        <v>2850.4</v>
      </c>
      <c r="F227" s="97">
        <f>SUM(F228:F229)</f>
        <v>2850.4</v>
      </c>
      <c r="G227" s="107"/>
    </row>
    <row r="228" spans="1:7" ht="25.5" x14ac:dyDescent="0.2">
      <c r="A228" s="81">
        <v>290022200</v>
      </c>
      <c r="B228" s="16" t="s">
        <v>64</v>
      </c>
      <c r="C228" s="55" t="s">
        <v>65</v>
      </c>
      <c r="D228" s="97">
        <f>2788.9+116.4</f>
        <v>2905.3</v>
      </c>
      <c r="E228" s="97">
        <v>2788.9</v>
      </c>
      <c r="F228" s="97">
        <v>2788.9</v>
      </c>
      <c r="G228" s="107"/>
    </row>
    <row r="229" spans="1:7" ht="38.25" x14ac:dyDescent="0.2">
      <c r="A229" s="81">
        <v>290022200</v>
      </c>
      <c r="B229" s="84" t="s">
        <v>214</v>
      </c>
      <c r="C229" s="101" t="s">
        <v>215</v>
      </c>
      <c r="D229" s="41">
        <f>61.5-6.2</f>
        <v>55.3</v>
      </c>
      <c r="E229" s="41">
        <v>61.5</v>
      </c>
      <c r="F229" s="41">
        <v>61.5</v>
      </c>
      <c r="G229" s="107"/>
    </row>
    <row r="230" spans="1:7" ht="77.25" customHeight="1" x14ac:dyDescent="0.2">
      <c r="A230" s="73" t="s">
        <v>71</v>
      </c>
      <c r="B230" s="16"/>
      <c r="C230" s="186" t="s">
        <v>640</v>
      </c>
      <c r="D230" s="99">
        <f>D231+D246</f>
        <v>34102.9</v>
      </c>
      <c r="E230" s="99">
        <f>E231+E246</f>
        <v>8014</v>
      </c>
      <c r="F230" s="99">
        <f>F231+F246</f>
        <v>8140</v>
      </c>
    </row>
    <row r="231" spans="1:7" ht="25.5" x14ac:dyDescent="0.2">
      <c r="A231" s="52" t="s">
        <v>72</v>
      </c>
      <c r="B231" s="16"/>
      <c r="C231" s="48" t="s">
        <v>159</v>
      </c>
      <c r="D231" s="96">
        <f>D232+D235</f>
        <v>32080.899999999998</v>
      </c>
      <c r="E231" s="96">
        <f>E232+E235</f>
        <v>7814</v>
      </c>
      <c r="F231" s="96">
        <f>F232+F235</f>
        <v>7940</v>
      </c>
    </row>
    <row r="232" spans="1:7" ht="38.25" x14ac:dyDescent="0.2">
      <c r="A232" s="21" t="s">
        <v>247</v>
      </c>
      <c r="B232" s="16"/>
      <c r="C232" s="103" t="s">
        <v>248</v>
      </c>
      <c r="D232" s="102">
        <f t="shared" ref="D232:F233" si="55">D233</f>
        <v>349</v>
      </c>
      <c r="E232" s="102">
        <f t="shared" si="55"/>
        <v>250</v>
      </c>
      <c r="F232" s="102">
        <f t="shared" si="55"/>
        <v>250</v>
      </c>
    </row>
    <row r="233" spans="1:7" ht="38.25" x14ac:dyDescent="0.2">
      <c r="A233" s="84" t="s">
        <v>492</v>
      </c>
      <c r="B233" s="16"/>
      <c r="C233" s="100" t="s">
        <v>160</v>
      </c>
      <c r="D233" s="41">
        <f t="shared" si="55"/>
        <v>349</v>
      </c>
      <c r="E233" s="41">
        <f t="shared" si="55"/>
        <v>250</v>
      </c>
      <c r="F233" s="41">
        <f t="shared" si="55"/>
        <v>250</v>
      </c>
    </row>
    <row r="234" spans="1:7" ht="38.25" x14ac:dyDescent="0.2">
      <c r="A234" s="84" t="s">
        <v>492</v>
      </c>
      <c r="B234" s="84" t="s">
        <v>214</v>
      </c>
      <c r="C234" s="101" t="s">
        <v>215</v>
      </c>
      <c r="D234" s="41">
        <f>250+100-1</f>
        <v>349</v>
      </c>
      <c r="E234" s="41">
        <v>250</v>
      </c>
      <c r="F234" s="41">
        <v>250</v>
      </c>
    </row>
    <row r="235" spans="1:7" ht="51.75" customHeight="1" x14ac:dyDescent="0.2">
      <c r="A235" s="21" t="s">
        <v>249</v>
      </c>
      <c r="B235" s="84"/>
      <c r="C235" s="103" t="s">
        <v>250</v>
      </c>
      <c r="D235" s="41">
        <f>D236+D238+D240+D244</f>
        <v>31731.899999999998</v>
      </c>
      <c r="E235" s="41">
        <f>E236+E238+E240</f>
        <v>7564</v>
      </c>
      <c r="F235" s="41">
        <f>F236+F238+F240</f>
        <v>7690</v>
      </c>
    </row>
    <row r="236" spans="1:7" ht="51" x14ac:dyDescent="0.2">
      <c r="A236" s="167" t="s">
        <v>493</v>
      </c>
      <c r="B236" s="16"/>
      <c r="C236" s="100" t="s">
        <v>161</v>
      </c>
      <c r="D236" s="41">
        <f>D237</f>
        <v>237</v>
      </c>
      <c r="E236" s="41">
        <f>E237</f>
        <v>100</v>
      </c>
      <c r="F236" s="41">
        <f>F237</f>
        <v>100</v>
      </c>
    </row>
    <row r="237" spans="1:7" ht="38.25" x14ac:dyDescent="0.2">
      <c r="A237" s="167" t="s">
        <v>493</v>
      </c>
      <c r="B237" s="84" t="s">
        <v>214</v>
      </c>
      <c r="C237" s="101" t="s">
        <v>215</v>
      </c>
      <c r="D237" s="41">
        <f>100+50+50+36+1</f>
        <v>237</v>
      </c>
      <c r="E237" s="41">
        <v>100</v>
      </c>
      <c r="F237" s="41">
        <v>100</v>
      </c>
    </row>
    <row r="238" spans="1:7" ht="76.5" x14ac:dyDescent="0.2">
      <c r="A238" s="167" t="s">
        <v>494</v>
      </c>
      <c r="B238" s="16"/>
      <c r="C238" s="100" t="s">
        <v>162</v>
      </c>
      <c r="D238" s="41">
        <f>D239</f>
        <v>209</v>
      </c>
      <c r="E238" s="41">
        <f>E239</f>
        <v>100</v>
      </c>
      <c r="F238" s="41">
        <f>F239</f>
        <v>100</v>
      </c>
    </row>
    <row r="239" spans="1:7" ht="38.25" x14ac:dyDescent="0.2">
      <c r="A239" s="167" t="s">
        <v>494</v>
      </c>
      <c r="B239" s="84" t="s">
        <v>214</v>
      </c>
      <c r="C239" s="101" t="s">
        <v>215</v>
      </c>
      <c r="D239" s="41">
        <f>110+99</f>
        <v>209</v>
      </c>
      <c r="E239" s="41">
        <v>100</v>
      </c>
      <c r="F239" s="41">
        <v>100</v>
      </c>
    </row>
    <row r="240" spans="1:7" ht="38.25" x14ac:dyDescent="0.2">
      <c r="A240" s="167" t="s">
        <v>702</v>
      </c>
      <c r="B240" s="16"/>
      <c r="C240" s="100" t="s">
        <v>163</v>
      </c>
      <c r="D240" s="41">
        <f>SUM(D241:D243)</f>
        <v>29285.899999999998</v>
      </c>
      <c r="E240" s="41">
        <f t="shared" ref="E240:F240" si="56">SUM(E241:E243)</f>
        <v>7364</v>
      </c>
      <c r="F240" s="41">
        <f t="shared" si="56"/>
        <v>7490</v>
      </c>
    </row>
    <row r="241" spans="1:6" ht="38.25" x14ac:dyDescent="0.2">
      <c r="A241" s="167" t="s">
        <v>702</v>
      </c>
      <c r="B241" s="84" t="s">
        <v>214</v>
      </c>
      <c r="C241" s="101" t="s">
        <v>215</v>
      </c>
      <c r="D241" s="110">
        <f>7420.6+1496+2743.1+363.3-50-100-692.1+200+1800-50-36+180+1497.8+15650+13.8-1497.8</f>
        <v>28938.699999999997</v>
      </c>
      <c r="E241" s="41">
        <f>7016.6+347.4</f>
        <v>7364</v>
      </c>
      <c r="F241" s="41">
        <f>7142.6+347.4</f>
        <v>7490</v>
      </c>
    </row>
    <row r="242" spans="1:6" x14ac:dyDescent="0.2">
      <c r="A242" s="167" t="s">
        <v>702</v>
      </c>
      <c r="B242" s="84" t="s">
        <v>693</v>
      </c>
      <c r="C242" s="54" t="s">
        <v>694</v>
      </c>
      <c r="D242" s="41">
        <f>0.2+286.2</f>
        <v>286.39999999999998</v>
      </c>
      <c r="E242" s="41">
        <v>0</v>
      </c>
      <c r="F242" s="41">
        <v>0</v>
      </c>
    </row>
    <row r="243" spans="1:6" x14ac:dyDescent="0.2">
      <c r="A243" s="167" t="s">
        <v>702</v>
      </c>
      <c r="B243" s="84" t="s">
        <v>133</v>
      </c>
      <c r="C243" s="101" t="s">
        <v>134</v>
      </c>
      <c r="D243" s="41">
        <v>60.8</v>
      </c>
      <c r="E243" s="41">
        <v>0</v>
      </c>
      <c r="F243" s="41">
        <v>0</v>
      </c>
    </row>
    <row r="244" spans="1:6" ht="38.25" x14ac:dyDescent="0.2">
      <c r="A244" s="167" t="s">
        <v>738</v>
      </c>
      <c r="B244" s="84"/>
      <c r="C244" s="101" t="s">
        <v>739</v>
      </c>
      <c r="D244" s="41">
        <f>D245</f>
        <v>2000</v>
      </c>
      <c r="E244" s="41">
        <f t="shared" ref="E244:F244" si="57">E245</f>
        <v>0</v>
      </c>
      <c r="F244" s="41">
        <f t="shared" si="57"/>
        <v>0</v>
      </c>
    </row>
    <row r="245" spans="1:6" ht="63.75" x14ac:dyDescent="0.2">
      <c r="A245" s="167" t="s">
        <v>738</v>
      </c>
      <c r="B245" s="83" t="s">
        <v>13</v>
      </c>
      <c r="C245" s="101" t="s">
        <v>381</v>
      </c>
      <c r="D245" s="41">
        <v>2000</v>
      </c>
      <c r="E245" s="41">
        <v>0</v>
      </c>
      <c r="F245" s="41">
        <v>0</v>
      </c>
    </row>
    <row r="246" spans="1:6" ht="38.25" x14ac:dyDescent="0.2">
      <c r="A246" s="52" t="s">
        <v>165</v>
      </c>
      <c r="B246" s="16"/>
      <c r="C246" s="48" t="s">
        <v>164</v>
      </c>
      <c r="D246" s="96">
        <f>D247+D250</f>
        <v>2022.0000000000002</v>
      </c>
      <c r="E246" s="96">
        <f>E247+E250</f>
        <v>200</v>
      </c>
      <c r="F246" s="96">
        <f>F247+F250</f>
        <v>200</v>
      </c>
    </row>
    <row r="247" spans="1:6" ht="63.75" x14ac:dyDescent="0.2">
      <c r="A247" s="21" t="s">
        <v>251</v>
      </c>
      <c r="B247" s="16"/>
      <c r="C247" s="103" t="s">
        <v>318</v>
      </c>
      <c r="D247" s="41">
        <f t="shared" ref="D247:F248" si="58">D248</f>
        <v>200</v>
      </c>
      <c r="E247" s="41">
        <f t="shared" si="58"/>
        <v>164</v>
      </c>
      <c r="F247" s="41">
        <f t="shared" si="58"/>
        <v>164</v>
      </c>
    </row>
    <row r="248" spans="1:6" ht="51" x14ac:dyDescent="0.2">
      <c r="A248" s="21" t="s">
        <v>495</v>
      </c>
      <c r="B248" s="30"/>
      <c r="C248" s="100" t="s">
        <v>166</v>
      </c>
      <c r="D248" s="41">
        <f t="shared" si="58"/>
        <v>200</v>
      </c>
      <c r="E248" s="41">
        <f t="shared" si="58"/>
        <v>164</v>
      </c>
      <c r="F248" s="41">
        <f t="shared" si="58"/>
        <v>164</v>
      </c>
    </row>
    <row r="249" spans="1:6" ht="38.25" x14ac:dyDescent="0.2">
      <c r="A249" s="21" t="s">
        <v>495</v>
      </c>
      <c r="B249" s="84" t="s">
        <v>214</v>
      </c>
      <c r="C249" s="101" t="s">
        <v>215</v>
      </c>
      <c r="D249" s="39">
        <v>200</v>
      </c>
      <c r="E249" s="39">
        <v>164</v>
      </c>
      <c r="F249" s="39">
        <v>164</v>
      </c>
    </row>
    <row r="250" spans="1:6" ht="25.5" x14ac:dyDescent="0.2">
      <c r="A250" s="21" t="s">
        <v>353</v>
      </c>
      <c r="B250" s="84"/>
      <c r="C250" s="103" t="s">
        <v>349</v>
      </c>
      <c r="D250" s="41">
        <f>D251+D253</f>
        <v>1822.0000000000002</v>
      </c>
      <c r="E250" s="41">
        <f t="shared" ref="D250:F251" si="59">E251</f>
        <v>36</v>
      </c>
      <c r="F250" s="41">
        <f t="shared" si="59"/>
        <v>36</v>
      </c>
    </row>
    <row r="251" spans="1:6" ht="38.25" x14ac:dyDescent="0.2">
      <c r="A251" s="84" t="s">
        <v>496</v>
      </c>
      <c r="B251" s="30"/>
      <c r="C251" s="100" t="s">
        <v>169</v>
      </c>
      <c r="D251" s="41">
        <f t="shared" si="59"/>
        <v>22.2</v>
      </c>
      <c r="E251" s="41">
        <f t="shared" si="59"/>
        <v>36</v>
      </c>
      <c r="F251" s="41">
        <f t="shared" si="59"/>
        <v>36</v>
      </c>
    </row>
    <row r="252" spans="1:6" ht="38.25" x14ac:dyDescent="0.2">
      <c r="A252" s="84" t="s">
        <v>496</v>
      </c>
      <c r="B252" s="84" t="s">
        <v>214</v>
      </c>
      <c r="C252" s="101" t="s">
        <v>215</v>
      </c>
      <c r="D252" s="41">
        <f>36-13.8</f>
        <v>22.2</v>
      </c>
      <c r="E252" s="41">
        <v>36</v>
      </c>
      <c r="F252" s="41">
        <v>36</v>
      </c>
    </row>
    <row r="253" spans="1:6" ht="38.25" x14ac:dyDescent="0.2">
      <c r="A253" s="84" t="s">
        <v>723</v>
      </c>
      <c r="B253" s="84"/>
      <c r="C253" s="101" t="s">
        <v>724</v>
      </c>
      <c r="D253" s="110">
        <f>D254</f>
        <v>1799.8000000000002</v>
      </c>
      <c r="E253" s="41">
        <f t="shared" ref="E253:F253" si="60">E254</f>
        <v>0</v>
      </c>
      <c r="F253" s="41">
        <f t="shared" si="60"/>
        <v>0</v>
      </c>
    </row>
    <row r="254" spans="1:6" ht="38.25" x14ac:dyDescent="0.2">
      <c r="A254" s="84" t="s">
        <v>723</v>
      </c>
      <c r="B254" s="84" t="s">
        <v>214</v>
      </c>
      <c r="C254" s="101" t="s">
        <v>215</v>
      </c>
      <c r="D254" s="110">
        <f>1698.4+101.4</f>
        <v>1799.8000000000002</v>
      </c>
      <c r="E254" s="41">
        <v>0</v>
      </c>
      <c r="F254" s="41">
        <v>0</v>
      </c>
    </row>
    <row r="255" spans="1:6" ht="75.75" customHeight="1" x14ac:dyDescent="0.2">
      <c r="A255" s="76">
        <v>400000000</v>
      </c>
      <c r="B255" s="30"/>
      <c r="C255" s="185" t="s">
        <v>639</v>
      </c>
      <c r="D255" s="99">
        <f>D256+D276+D289</f>
        <v>32403.3</v>
      </c>
      <c r="E255" s="99">
        <f>E256+E276+E289</f>
        <v>17798.400000000001</v>
      </c>
      <c r="F255" s="99">
        <f>F256+F276+F289</f>
        <v>7472.4</v>
      </c>
    </row>
    <row r="256" spans="1:6" ht="51" x14ac:dyDescent="0.2">
      <c r="A256" s="75">
        <v>410000000</v>
      </c>
      <c r="B256" s="30"/>
      <c r="C256" s="46" t="s">
        <v>497</v>
      </c>
      <c r="D256" s="96">
        <f>D257+D260+D265</f>
        <v>2230.5</v>
      </c>
      <c r="E256" s="96">
        <f t="shared" ref="E256:F256" si="61">E257+E260+E265</f>
        <v>1533</v>
      </c>
      <c r="F256" s="96">
        <f t="shared" si="61"/>
        <v>1533</v>
      </c>
    </row>
    <row r="257" spans="1:6" ht="38.25" x14ac:dyDescent="0.2">
      <c r="A257" s="74">
        <v>410100000</v>
      </c>
      <c r="B257" s="30"/>
      <c r="C257" s="100" t="s">
        <v>498</v>
      </c>
      <c r="D257" s="96">
        <f t="shared" ref="D257:F258" si="62">D258</f>
        <v>423.5</v>
      </c>
      <c r="E257" s="96">
        <f t="shared" si="62"/>
        <v>63</v>
      </c>
      <c r="F257" s="96">
        <f t="shared" si="62"/>
        <v>63</v>
      </c>
    </row>
    <row r="258" spans="1:6" ht="25.5" x14ac:dyDescent="0.2">
      <c r="A258" s="167" t="s">
        <v>701</v>
      </c>
      <c r="B258" s="16"/>
      <c r="C258" s="103" t="s">
        <v>171</v>
      </c>
      <c r="D258" s="39">
        <f t="shared" si="62"/>
        <v>423.5</v>
      </c>
      <c r="E258" s="39">
        <f t="shared" si="62"/>
        <v>63</v>
      </c>
      <c r="F258" s="39">
        <f t="shared" si="62"/>
        <v>63</v>
      </c>
    </row>
    <row r="259" spans="1:6" ht="38.25" x14ac:dyDescent="0.2">
      <c r="A259" s="167" t="s">
        <v>701</v>
      </c>
      <c r="B259" s="84" t="s">
        <v>214</v>
      </c>
      <c r="C259" s="101" t="s">
        <v>215</v>
      </c>
      <c r="D259" s="39">
        <f>600-176.5</f>
        <v>423.5</v>
      </c>
      <c r="E259" s="39">
        <v>63</v>
      </c>
      <c r="F259" s="39">
        <v>63</v>
      </c>
    </row>
    <row r="260" spans="1:6" ht="51" x14ac:dyDescent="0.2">
      <c r="A260" s="74">
        <v>410200000</v>
      </c>
      <c r="B260" s="30"/>
      <c r="C260" s="100" t="s">
        <v>507</v>
      </c>
      <c r="D260" s="39">
        <f>D261+D263</f>
        <v>120</v>
      </c>
      <c r="E260" s="39">
        <f t="shared" ref="E260:F260" si="63">E261+E263</f>
        <v>70</v>
      </c>
      <c r="F260" s="39">
        <f t="shared" si="63"/>
        <v>70</v>
      </c>
    </row>
    <row r="261" spans="1:6" ht="68.25" customHeight="1" x14ac:dyDescent="0.2">
      <c r="A261" s="167" t="s">
        <v>695</v>
      </c>
      <c r="B261" s="84"/>
      <c r="C261" s="101" t="s">
        <v>504</v>
      </c>
      <c r="D261" s="39">
        <f t="shared" ref="D261:F261" si="64">D262</f>
        <v>100</v>
      </c>
      <c r="E261" s="39">
        <f t="shared" si="64"/>
        <v>50</v>
      </c>
      <c r="F261" s="39">
        <f t="shared" si="64"/>
        <v>50</v>
      </c>
    </row>
    <row r="262" spans="1:6" ht="38.25" x14ac:dyDescent="0.2">
      <c r="A262" s="167" t="s">
        <v>695</v>
      </c>
      <c r="B262" s="84" t="s">
        <v>214</v>
      </c>
      <c r="C262" s="101" t="s">
        <v>215</v>
      </c>
      <c r="D262" s="39">
        <f>50+50</f>
        <v>100</v>
      </c>
      <c r="E262" s="39">
        <v>50</v>
      </c>
      <c r="F262" s="39">
        <v>50</v>
      </c>
    </row>
    <row r="263" spans="1:6" ht="27" customHeight="1" x14ac:dyDescent="0.2">
      <c r="A263" s="167" t="s">
        <v>696</v>
      </c>
      <c r="B263" s="84"/>
      <c r="C263" s="101" t="s">
        <v>505</v>
      </c>
      <c r="D263" s="39">
        <f>D264</f>
        <v>20</v>
      </c>
      <c r="E263" s="39">
        <f>E264</f>
        <v>20</v>
      </c>
      <c r="F263" s="39">
        <f>F264</f>
        <v>20</v>
      </c>
    </row>
    <row r="264" spans="1:6" ht="38.25" x14ac:dyDescent="0.2">
      <c r="A264" s="167" t="s">
        <v>696</v>
      </c>
      <c r="B264" s="84" t="s">
        <v>214</v>
      </c>
      <c r="C264" s="101" t="s">
        <v>215</v>
      </c>
      <c r="D264" s="39">
        <v>20</v>
      </c>
      <c r="E264" s="39">
        <v>20</v>
      </c>
      <c r="F264" s="39">
        <v>20</v>
      </c>
    </row>
    <row r="265" spans="1:6" ht="38.25" x14ac:dyDescent="0.2">
      <c r="A265" s="167" t="s">
        <v>510</v>
      </c>
      <c r="B265" s="84"/>
      <c r="C265" s="100" t="s">
        <v>508</v>
      </c>
      <c r="D265" s="39">
        <f>D266+D268+D270+D272+D274</f>
        <v>1687</v>
      </c>
      <c r="E265" s="39">
        <f t="shared" ref="E265:F265" si="65">E266+E268+E270+E272</f>
        <v>1400</v>
      </c>
      <c r="F265" s="39">
        <f t="shared" si="65"/>
        <v>1400</v>
      </c>
    </row>
    <row r="266" spans="1:6" ht="52.5" customHeight="1" x14ac:dyDescent="0.2">
      <c r="A266" s="167" t="s">
        <v>697</v>
      </c>
      <c r="B266" s="84"/>
      <c r="C266" s="101" t="s">
        <v>509</v>
      </c>
      <c r="D266" s="39">
        <f>D267</f>
        <v>99.4</v>
      </c>
      <c r="E266" s="39">
        <f t="shared" ref="E266:F266" si="66">E267</f>
        <v>100</v>
      </c>
      <c r="F266" s="39">
        <f t="shared" si="66"/>
        <v>100</v>
      </c>
    </row>
    <row r="267" spans="1:6" ht="63.75" x14ac:dyDescent="0.2">
      <c r="A267" s="167" t="s">
        <v>697</v>
      </c>
      <c r="B267" s="16" t="s">
        <v>13</v>
      </c>
      <c r="C267" s="101" t="s">
        <v>381</v>
      </c>
      <c r="D267" s="39">
        <f>100-0.6</f>
        <v>99.4</v>
      </c>
      <c r="E267" s="39">
        <v>100</v>
      </c>
      <c r="F267" s="39">
        <v>100</v>
      </c>
    </row>
    <row r="268" spans="1:6" ht="61.5" customHeight="1" x14ac:dyDescent="0.2">
      <c r="A268" s="167" t="s">
        <v>699</v>
      </c>
      <c r="B268" s="84"/>
      <c r="C268" s="101" t="s">
        <v>511</v>
      </c>
      <c r="D268" s="39">
        <f>D269</f>
        <v>499.5</v>
      </c>
      <c r="E268" s="39">
        <f t="shared" ref="E268:F268" si="67">E269</f>
        <v>500</v>
      </c>
      <c r="F268" s="39">
        <f t="shared" si="67"/>
        <v>500</v>
      </c>
    </row>
    <row r="269" spans="1:6" ht="63.75" x14ac:dyDescent="0.2">
      <c r="A269" s="167" t="s">
        <v>699</v>
      </c>
      <c r="B269" s="16" t="s">
        <v>13</v>
      </c>
      <c r="C269" s="101" t="s">
        <v>381</v>
      </c>
      <c r="D269" s="39">
        <f>500-0.5</f>
        <v>499.5</v>
      </c>
      <c r="E269" s="39">
        <v>500</v>
      </c>
      <c r="F269" s="39">
        <v>500</v>
      </c>
    </row>
    <row r="270" spans="1:6" ht="88.5" customHeight="1" x14ac:dyDescent="0.2">
      <c r="A270" s="167" t="s">
        <v>698</v>
      </c>
      <c r="B270" s="84"/>
      <c r="C270" s="101" t="s">
        <v>512</v>
      </c>
      <c r="D270" s="39">
        <f>D271</f>
        <v>100</v>
      </c>
      <c r="E270" s="39">
        <f t="shared" ref="E270:F270" si="68">E271</f>
        <v>100</v>
      </c>
      <c r="F270" s="39">
        <f t="shared" si="68"/>
        <v>100</v>
      </c>
    </row>
    <row r="271" spans="1:6" ht="63.75" x14ac:dyDescent="0.2">
      <c r="A271" s="167" t="s">
        <v>698</v>
      </c>
      <c r="B271" s="16" t="s">
        <v>13</v>
      </c>
      <c r="C271" s="101" t="s">
        <v>381</v>
      </c>
      <c r="D271" s="39">
        <v>100</v>
      </c>
      <c r="E271" s="39">
        <v>100</v>
      </c>
      <c r="F271" s="39">
        <v>100</v>
      </c>
    </row>
    <row r="272" spans="1:6" ht="81" customHeight="1" x14ac:dyDescent="0.2">
      <c r="A272" s="167" t="s">
        <v>700</v>
      </c>
      <c r="B272" s="84"/>
      <c r="C272" s="101" t="s">
        <v>513</v>
      </c>
      <c r="D272" s="39">
        <f>D273</f>
        <v>700</v>
      </c>
      <c r="E272" s="39">
        <f t="shared" ref="E272:F272" si="69">E273</f>
        <v>700</v>
      </c>
      <c r="F272" s="39">
        <f t="shared" si="69"/>
        <v>700</v>
      </c>
    </row>
    <row r="273" spans="1:6" ht="63.75" x14ac:dyDescent="0.2">
      <c r="A273" s="167" t="s">
        <v>700</v>
      </c>
      <c r="B273" s="16" t="s">
        <v>13</v>
      </c>
      <c r="C273" s="101" t="s">
        <v>381</v>
      </c>
      <c r="D273" s="39">
        <v>700</v>
      </c>
      <c r="E273" s="39">
        <v>700</v>
      </c>
      <c r="F273" s="39">
        <v>700</v>
      </c>
    </row>
    <row r="274" spans="1:6" ht="76.5" x14ac:dyDescent="0.2">
      <c r="A274" s="167" t="s">
        <v>741</v>
      </c>
      <c r="B274" s="16"/>
      <c r="C274" s="101" t="s">
        <v>742</v>
      </c>
      <c r="D274" s="39">
        <f>D275</f>
        <v>288.10000000000002</v>
      </c>
      <c r="E274" s="39">
        <f t="shared" ref="E274:F274" si="70">E275</f>
        <v>0</v>
      </c>
      <c r="F274" s="39">
        <f t="shared" si="70"/>
        <v>0</v>
      </c>
    </row>
    <row r="275" spans="1:6" ht="63.75" x14ac:dyDescent="0.2">
      <c r="A275" s="167" t="s">
        <v>741</v>
      </c>
      <c r="B275" s="16" t="s">
        <v>13</v>
      </c>
      <c r="C275" s="101" t="s">
        <v>381</v>
      </c>
      <c r="D275" s="39">
        <f>300-11.9</f>
        <v>288.10000000000002</v>
      </c>
      <c r="E275" s="39">
        <v>0</v>
      </c>
      <c r="F275" s="39">
        <v>0</v>
      </c>
    </row>
    <row r="276" spans="1:6" ht="51" x14ac:dyDescent="0.2">
      <c r="A276" s="75">
        <v>420000000</v>
      </c>
      <c r="B276" s="30"/>
      <c r="C276" s="46" t="s">
        <v>235</v>
      </c>
      <c r="D276" s="96">
        <f>D277+D284</f>
        <v>3808.5</v>
      </c>
      <c r="E276" s="96">
        <f>E277+E284</f>
        <v>3508.5</v>
      </c>
      <c r="F276" s="96">
        <f>F277+F284</f>
        <v>3508.5</v>
      </c>
    </row>
    <row r="277" spans="1:6" ht="102" x14ac:dyDescent="0.2">
      <c r="A277" s="74">
        <v>420100000</v>
      </c>
      <c r="B277" s="16"/>
      <c r="C277" s="100" t="s">
        <v>514</v>
      </c>
      <c r="D277" s="41">
        <f>D278+D280+D282</f>
        <v>2796.4</v>
      </c>
      <c r="E277" s="41">
        <f t="shared" ref="E277:F277" si="71">E278+E280+E282</f>
        <v>2496.4</v>
      </c>
      <c r="F277" s="41">
        <f t="shared" si="71"/>
        <v>2496.4</v>
      </c>
    </row>
    <row r="278" spans="1:6" ht="38.25" x14ac:dyDescent="0.2">
      <c r="A278" s="74" t="s">
        <v>515</v>
      </c>
      <c r="B278" s="16"/>
      <c r="C278" s="101" t="s">
        <v>365</v>
      </c>
      <c r="D278" s="41">
        <f>D279</f>
        <v>600</v>
      </c>
      <c r="E278" s="41">
        <f t="shared" ref="E278:F278" si="72">E279</f>
        <v>300</v>
      </c>
      <c r="F278" s="41">
        <f t="shared" si="72"/>
        <v>300</v>
      </c>
    </row>
    <row r="279" spans="1:6" ht="63.75" x14ac:dyDescent="0.2">
      <c r="A279" s="74" t="s">
        <v>515</v>
      </c>
      <c r="B279" s="16" t="s">
        <v>20</v>
      </c>
      <c r="C279" s="103" t="s">
        <v>376</v>
      </c>
      <c r="D279" s="41">
        <f>300+300</f>
        <v>600</v>
      </c>
      <c r="E279" s="41">
        <v>300</v>
      </c>
      <c r="F279" s="41">
        <v>300</v>
      </c>
    </row>
    <row r="280" spans="1:6" ht="63" customHeight="1" x14ac:dyDescent="0.2">
      <c r="A280" s="74">
        <v>420123230</v>
      </c>
      <c r="B280" s="16"/>
      <c r="C280" s="103" t="s">
        <v>748</v>
      </c>
      <c r="D280" s="41">
        <f>D281</f>
        <v>1300</v>
      </c>
      <c r="E280" s="41">
        <f t="shared" ref="E280:F280" si="73">E281</f>
        <v>1300</v>
      </c>
      <c r="F280" s="41">
        <f t="shared" si="73"/>
        <v>1300</v>
      </c>
    </row>
    <row r="281" spans="1:6" ht="38.25" x14ac:dyDescent="0.2">
      <c r="A281" s="74">
        <v>420123230</v>
      </c>
      <c r="B281" s="84" t="s">
        <v>214</v>
      </c>
      <c r="C281" s="101" t="s">
        <v>215</v>
      </c>
      <c r="D281" s="41">
        <f>1290+10</f>
        <v>1300</v>
      </c>
      <c r="E281" s="41">
        <v>1300</v>
      </c>
      <c r="F281" s="41">
        <v>1300</v>
      </c>
    </row>
    <row r="282" spans="1:6" ht="38.25" x14ac:dyDescent="0.2">
      <c r="A282" s="74">
        <v>420110320</v>
      </c>
      <c r="B282" s="148"/>
      <c r="C282" s="166" t="s">
        <v>516</v>
      </c>
      <c r="D282" s="41">
        <f>D283</f>
        <v>896.4</v>
      </c>
      <c r="E282" s="41">
        <f t="shared" ref="E282:F282" si="74">E283</f>
        <v>896.4</v>
      </c>
      <c r="F282" s="41">
        <f t="shared" si="74"/>
        <v>896.4</v>
      </c>
    </row>
    <row r="283" spans="1:6" ht="63.75" x14ac:dyDescent="0.2">
      <c r="A283" s="74">
        <v>420110320</v>
      </c>
      <c r="B283" s="16" t="s">
        <v>20</v>
      </c>
      <c r="C283" s="103" t="s">
        <v>376</v>
      </c>
      <c r="D283" s="41">
        <v>896.4</v>
      </c>
      <c r="E283" s="41">
        <v>896.4</v>
      </c>
      <c r="F283" s="41">
        <v>896.4</v>
      </c>
    </row>
    <row r="284" spans="1:6" ht="102" customHeight="1" x14ac:dyDescent="0.2">
      <c r="A284" s="74">
        <v>420200000</v>
      </c>
      <c r="B284" s="16"/>
      <c r="C284" s="100" t="s">
        <v>663</v>
      </c>
      <c r="D284" s="41">
        <f>D285+D287</f>
        <v>1012.0999999999999</v>
      </c>
      <c r="E284" s="41">
        <f t="shared" ref="E284:F284" si="75">E285+E287</f>
        <v>1012.0999999999999</v>
      </c>
      <c r="F284" s="41">
        <f t="shared" si="75"/>
        <v>1012.0999999999999</v>
      </c>
    </row>
    <row r="285" spans="1:6" ht="63.75" x14ac:dyDescent="0.2">
      <c r="A285" s="74">
        <v>420223235</v>
      </c>
      <c r="B285" s="30"/>
      <c r="C285" s="101" t="s">
        <v>749</v>
      </c>
      <c r="D285" s="41">
        <f>D286</f>
        <v>575.29999999999995</v>
      </c>
      <c r="E285" s="41">
        <f>E286</f>
        <v>575.29999999999995</v>
      </c>
      <c r="F285" s="41">
        <f>F286</f>
        <v>575.29999999999995</v>
      </c>
    </row>
    <row r="286" spans="1:6" ht="38.25" x14ac:dyDescent="0.2">
      <c r="A286" s="74">
        <v>420223235</v>
      </c>
      <c r="B286" s="84" t="s">
        <v>214</v>
      </c>
      <c r="C286" s="101" t="s">
        <v>215</v>
      </c>
      <c r="D286" s="41">
        <v>575.29999999999995</v>
      </c>
      <c r="E286" s="41">
        <v>575.29999999999995</v>
      </c>
      <c r="F286" s="41">
        <v>575.29999999999995</v>
      </c>
    </row>
    <row r="287" spans="1:6" ht="51" x14ac:dyDescent="0.2">
      <c r="A287" s="74">
        <v>420223240</v>
      </c>
      <c r="B287" s="84"/>
      <c r="C287" s="101" t="s">
        <v>750</v>
      </c>
      <c r="D287" s="41">
        <f>D288</f>
        <v>436.8</v>
      </c>
      <c r="E287" s="41">
        <f t="shared" ref="E287:F287" si="76">E288</f>
        <v>436.8</v>
      </c>
      <c r="F287" s="41">
        <f t="shared" si="76"/>
        <v>436.8</v>
      </c>
    </row>
    <row r="288" spans="1:6" ht="38.25" x14ac:dyDescent="0.2">
      <c r="A288" s="74">
        <v>420223240</v>
      </c>
      <c r="B288" s="84" t="s">
        <v>214</v>
      </c>
      <c r="C288" s="101" t="s">
        <v>215</v>
      </c>
      <c r="D288" s="41">
        <v>436.8</v>
      </c>
      <c r="E288" s="41">
        <v>436.8</v>
      </c>
      <c r="F288" s="41">
        <v>436.8</v>
      </c>
    </row>
    <row r="289" spans="1:6" ht="130.5" customHeight="1" x14ac:dyDescent="0.2">
      <c r="A289" s="75">
        <v>430000000</v>
      </c>
      <c r="B289" s="16"/>
      <c r="C289" s="122" t="s">
        <v>517</v>
      </c>
      <c r="D289" s="39">
        <f>D290+D295</f>
        <v>26364.3</v>
      </c>
      <c r="E289" s="39">
        <f>E290+E295</f>
        <v>12756.9</v>
      </c>
      <c r="F289" s="39">
        <f>F290+F295</f>
        <v>2430.9</v>
      </c>
    </row>
    <row r="290" spans="1:6" s="108" customFormat="1" ht="51" x14ac:dyDescent="0.2">
      <c r="A290" s="74">
        <v>430100000</v>
      </c>
      <c r="B290" s="30"/>
      <c r="C290" s="100" t="s">
        <v>236</v>
      </c>
      <c r="D290" s="102">
        <f>D291+D293</f>
        <v>1409.1000000000001</v>
      </c>
      <c r="E290" s="102">
        <f t="shared" ref="E290:F290" si="77">E291+E293</f>
        <v>1180.9000000000001</v>
      </c>
      <c r="F290" s="102">
        <f t="shared" si="77"/>
        <v>1180.9000000000001</v>
      </c>
    </row>
    <row r="291" spans="1:6" ht="102" x14ac:dyDescent="0.2">
      <c r="A291" s="80">
        <v>430127310</v>
      </c>
      <c r="B291" s="16"/>
      <c r="C291" s="101" t="s">
        <v>341</v>
      </c>
      <c r="D291" s="41">
        <f>D292</f>
        <v>1228.2</v>
      </c>
      <c r="E291" s="41">
        <f t="shared" ref="E291:F291" si="78">E292</f>
        <v>1000</v>
      </c>
      <c r="F291" s="41">
        <f t="shared" si="78"/>
        <v>1000</v>
      </c>
    </row>
    <row r="292" spans="1:6" ht="63.75" x14ac:dyDescent="0.2">
      <c r="A292" s="80">
        <v>430127310</v>
      </c>
      <c r="B292" s="16" t="s">
        <v>13</v>
      </c>
      <c r="C292" s="101" t="s">
        <v>329</v>
      </c>
      <c r="D292" s="41">
        <f>1000+235.4-7.2</f>
        <v>1228.2</v>
      </c>
      <c r="E292" s="41">
        <v>1000</v>
      </c>
      <c r="F292" s="41">
        <v>1000</v>
      </c>
    </row>
    <row r="293" spans="1:6" ht="102" customHeight="1" x14ac:dyDescent="0.2">
      <c r="A293" s="80">
        <v>430127320</v>
      </c>
      <c r="B293" s="16"/>
      <c r="C293" s="101" t="s">
        <v>519</v>
      </c>
      <c r="D293" s="41">
        <f>D294</f>
        <v>180.9</v>
      </c>
      <c r="E293" s="41">
        <f t="shared" ref="E293:F293" si="79">E294</f>
        <v>180.9</v>
      </c>
      <c r="F293" s="41">
        <f t="shared" si="79"/>
        <v>180.9</v>
      </c>
    </row>
    <row r="294" spans="1:6" ht="63.75" x14ac:dyDescent="0.2">
      <c r="A294" s="80">
        <v>430127320</v>
      </c>
      <c r="B294" s="16" t="s">
        <v>13</v>
      </c>
      <c r="C294" s="101" t="s">
        <v>329</v>
      </c>
      <c r="D294" s="41">
        <v>180.9</v>
      </c>
      <c r="E294" s="41">
        <v>180.9</v>
      </c>
      <c r="F294" s="41">
        <v>180.9</v>
      </c>
    </row>
    <row r="295" spans="1:6" ht="38.25" x14ac:dyDescent="0.2">
      <c r="A295" s="74">
        <v>430200000</v>
      </c>
      <c r="B295" s="84"/>
      <c r="C295" s="100" t="s">
        <v>300</v>
      </c>
      <c r="D295" s="41">
        <f t="shared" ref="D295:F296" si="80">D296</f>
        <v>24955.200000000001</v>
      </c>
      <c r="E295" s="41">
        <f t="shared" si="80"/>
        <v>11576</v>
      </c>
      <c r="F295" s="41">
        <f t="shared" si="80"/>
        <v>1250</v>
      </c>
    </row>
    <row r="296" spans="1:6" ht="49.5" customHeight="1" x14ac:dyDescent="0.2">
      <c r="A296" s="74">
        <v>430227330</v>
      </c>
      <c r="B296" s="16"/>
      <c r="C296" s="101" t="s">
        <v>172</v>
      </c>
      <c r="D296" s="41">
        <f t="shared" si="80"/>
        <v>24955.200000000001</v>
      </c>
      <c r="E296" s="41">
        <f t="shared" si="80"/>
        <v>11576</v>
      </c>
      <c r="F296" s="41">
        <f t="shared" si="80"/>
        <v>1250</v>
      </c>
    </row>
    <row r="297" spans="1:6" ht="63.75" x14ac:dyDescent="0.2">
      <c r="A297" s="74">
        <v>430227330</v>
      </c>
      <c r="B297" s="16" t="s">
        <v>13</v>
      </c>
      <c r="C297" s="101" t="s">
        <v>329</v>
      </c>
      <c r="D297" s="39">
        <f>12819.1-2000+14136.1</f>
        <v>24955.200000000001</v>
      </c>
      <c r="E297" s="39">
        <f>11619.1-43.1</f>
        <v>11576</v>
      </c>
      <c r="F297" s="39">
        <v>1250</v>
      </c>
    </row>
    <row r="298" spans="1:6" ht="75.75" customHeight="1" x14ac:dyDescent="0.2">
      <c r="A298" s="73" t="s">
        <v>156</v>
      </c>
      <c r="B298" s="16"/>
      <c r="C298" s="185" t="s">
        <v>638</v>
      </c>
      <c r="D298" s="99">
        <f>D299+D307+D322</f>
        <v>6584.4</v>
      </c>
      <c r="E298" s="99">
        <f>E299+E307+E322</f>
        <v>7017.8</v>
      </c>
      <c r="F298" s="99">
        <f>F299+F307+F322</f>
        <v>6087.7999999999993</v>
      </c>
    </row>
    <row r="299" spans="1:6" ht="38.25" x14ac:dyDescent="0.2">
      <c r="A299" s="52" t="s">
        <v>152</v>
      </c>
      <c r="B299" s="16"/>
      <c r="C299" s="48" t="s">
        <v>304</v>
      </c>
      <c r="D299" s="96">
        <f>D300+D304</f>
        <v>1702.4999999999998</v>
      </c>
      <c r="E299" s="96">
        <f>E300+E304</f>
        <v>950</v>
      </c>
      <c r="F299" s="96">
        <f>F300+F304</f>
        <v>950</v>
      </c>
    </row>
    <row r="300" spans="1:6" ht="38.25" x14ac:dyDescent="0.2">
      <c r="A300" s="21" t="s">
        <v>268</v>
      </c>
      <c r="B300" s="16"/>
      <c r="C300" s="103" t="s">
        <v>270</v>
      </c>
      <c r="D300" s="96">
        <f>D301</f>
        <v>1151.6999999999998</v>
      </c>
      <c r="E300" s="96">
        <f>E301</f>
        <v>150</v>
      </c>
      <c r="F300" s="96">
        <f>F301</f>
        <v>150</v>
      </c>
    </row>
    <row r="301" spans="1:6" ht="38.25" x14ac:dyDescent="0.25">
      <c r="A301" s="169" t="s">
        <v>520</v>
      </c>
      <c r="B301" s="3"/>
      <c r="C301" s="101" t="s">
        <v>269</v>
      </c>
      <c r="D301" s="41">
        <f>SUM(D302:D303)</f>
        <v>1151.6999999999998</v>
      </c>
      <c r="E301" s="41">
        <f t="shared" ref="E301:F301" si="81">SUM(E302:E303)</f>
        <v>150</v>
      </c>
      <c r="F301" s="41">
        <f t="shared" si="81"/>
        <v>150</v>
      </c>
    </row>
    <row r="302" spans="1:6" ht="38.25" x14ac:dyDescent="0.2">
      <c r="A302" s="169" t="s">
        <v>520</v>
      </c>
      <c r="B302" s="84" t="s">
        <v>214</v>
      </c>
      <c r="C302" s="101" t="s">
        <v>215</v>
      </c>
      <c r="D302" s="41">
        <f>150+892.1-4-2+11.6+155.2-4.8-53.4</f>
        <v>1144.6999999999998</v>
      </c>
      <c r="E302" s="41">
        <v>150</v>
      </c>
      <c r="F302" s="41">
        <v>150</v>
      </c>
    </row>
    <row r="303" spans="1:6" x14ac:dyDescent="0.2">
      <c r="A303" s="169" t="s">
        <v>520</v>
      </c>
      <c r="B303" s="84" t="s">
        <v>693</v>
      </c>
      <c r="C303" s="101" t="s">
        <v>694</v>
      </c>
      <c r="D303" s="41">
        <f>4+2+1</f>
        <v>7</v>
      </c>
      <c r="E303" s="41">
        <v>0</v>
      </c>
      <c r="F303" s="41">
        <v>0</v>
      </c>
    </row>
    <row r="304" spans="1:6" ht="38.25" x14ac:dyDescent="0.2">
      <c r="A304" s="21" t="s">
        <v>305</v>
      </c>
      <c r="B304" s="16"/>
      <c r="C304" s="103" t="s">
        <v>271</v>
      </c>
      <c r="D304" s="96">
        <f t="shared" ref="D304:F305" si="82">D305</f>
        <v>550.79999999999995</v>
      </c>
      <c r="E304" s="96">
        <f t="shared" si="82"/>
        <v>800</v>
      </c>
      <c r="F304" s="96">
        <f t="shared" si="82"/>
        <v>800</v>
      </c>
    </row>
    <row r="305" spans="1:6" ht="25.5" x14ac:dyDescent="0.25">
      <c r="A305" s="21" t="s">
        <v>521</v>
      </c>
      <c r="B305" s="3"/>
      <c r="C305" s="101" t="s">
        <v>347</v>
      </c>
      <c r="D305" s="41">
        <f t="shared" si="82"/>
        <v>550.79999999999995</v>
      </c>
      <c r="E305" s="41">
        <f t="shared" si="82"/>
        <v>800</v>
      </c>
      <c r="F305" s="41">
        <f t="shared" si="82"/>
        <v>800</v>
      </c>
    </row>
    <row r="306" spans="1:6" ht="38.25" x14ac:dyDescent="0.2">
      <c r="A306" s="21" t="s">
        <v>521</v>
      </c>
      <c r="B306" s="84" t="s">
        <v>214</v>
      </c>
      <c r="C306" s="101" t="s">
        <v>215</v>
      </c>
      <c r="D306" s="39">
        <f>697.9+8.1-155.2</f>
        <v>550.79999999999995</v>
      </c>
      <c r="E306" s="39">
        <v>800</v>
      </c>
      <c r="F306" s="39">
        <v>800</v>
      </c>
    </row>
    <row r="307" spans="1:6" ht="38.25" x14ac:dyDescent="0.2">
      <c r="A307" s="52" t="s">
        <v>153</v>
      </c>
      <c r="B307" s="16"/>
      <c r="C307" s="48" t="s">
        <v>150</v>
      </c>
      <c r="D307" s="96">
        <f>D308+D315</f>
        <v>1262.9000000000001</v>
      </c>
      <c r="E307" s="96">
        <f t="shared" ref="E307:F307" si="83">E308+E315</f>
        <v>2180</v>
      </c>
      <c r="F307" s="96">
        <f t="shared" si="83"/>
        <v>2223.6999999999998</v>
      </c>
    </row>
    <row r="308" spans="1:6" ht="25.5" x14ac:dyDescent="0.2">
      <c r="A308" s="21" t="s">
        <v>272</v>
      </c>
      <c r="B308" s="84"/>
      <c r="C308" s="103" t="s">
        <v>273</v>
      </c>
      <c r="D308" s="96">
        <f>D309+D311+D313</f>
        <v>200</v>
      </c>
      <c r="E308" s="96">
        <f t="shared" ref="E308:F308" si="84">E309+E311+E313</f>
        <v>270</v>
      </c>
      <c r="F308" s="96">
        <f t="shared" si="84"/>
        <v>160</v>
      </c>
    </row>
    <row r="309" spans="1:6" ht="114.75" x14ac:dyDescent="0.25">
      <c r="A309" s="80">
        <v>520123261</v>
      </c>
      <c r="B309" s="3"/>
      <c r="C309" s="101" t="s">
        <v>274</v>
      </c>
      <c r="D309" s="41">
        <f>D310</f>
        <v>0</v>
      </c>
      <c r="E309" s="41">
        <f>E310</f>
        <v>100</v>
      </c>
      <c r="F309" s="41">
        <f>F310</f>
        <v>0</v>
      </c>
    </row>
    <row r="310" spans="1:6" ht="38.25" x14ac:dyDescent="0.2">
      <c r="A310" s="80">
        <v>520123261</v>
      </c>
      <c r="B310" s="84" t="s">
        <v>214</v>
      </c>
      <c r="C310" s="101" t="s">
        <v>215</v>
      </c>
      <c r="D310" s="41">
        <v>0</v>
      </c>
      <c r="E310" s="41">
        <v>100</v>
      </c>
      <c r="F310" s="41">
        <v>0</v>
      </c>
    </row>
    <row r="311" spans="1:6" ht="38.25" x14ac:dyDescent="0.2">
      <c r="A311" s="80">
        <v>520123262</v>
      </c>
      <c r="B311" s="16"/>
      <c r="C311" s="101" t="s">
        <v>306</v>
      </c>
      <c r="D311" s="41">
        <f>D312</f>
        <v>0</v>
      </c>
      <c r="E311" s="41">
        <f>E312</f>
        <v>20</v>
      </c>
      <c r="F311" s="41">
        <f>F312</f>
        <v>0</v>
      </c>
    </row>
    <row r="312" spans="1:6" ht="38.25" x14ac:dyDescent="0.2">
      <c r="A312" s="80">
        <v>520123262</v>
      </c>
      <c r="B312" s="84" t="s">
        <v>214</v>
      </c>
      <c r="C312" s="101" t="s">
        <v>215</v>
      </c>
      <c r="D312" s="41">
        <v>0</v>
      </c>
      <c r="E312" s="41">
        <v>20</v>
      </c>
      <c r="F312" s="41">
        <v>0</v>
      </c>
    </row>
    <row r="313" spans="1:6" ht="16.5" customHeight="1" x14ac:dyDescent="0.2">
      <c r="A313" s="169" t="s">
        <v>522</v>
      </c>
      <c r="B313" s="84"/>
      <c r="C313" s="101" t="s">
        <v>523</v>
      </c>
      <c r="D313" s="41">
        <f>D314</f>
        <v>200</v>
      </c>
      <c r="E313" s="41">
        <f t="shared" ref="E313:F313" si="85">E314</f>
        <v>150</v>
      </c>
      <c r="F313" s="41">
        <f t="shared" si="85"/>
        <v>160</v>
      </c>
    </row>
    <row r="314" spans="1:6" ht="38.25" x14ac:dyDescent="0.2">
      <c r="A314" s="169" t="s">
        <v>522</v>
      </c>
      <c r="B314" s="84" t="s">
        <v>214</v>
      </c>
      <c r="C314" s="101" t="s">
        <v>215</v>
      </c>
      <c r="D314" s="41">
        <f>400-200</f>
        <v>200</v>
      </c>
      <c r="E314" s="41">
        <v>150</v>
      </c>
      <c r="F314" s="41">
        <v>160</v>
      </c>
    </row>
    <row r="315" spans="1:6" ht="25.5" x14ac:dyDescent="0.2">
      <c r="A315" s="21" t="s">
        <v>275</v>
      </c>
      <c r="B315" s="84"/>
      <c r="C315" s="103" t="s">
        <v>524</v>
      </c>
      <c r="D315" s="41">
        <f>D316+D318+D320</f>
        <v>1062.9000000000001</v>
      </c>
      <c r="E315" s="41">
        <f t="shared" ref="E315:F315" si="86">E316+E318+E320</f>
        <v>1910</v>
      </c>
      <c r="F315" s="41">
        <f t="shared" si="86"/>
        <v>2063.6999999999998</v>
      </c>
    </row>
    <row r="316" spans="1:6" ht="39" customHeight="1" x14ac:dyDescent="0.2">
      <c r="A316" s="80">
        <v>520223264</v>
      </c>
      <c r="B316" s="84"/>
      <c r="C316" s="101" t="s">
        <v>525</v>
      </c>
      <c r="D316" s="41">
        <f>D317</f>
        <v>0</v>
      </c>
      <c r="E316" s="41">
        <f t="shared" ref="E316:F316" si="87">E317</f>
        <v>490</v>
      </c>
      <c r="F316" s="41">
        <f t="shared" si="87"/>
        <v>600</v>
      </c>
    </row>
    <row r="317" spans="1:6" x14ac:dyDescent="0.2">
      <c r="A317" s="80">
        <v>520223264</v>
      </c>
      <c r="B317" s="84" t="s">
        <v>133</v>
      </c>
      <c r="C317" s="101" t="s">
        <v>134</v>
      </c>
      <c r="D317" s="41">
        <v>0</v>
      </c>
      <c r="E317" s="41">
        <v>490</v>
      </c>
      <c r="F317" s="41">
        <v>600</v>
      </c>
    </row>
    <row r="318" spans="1:6" ht="51" customHeight="1" x14ac:dyDescent="0.2">
      <c r="A318" s="80">
        <v>520223265</v>
      </c>
      <c r="B318" s="84"/>
      <c r="C318" s="101" t="s">
        <v>526</v>
      </c>
      <c r="D318" s="41">
        <f>D319</f>
        <v>1062.9000000000001</v>
      </c>
      <c r="E318" s="41">
        <f t="shared" ref="E318:F318" si="88">E319</f>
        <v>1220</v>
      </c>
      <c r="F318" s="41">
        <f t="shared" si="88"/>
        <v>1463.7</v>
      </c>
    </row>
    <row r="319" spans="1:6" x14ac:dyDescent="0.2">
      <c r="A319" s="80">
        <v>520223265</v>
      </c>
      <c r="B319" s="112" t="s">
        <v>253</v>
      </c>
      <c r="C319" s="109" t="s">
        <v>277</v>
      </c>
      <c r="D319" s="41">
        <v>1062.9000000000001</v>
      </c>
      <c r="E319" s="41">
        <v>1220</v>
      </c>
      <c r="F319" s="41">
        <v>1463.7</v>
      </c>
    </row>
    <row r="320" spans="1:6" ht="25.5" x14ac:dyDescent="0.2">
      <c r="A320" s="21" t="s">
        <v>527</v>
      </c>
      <c r="B320" s="84"/>
      <c r="C320" s="103" t="s">
        <v>278</v>
      </c>
      <c r="D320" s="41">
        <f>D321</f>
        <v>0</v>
      </c>
      <c r="E320" s="41">
        <f>E321</f>
        <v>200</v>
      </c>
      <c r="F320" s="41">
        <f>F321</f>
        <v>0</v>
      </c>
    </row>
    <row r="321" spans="1:6" ht="38.25" x14ac:dyDescent="0.2">
      <c r="A321" s="21" t="s">
        <v>527</v>
      </c>
      <c r="B321" s="84" t="s">
        <v>214</v>
      </c>
      <c r="C321" s="101" t="s">
        <v>215</v>
      </c>
      <c r="D321" s="110">
        <v>0</v>
      </c>
      <c r="E321" s="111">
        <v>200</v>
      </c>
      <c r="F321" s="111">
        <v>0</v>
      </c>
    </row>
    <row r="322" spans="1:6" ht="51" x14ac:dyDescent="0.2">
      <c r="A322" s="52" t="s">
        <v>154</v>
      </c>
      <c r="B322" s="16"/>
      <c r="C322" s="48" t="s">
        <v>151</v>
      </c>
      <c r="D322" s="96">
        <f>D323+D326</f>
        <v>3619</v>
      </c>
      <c r="E322" s="96">
        <f>E323+E326</f>
        <v>3887.8</v>
      </c>
      <c r="F322" s="96">
        <f>F323+F326</f>
        <v>2914.1</v>
      </c>
    </row>
    <row r="323" spans="1:6" ht="62.25" customHeight="1" x14ac:dyDescent="0.2">
      <c r="A323" s="21" t="s">
        <v>279</v>
      </c>
      <c r="B323" s="84"/>
      <c r="C323" s="103" t="s">
        <v>319</v>
      </c>
      <c r="D323" s="102">
        <f t="shared" ref="D323:F324" si="89">D324</f>
        <v>1635.7</v>
      </c>
      <c r="E323" s="102">
        <f t="shared" si="89"/>
        <v>1487.8</v>
      </c>
      <c r="F323" s="102">
        <f t="shared" si="89"/>
        <v>1487.8</v>
      </c>
    </row>
    <row r="324" spans="1:6" ht="63.75" x14ac:dyDescent="0.2">
      <c r="A324" s="80">
        <v>530123271</v>
      </c>
      <c r="B324" s="16"/>
      <c r="C324" s="101" t="s">
        <v>155</v>
      </c>
      <c r="D324" s="41">
        <f t="shared" si="89"/>
        <v>1635.7</v>
      </c>
      <c r="E324" s="41">
        <f t="shared" si="89"/>
        <v>1487.8</v>
      </c>
      <c r="F324" s="41">
        <f t="shared" si="89"/>
        <v>1487.8</v>
      </c>
    </row>
    <row r="325" spans="1:6" ht="38.25" x14ac:dyDescent="0.2">
      <c r="A325" s="80">
        <v>530123271</v>
      </c>
      <c r="B325" s="84" t="s">
        <v>214</v>
      </c>
      <c r="C325" s="101" t="s">
        <v>215</v>
      </c>
      <c r="D325" s="148">
        <v>1635.7</v>
      </c>
      <c r="E325" s="148">
        <v>1487.8</v>
      </c>
      <c r="F325" s="148">
        <v>1487.8</v>
      </c>
    </row>
    <row r="326" spans="1:6" ht="51" x14ac:dyDescent="0.2">
      <c r="A326" s="21" t="s">
        <v>280</v>
      </c>
      <c r="B326" s="16"/>
      <c r="C326" s="103" t="s">
        <v>528</v>
      </c>
      <c r="D326" s="41">
        <f t="shared" ref="D326:F327" si="90">D327</f>
        <v>1983.3</v>
      </c>
      <c r="E326" s="41">
        <f t="shared" si="90"/>
        <v>2400</v>
      </c>
      <c r="F326" s="41">
        <f t="shared" si="90"/>
        <v>1426.3</v>
      </c>
    </row>
    <row r="327" spans="1:6" ht="39" customHeight="1" x14ac:dyDescent="0.2">
      <c r="A327" s="80">
        <v>530223272</v>
      </c>
      <c r="B327" s="16"/>
      <c r="C327" s="101" t="s">
        <v>529</v>
      </c>
      <c r="D327" s="41">
        <f t="shared" si="90"/>
        <v>1983.3</v>
      </c>
      <c r="E327" s="41">
        <f t="shared" si="90"/>
        <v>2400</v>
      </c>
      <c r="F327" s="41">
        <f t="shared" si="90"/>
        <v>1426.3</v>
      </c>
    </row>
    <row r="328" spans="1:6" ht="38.25" x14ac:dyDescent="0.2">
      <c r="A328" s="80">
        <v>530223272</v>
      </c>
      <c r="B328" s="84" t="s">
        <v>214</v>
      </c>
      <c r="C328" s="101" t="s">
        <v>215</v>
      </c>
      <c r="D328" s="41">
        <f>2400-416.7</f>
        <v>1983.3</v>
      </c>
      <c r="E328" s="41">
        <v>2400</v>
      </c>
      <c r="F328" s="41">
        <v>1426.3</v>
      </c>
    </row>
    <row r="329" spans="1:6" ht="79.5" customHeight="1" x14ac:dyDescent="0.2">
      <c r="A329" s="78" t="s">
        <v>67</v>
      </c>
      <c r="B329" s="16"/>
      <c r="C329" s="63" t="s">
        <v>637</v>
      </c>
      <c r="D329" s="99">
        <f t="shared" ref="D329:F332" si="91">D330</f>
        <v>629.29999999999995</v>
      </c>
      <c r="E329" s="99">
        <f t="shared" si="91"/>
        <v>529.29999999999995</v>
      </c>
      <c r="F329" s="99">
        <f t="shared" si="91"/>
        <v>529.29999999999995</v>
      </c>
    </row>
    <row r="330" spans="1:6" ht="40.5" customHeight="1" x14ac:dyDescent="0.2">
      <c r="A330" s="77" t="s">
        <v>68</v>
      </c>
      <c r="B330" s="16"/>
      <c r="C330" s="60" t="s">
        <v>532</v>
      </c>
      <c r="D330" s="96">
        <f t="shared" si="91"/>
        <v>629.29999999999995</v>
      </c>
      <c r="E330" s="96">
        <f t="shared" si="91"/>
        <v>529.29999999999995</v>
      </c>
      <c r="F330" s="96">
        <f t="shared" si="91"/>
        <v>529.29999999999995</v>
      </c>
    </row>
    <row r="331" spans="1:6" ht="63.75" x14ac:dyDescent="0.2">
      <c r="A331" s="74">
        <v>610100000</v>
      </c>
      <c r="B331" s="16"/>
      <c r="C331" s="101" t="s">
        <v>531</v>
      </c>
      <c r="D331" s="102">
        <f>D332+D334</f>
        <v>629.29999999999995</v>
      </c>
      <c r="E331" s="102">
        <f t="shared" ref="E331:F331" si="92">E332+E334</f>
        <v>529.29999999999995</v>
      </c>
      <c r="F331" s="102">
        <f t="shared" si="92"/>
        <v>529.29999999999995</v>
      </c>
    </row>
    <row r="332" spans="1:6" ht="38.25" x14ac:dyDescent="0.2">
      <c r="A332" s="170" t="s">
        <v>530</v>
      </c>
      <c r="B332" s="16"/>
      <c r="C332" s="101" t="s">
        <v>806</v>
      </c>
      <c r="D332" s="41">
        <f t="shared" si="91"/>
        <v>620.29999999999995</v>
      </c>
      <c r="E332" s="41">
        <f t="shared" si="91"/>
        <v>520.29999999999995</v>
      </c>
      <c r="F332" s="41">
        <f t="shared" si="91"/>
        <v>520.29999999999995</v>
      </c>
    </row>
    <row r="333" spans="1:6" ht="38.25" x14ac:dyDescent="0.2">
      <c r="A333" s="170" t="s">
        <v>530</v>
      </c>
      <c r="B333" s="84" t="s">
        <v>214</v>
      </c>
      <c r="C333" s="101" t="s">
        <v>215</v>
      </c>
      <c r="D333" s="41">
        <v>620.29999999999995</v>
      </c>
      <c r="E333" s="41">
        <v>520.29999999999995</v>
      </c>
      <c r="F333" s="41">
        <v>520.29999999999995</v>
      </c>
    </row>
    <row r="334" spans="1:6" ht="30" customHeight="1" x14ac:dyDescent="0.2">
      <c r="A334" s="170" t="s">
        <v>603</v>
      </c>
      <c r="B334" s="84"/>
      <c r="C334" s="101" t="s">
        <v>604</v>
      </c>
      <c r="D334" s="41">
        <f>D335</f>
        <v>9</v>
      </c>
      <c r="E334" s="41">
        <f t="shared" ref="E334:F334" si="93">E335</f>
        <v>9</v>
      </c>
      <c r="F334" s="41">
        <f t="shared" si="93"/>
        <v>9</v>
      </c>
    </row>
    <row r="335" spans="1:6" ht="38.25" x14ac:dyDescent="0.2">
      <c r="A335" s="170" t="s">
        <v>603</v>
      </c>
      <c r="B335" s="84" t="s">
        <v>214</v>
      </c>
      <c r="C335" s="101" t="s">
        <v>215</v>
      </c>
      <c r="D335" s="41">
        <v>9</v>
      </c>
      <c r="E335" s="41">
        <v>9</v>
      </c>
      <c r="F335" s="41">
        <v>9</v>
      </c>
    </row>
    <row r="336" spans="1:6" ht="90" customHeight="1" x14ac:dyDescent="0.2">
      <c r="A336" s="82" t="s">
        <v>34</v>
      </c>
      <c r="B336" s="16"/>
      <c r="C336" s="53" t="s">
        <v>641</v>
      </c>
      <c r="D336" s="99">
        <f>D337+D346+D355</f>
        <v>4945.0999999999995</v>
      </c>
      <c r="E336" s="99">
        <f t="shared" ref="E336:F336" si="94">E337+E346+E355</f>
        <v>8885</v>
      </c>
      <c r="F336" s="99">
        <f t="shared" si="94"/>
        <v>4465</v>
      </c>
    </row>
    <row r="337" spans="1:7" ht="25.5" customHeight="1" x14ac:dyDescent="0.2">
      <c r="A337" s="52" t="s">
        <v>35</v>
      </c>
      <c r="B337" s="16"/>
      <c r="C337" s="48" t="s">
        <v>606</v>
      </c>
      <c r="D337" s="96">
        <f>D338+D341</f>
        <v>452.9</v>
      </c>
      <c r="E337" s="96">
        <f>E338+E341</f>
        <v>485</v>
      </c>
      <c r="F337" s="96">
        <f>F338+F341</f>
        <v>565</v>
      </c>
      <c r="G337" s="107"/>
    </row>
    <row r="338" spans="1:7" ht="38.25" x14ac:dyDescent="0.2">
      <c r="A338" s="21" t="s">
        <v>238</v>
      </c>
      <c r="B338" s="16"/>
      <c r="C338" s="103" t="s">
        <v>237</v>
      </c>
      <c r="D338" s="96">
        <f t="shared" ref="D338:F339" si="95">D339</f>
        <v>442.9</v>
      </c>
      <c r="E338" s="96">
        <f t="shared" si="95"/>
        <v>445</v>
      </c>
      <c r="F338" s="96">
        <f t="shared" si="95"/>
        <v>445</v>
      </c>
    </row>
    <row r="339" spans="1:7" ht="25.5" x14ac:dyDescent="0.25">
      <c r="A339" s="21" t="s">
        <v>533</v>
      </c>
      <c r="B339" s="3"/>
      <c r="C339" s="101" t="s">
        <v>191</v>
      </c>
      <c r="D339" s="41">
        <f t="shared" si="95"/>
        <v>442.9</v>
      </c>
      <c r="E339" s="41">
        <f t="shared" si="95"/>
        <v>445</v>
      </c>
      <c r="F339" s="41">
        <f t="shared" si="95"/>
        <v>445</v>
      </c>
    </row>
    <row r="340" spans="1:7" ht="38.25" x14ac:dyDescent="0.2">
      <c r="A340" s="21" t="s">
        <v>533</v>
      </c>
      <c r="B340" s="84" t="s">
        <v>214</v>
      </c>
      <c r="C340" s="101" t="s">
        <v>215</v>
      </c>
      <c r="D340" s="41">
        <f>443-0.1</f>
        <v>442.9</v>
      </c>
      <c r="E340" s="39">
        <v>445</v>
      </c>
      <c r="F340" s="39">
        <v>445</v>
      </c>
      <c r="G340" s="107"/>
    </row>
    <row r="341" spans="1:7" ht="38.25" x14ac:dyDescent="0.2">
      <c r="A341" s="21" t="s">
        <v>535</v>
      </c>
      <c r="B341" s="84"/>
      <c r="C341" s="103" t="s">
        <v>346</v>
      </c>
      <c r="D341" s="41">
        <f>D342+D344</f>
        <v>10</v>
      </c>
      <c r="E341" s="41">
        <f t="shared" ref="E341:F341" si="96">E342+E344</f>
        <v>40</v>
      </c>
      <c r="F341" s="41">
        <f t="shared" si="96"/>
        <v>120</v>
      </c>
      <c r="G341" s="107"/>
    </row>
    <row r="342" spans="1:7" ht="25.5" x14ac:dyDescent="0.2">
      <c r="A342" s="21" t="s">
        <v>534</v>
      </c>
      <c r="B342" s="16"/>
      <c r="C342" s="101" t="s">
        <v>345</v>
      </c>
      <c r="D342" s="41">
        <f t="shared" ref="D342:F342" si="97">D343</f>
        <v>10</v>
      </c>
      <c r="E342" s="41">
        <f t="shared" si="97"/>
        <v>40</v>
      </c>
      <c r="F342" s="41">
        <f t="shared" si="97"/>
        <v>40</v>
      </c>
      <c r="G342" s="107"/>
    </row>
    <row r="343" spans="1:7" ht="38.25" x14ac:dyDescent="0.2">
      <c r="A343" s="21" t="s">
        <v>534</v>
      </c>
      <c r="B343" s="84" t="s">
        <v>214</v>
      </c>
      <c r="C343" s="101" t="s">
        <v>215</v>
      </c>
      <c r="D343" s="41">
        <f>40-30</f>
        <v>10</v>
      </c>
      <c r="E343" s="41">
        <v>40</v>
      </c>
      <c r="F343" s="41">
        <v>40</v>
      </c>
      <c r="G343" s="107"/>
    </row>
    <row r="344" spans="1:7" ht="38.25" x14ac:dyDescent="0.2">
      <c r="A344" s="21" t="s">
        <v>607</v>
      </c>
      <c r="B344" s="84"/>
      <c r="C344" s="101" t="s">
        <v>608</v>
      </c>
      <c r="D344" s="41">
        <f>D345</f>
        <v>0</v>
      </c>
      <c r="E344" s="41">
        <f t="shared" ref="E344:F344" si="98">E345</f>
        <v>0</v>
      </c>
      <c r="F344" s="41">
        <f t="shared" si="98"/>
        <v>80</v>
      </c>
      <c r="G344" s="107"/>
    </row>
    <row r="345" spans="1:7" ht="38.25" x14ac:dyDescent="0.2">
      <c r="A345" s="21" t="s">
        <v>607</v>
      </c>
      <c r="B345" s="84" t="s">
        <v>214</v>
      </c>
      <c r="C345" s="101" t="s">
        <v>215</v>
      </c>
      <c r="D345" s="41">
        <v>0</v>
      </c>
      <c r="E345" s="41">
        <v>0</v>
      </c>
      <c r="F345" s="41">
        <v>80</v>
      </c>
      <c r="G345" s="107"/>
    </row>
    <row r="346" spans="1:7" ht="25.5" x14ac:dyDescent="0.2">
      <c r="A346" s="52" t="s">
        <v>386</v>
      </c>
      <c r="B346" s="16"/>
      <c r="C346" s="46" t="s">
        <v>354</v>
      </c>
      <c r="D346" s="96">
        <f>D347+D352</f>
        <v>1094.9000000000001</v>
      </c>
      <c r="E346" s="96">
        <f t="shared" ref="E346:F346" si="99">E347+E352</f>
        <v>2800</v>
      </c>
      <c r="F346" s="96">
        <f t="shared" si="99"/>
        <v>2900</v>
      </c>
      <c r="G346" s="107"/>
    </row>
    <row r="347" spans="1:7" ht="38.25" x14ac:dyDescent="0.2">
      <c r="A347" s="21" t="s">
        <v>536</v>
      </c>
      <c r="B347" s="16"/>
      <c r="C347" s="103" t="s">
        <v>310</v>
      </c>
      <c r="D347" s="102">
        <f>D348+D350</f>
        <v>1094.9000000000001</v>
      </c>
      <c r="E347" s="102">
        <f t="shared" ref="E347:F347" si="100">E348+E350</f>
        <v>800</v>
      </c>
      <c r="F347" s="102">
        <f t="shared" si="100"/>
        <v>800</v>
      </c>
      <c r="G347" s="107"/>
    </row>
    <row r="348" spans="1:7" ht="36" customHeight="1" x14ac:dyDescent="0.2">
      <c r="A348" s="21" t="s">
        <v>537</v>
      </c>
      <c r="B348" s="16"/>
      <c r="C348" s="100" t="s">
        <v>192</v>
      </c>
      <c r="D348" s="41">
        <f>D349</f>
        <v>178</v>
      </c>
      <c r="E348" s="41">
        <f>E349</f>
        <v>250</v>
      </c>
      <c r="F348" s="41">
        <f>F349</f>
        <v>250</v>
      </c>
      <c r="G348" s="107"/>
    </row>
    <row r="349" spans="1:7" ht="38.25" x14ac:dyDescent="0.2">
      <c r="A349" s="21" t="s">
        <v>537</v>
      </c>
      <c r="B349" s="84" t="s">
        <v>214</v>
      </c>
      <c r="C349" s="101" t="s">
        <v>215</v>
      </c>
      <c r="D349" s="41">
        <f>250-72</f>
        <v>178</v>
      </c>
      <c r="E349" s="41">
        <v>250</v>
      </c>
      <c r="F349" s="41">
        <v>250</v>
      </c>
      <c r="G349" s="107"/>
    </row>
    <row r="350" spans="1:7" ht="27" customHeight="1" x14ac:dyDescent="0.2">
      <c r="A350" s="21" t="s">
        <v>539</v>
      </c>
      <c r="B350" s="84"/>
      <c r="C350" s="101" t="s">
        <v>538</v>
      </c>
      <c r="D350" s="41">
        <f>D351</f>
        <v>916.9</v>
      </c>
      <c r="E350" s="41">
        <f t="shared" ref="E350:F350" si="101">E351</f>
        <v>550</v>
      </c>
      <c r="F350" s="41">
        <f t="shared" si="101"/>
        <v>550</v>
      </c>
      <c r="G350" s="107"/>
    </row>
    <row r="351" spans="1:7" ht="38.25" x14ac:dyDescent="0.2">
      <c r="A351" s="21" t="s">
        <v>539</v>
      </c>
      <c r="B351" s="84" t="s">
        <v>214</v>
      </c>
      <c r="C351" s="101" t="s">
        <v>215</v>
      </c>
      <c r="D351" s="41">
        <f>590+146.9+180</f>
        <v>916.9</v>
      </c>
      <c r="E351" s="41">
        <v>550</v>
      </c>
      <c r="F351" s="41">
        <v>550</v>
      </c>
      <c r="G351" s="107"/>
    </row>
    <row r="352" spans="1:7" ht="25.5" x14ac:dyDescent="0.2">
      <c r="A352" s="21" t="s">
        <v>541</v>
      </c>
      <c r="B352" s="84"/>
      <c r="C352" s="103" t="s">
        <v>385</v>
      </c>
      <c r="D352" s="41">
        <f t="shared" ref="D352:F353" si="102">D353</f>
        <v>0</v>
      </c>
      <c r="E352" s="41">
        <f t="shared" si="102"/>
        <v>2000</v>
      </c>
      <c r="F352" s="41">
        <f t="shared" si="102"/>
        <v>2100</v>
      </c>
      <c r="G352" s="107"/>
    </row>
    <row r="353" spans="1:7" ht="38.25" x14ac:dyDescent="0.2">
      <c r="A353" s="21" t="s">
        <v>540</v>
      </c>
      <c r="B353" s="16"/>
      <c r="C353" s="101" t="s">
        <v>643</v>
      </c>
      <c r="D353" s="110">
        <f>D354</f>
        <v>0</v>
      </c>
      <c r="E353" s="41">
        <f t="shared" si="102"/>
        <v>2000</v>
      </c>
      <c r="F353" s="41">
        <f t="shared" si="102"/>
        <v>2100</v>
      </c>
      <c r="G353" s="107"/>
    </row>
    <row r="354" spans="1:7" ht="38.25" x14ac:dyDescent="0.2">
      <c r="A354" s="21" t="s">
        <v>540</v>
      </c>
      <c r="B354" s="84" t="s">
        <v>214</v>
      </c>
      <c r="C354" s="101" t="s">
        <v>215</v>
      </c>
      <c r="D354" s="110">
        <v>0</v>
      </c>
      <c r="E354" s="41">
        <v>2000</v>
      </c>
      <c r="F354" s="41">
        <v>2100</v>
      </c>
      <c r="G354" s="107"/>
    </row>
    <row r="355" spans="1:7" ht="38.25" x14ac:dyDescent="0.2">
      <c r="A355" s="52" t="s">
        <v>36</v>
      </c>
      <c r="B355" s="16"/>
      <c r="C355" s="46" t="s">
        <v>542</v>
      </c>
      <c r="D355" s="110">
        <f>D356+D359</f>
        <v>3397.2999999999993</v>
      </c>
      <c r="E355" s="110">
        <f t="shared" ref="E355:F355" si="103">E356+E359</f>
        <v>5600</v>
      </c>
      <c r="F355" s="110">
        <f t="shared" si="103"/>
        <v>1000</v>
      </c>
      <c r="G355" s="107"/>
    </row>
    <row r="356" spans="1:7" ht="49.5" customHeight="1" x14ac:dyDescent="0.2">
      <c r="A356" s="21" t="s">
        <v>239</v>
      </c>
      <c r="B356" s="16"/>
      <c r="C356" s="103" t="s">
        <v>752</v>
      </c>
      <c r="D356" s="110">
        <f>D357</f>
        <v>2523.9999999999991</v>
      </c>
      <c r="E356" s="110">
        <f t="shared" ref="E356:F357" si="104">E357</f>
        <v>1000</v>
      </c>
      <c r="F356" s="110">
        <f t="shared" si="104"/>
        <v>1000</v>
      </c>
      <c r="G356" s="107"/>
    </row>
    <row r="357" spans="1:7" ht="39.75" customHeight="1" x14ac:dyDescent="0.2">
      <c r="A357" s="21" t="s">
        <v>544</v>
      </c>
      <c r="B357" s="16"/>
      <c r="C357" s="103" t="s">
        <v>543</v>
      </c>
      <c r="D357" s="110">
        <f>D358</f>
        <v>2523.9999999999991</v>
      </c>
      <c r="E357" s="110">
        <f t="shared" si="104"/>
        <v>1000</v>
      </c>
      <c r="F357" s="110">
        <f t="shared" si="104"/>
        <v>1000</v>
      </c>
      <c r="G357" s="107"/>
    </row>
    <row r="358" spans="1:7" ht="42.75" customHeight="1" x14ac:dyDescent="0.2">
      <c r="A358" s="21" t="s">
        <v>544</v>
      </c>
      <c r="B358" s="84" t="s">
        <v>214</v>
      </c>
      <c r="C358" s="101" t="s">
        <v>215</v>
      </c>
      <c r="D358" s="110">
        <f>19821.8-14859.1-3849.7+127.9+68+500+722.9-7.8</f>
        <v>2523.9999999999991</v>
      </c>
      <c r="E358" s="41">
        <v>1000</v>
      </c>
      <c r="F358" s="41">
        <v>1000</v>
      </c>
      <c r="G358" s="107"/>
    </row>
    <row r="359" spans="1:7" ht="25.5" customHeight="1" x14ac:dyDescent="0.2">
      <c r="A359" s="21" t="s">
        <v>384</v>
      </c>
      <c r="B359" s="84"/>
      <c r="C359" s="103" t="s">
        <v>642</v>
      </c>
      <c r="D359" s="110">
        <f>D360</f>
        <v>873.3</v>
      </c>
      <c r="E359" s="110">
        <f t="shared" ref="E359:F360" si="105">E360</f>
        <v>4600</v>
      </c>
      <c r="F359" s="110">
        <f t="shared" si="105"/>
        <v>0</v>
      </c>
      <c r="G359" s="107"/>
    </row>
    <row r="360" spans="1:7" ht="26.25" customHeight="1" x14ac:dyDescent="0.2">
      <c r="A360" s="21" t="s">
        <v>545</v>
      </c>
      <c r="B360" s="16"/>
      <c r="C360" s="103" t="s">
        <v>388</v>
      </c>
      <c r="D360" s="110">
        <f>D361</f>
        <v>873.3</v>
      </c>
      <c r="E360" s="110">
        <f t="shared" si="105"/>
        <v>4600</v>
      </c>
      <c r="F360" s="110">
        <f t="shared" si="105"/>
        <v>0</v>
      </c>
      <c r="G360" s="107"/>
    </row>
    <row r="361" spans="1:7" ht="12.75" customHeight="1" x14ac:dyDescent="0.2">
      <c r="A361" s="21" t="s">
        <v>545</v>
      </c>
      <c r="B361" s="112" t="s">
        <v>253</v>
      </c>
      <c r="C361" s="109" t="s">
        <v>277</v>
      </c>
      <c r="D361" s="110">
        <f>910.3-37</f>
        <v>873.3</v>
      </c>
      <c r="E361" s="41">
        <v>4600</v>
      </c>
      <c r="F361" s="41">
        <v>0</v>
      </c>
      <c r="G361" s="107"/>
    </row>
    <row r="362" spans="1:7" ht="77.25" customHeight="1" x14ac:dyDescent="0.2">
      <c r="A362" s="73" t="s">
        <v>148</v>
      </c>
      <c r="B362" s="16"/>
      <c r="C362" s="63" t="s">
        <v>644</v>
      </c>
      <c r="D362" s="99">
        <f>D364</f>
        <v>300</v>
      </c>
      <c r="E362" s="99">
        <f>E364</f>
        <v>1321.4</v>
      </c>
      <c r="F362" s="99">
        <f>F364</f>
        <v>300</v>
      </c>
    </row>
    <row r="363" spans="1:7" ht="51" x14ac:dyDescent="0.2">
      <c r="A363" s="21" t="s">
        <v>149</v>
      </c>
      <c r="B363" s="16"/>
      <c r="C363" s="48" t="s">
        <v>546</v>
      </c>
      <c r="D363" s="96">
        <f>D364</f>
        <v>300</v>
      </c>
      <c r="E363" s="96">
        <f>E364</f>
        <v>1321.4</v>
      </c>
      <c r="F363" s="96">
        <f>F364</f>
        <v>300</v>
      </c>
    </row>
    <row r="364" spans="1:7" ht="76.5" customHeight="1" x14ac:dyDescent="0.2">
      <c r="A364" s="21" t="s">
        <v>213</v>
      </c>
      <c r="B364" s="16"/>
      <c r="C364" s="103" t="s">
        <v>547</v>
      </c>
      <c r="D364" s="102">
        <f>D365+D367+D369+D371</f>
        <v>300</v>
      </c>
      <c r="E364" s="102">
        <f t="shared" ref="E364:F364" si="106">E365+E367+E369+E371</f>
        <v>1321.4</v>
      </c>
      <c r="F364" s="102">
        <f t="shared" si="106"/>
        <v>300</v>
      </c>
    </row>
    <row r="365" spans="1:7" ht="51.75" customHeight="1" x14ac:dyDescent="0.2">
      <c r="A365" s="170" t="s">
        <v>548</v>
      </c>
      <c r="B365" s="16"/>
      <c r="C365" s="103" t="s">
        <v>664</v>
      </c>
      <c r="D365" s="39">
        <f>D366</f>
        <v>300</v>
      </c>
      <c r="E365" s="39">
        <f>E366</f>
        <v>0</v>
      </c>
      <c r="F365" s="39">
        <f>F366</f>
        <v>0</v>
      </c>
    </row>
    <row r="366" spans="1:7" ht="38.25" x14ac:dyDescent="0.2">
      <c r="A366" s="170" t="s">
        <v>548</v>
      </c>
      <c r="B366" s="84" t="s">
        <v>214</v>
      </c>
      <c r="C366" s="101" t="s">
        <v>215</v>
      </c>
      <c r="D366" s="39">
        <v>300</v>
      </c>
      <c r="E366" s="39">
        <v>0</v>
      </c>
      <c r="F366" s="39">
        <v>0</v>
      </c>
    </row>
    <row r="367" spans="1:7" ht="76.5" customHeight="1" x14ac:dyDescent="0.2">
      <c r="A367" s="74">
        <v>810123102</v>
      </c>
      <c r="B367" s="16"/>
      <c r="C367" s="103" t="s">
        <v>549</v>
      </c>
      <c r="D367" s="39">
        <f>D368</f>
        <v>0</v>
      </c>
      <c r="E367" s="39">
        <f>E368</f>
        <v>591</v>
      </c>
      <c r="F367" s="39">
        <f>F368</f>
        <v>0</v>
      </c>
    </row>
    <row r="368" spans="1:7" ht="38.25" x14ac:dyDescent="0.2">
      <c r="A368" s="74">
        <v>810123102</v>
      </c>
      <c r="B368" s="84" t="s">
        <v>214</v>
      </c>
      <c r="C368" s="101" t="s">
        <v>215</v>
      </c>
      <c r="D368" s="39">
        <v>0</v>
      </c>
      <c r="E368" s="39">
        <v>591</v>
      </c>
      <c r="F368" s="39">
        <v>0</v>
      </c>
    </row>
    <row r="369" spans="1:7" ht="65.25" customHeight="1" x14ac:dyDescent="0.2">
      <c r="A369" s="74">
        <v>810123103</v>
      </c>
      <c r="B369" s="84"/>
      <c r="C369" s="101" t="s">
        <v>550</v>
      </c>
      <c r="D369" s="39">
        <f t="shared" ref="D369:F369" si="107">D370</f>
        <v>0</v>
      </c>
      <c r="E369" s="39">
        <f t="shared" si="107"/>
        <v>435</v>
      </c>
      <c r="F369" s="39">
        <f t="shared" si="107"/>
        <v>0</v>
      </c>
    </row>
    <row r="370" spans="1:7" ht="38.25" x14ac:dyDescent="0.2">
      <c r="A370" s="74">
        <v>810123103</v>
      </c>
      <c r="B370" s="84" t="s">
        <v>214</v>
      </c>
      <c r="C370" s="101" t="s">
        <v>215</v>
      </c>
      <c r="D370" s="39">
        <v>0</v>
      </c>
      <c r="E370" s="39">
        <v>435</v>
      </c>
      <c r="F370" s="39">
        <v>0</v>
      </c>
    </row>
    <row r="371" spans="1:7" ht="81.75" customHeight="1" x14ac:dyDescent="0.2">
      <c r="A371" s="74">
        <v>810123104</v>
      </c>
      <c r="B371" s="84"/>
      <c r="C371" s="101" t="s">
        <v>551</v>
      </c>
      <c r="D371" s="39">
        <f>D372</f>
        <v>0</v>
      </c>
      <c r="E371" s="39">
        <f t="shared" ref="E371:F371" si="108">E372</f>
        <v>295.39999999999998</v>
      </c>
      <c r="F371" s="39">
        <f t="shared" si="108"/>
        <v>300</v>
      </c>
    </row>
    <row r="372" spans="1:7" ht="38.25" x14ac:dyDescent="0.2">
      <c r="A372" s="74">
        <v>810123104</v>
      </c>
      <c r="B372" s="84" t="s">
        <v>214</v>
      </c>
      <c r="C372" s="101" t="s">
        <v>215</v>
      </c>
      <c r="D372" s="39">
        <v>0</v>
      </c>
      <c r="E372" s="39">
        <v>295.39999999999998</v>
      </c>
      <c r="F372" s="39">
        <v>300</v>
      </c>
    </row>
    <row r="373" spans="1:7" ht="76.5" customHeight="1" x14ac:dyDescent="0.2">
      <c r="A373" s="118" t="s">
        <v>69</v>
      </c>
      <c r="B373" s="119"/>
      <c r="C373" s="185" t="s">
        <v>645</v>
      </c>
      <c r="D373" s="120">
        <f>D374+D396</f>
        <v>171200.9</v>
      </c>
      <c r="E373" s="120">
        <f t="shared" ref="E373:F373" si="109">E374+E396</f>
        <v>108058.09999999999</v>
      </c>
      <c r="F373" s="120">
        <f t="shared" si="109"/>
        <v>91757.799999999988</v>
      </c>
      <c r="G373" s="107"/>
    </row>
    <row r="374" spans="1:7" ht="54" customHeight="1" x14ac:dyDescent="0.2">
      <c r="A374" s="121" t="s">
        <v>70</v>
      </c>
      <c r="B374" s="119"/>
      <c r="C374" s="122" t="s">
        <v>167</v>
      </c>
      <c r="D374" s="123">
        <f>D375</f>
        <v>144592</v>
      </c>
      <c r="E374" s="123">
        <f t="shared" ref="E374:F374" si="110">E375</f>
        <v>82805.099999999991</v>
      </c>
      <c r="F374" s="123">
        <f t="shared" si="110"/>
        <v>66483.7</v>
      </c>
      <c r="G374" s="107"/>
    </row>
    <row r="375" spans="1:7" ht="38.25" x14ac:dyDescent="0.2">
      <c r="A375" s="125" t="s">
        <v>302</v>
      </c>
      <c r="B375" s="119"/>
      <c r="C375" s="117" t="s">
        <v>315</v>
      </c>
      <c r="D375" s="123">
        <f>D376+D378+D380+D382+D384+D386+D388+D390+D392+D394</f>
        <v>144592</v>
      </c>
      <c r="E375" s="123">
        <f t="shared" ref="E375:F375" si="111">E376+E378+E380+E382+E384+E386+E388+E390+E392+E394</f>
        <v>82805.099999999991</v>
      </c>
      <c r="F375" s="123">
        <f t="shared" si="111"/>
        <v>66483.7</v>
      </c>
      <c r="G375" s="107"/>
    </row>
    <row r="376" spans="1:7" ht="76.5" x14ac:dyDescent="0.2">
      <c r="A376" s="79">
        <v>910123405</v>
      </c>
      <c r="B376" s="119"/>
      <c r="C376" s="117" t="s">
        <v>665</v>
      </c>
      <c r="D376" s="111">
        <f>D377</f>
        <v>15386.8</v>
      </c>
      <c r="E376" s="111">
        <f>E377</f>
        <v>15376.7</v>
      </c>
      <c r="F376" s="111">
        <f>F377</f>
        <v>8086.9</v>
      </c>
      <c r="G376" s="107"/>
    </row>
    <row r="377" spans="1:7" ht="38.25" x14ac:dyDescent="0.2">
      <c r="A377" s="79">
        <v>910123405</v>
      </c>
      <c r="B377" s="84" t="s">
        <v>214</v>
      </c>
      <c r="C377" s="101" t="s">
        <v>215</v>
      </c>
      <c r="D377" s="111">
        <v>15386.8</v>
      </c>
      <c r="E377" s="111">
        <v>15376.7</v>
      </c>
      <c r="F377" s="111">
        <v>8086.9</v>
      </c>
    </row>
    <row r="378" spans="1:7" ht="63.75" x14ac:dyDescent="0.2">
      <c r="A378" s="79">
        <v>910110520</v>
      </c>
      <c r="B378" s="119"/>
      <c r="C378" s="117" t="s">
        <v>187</v>
      </c>
      <c r="D378" s="111">
        <f>D379</f>
        <v>14385.6</v>
      </c>
      <c r="E378" s="111">
        <f>E379</f>
        <v>14961</v>
      </c>
      <c r="F378" s="111">
        <f>F379</f>
        <v>15559.4</v>
      </c>
      <c r="G378" s="107"/>
    </row>
    <row r="379" spans="1:7" ht="25.5" x14ac:dyDescent="0.2">
      <c r="A379" s="79">
        <v>910110520</v>
      </c>
      <c r="B379" s="84" t="s">
        <v>214</v>
      </c>
      <c r="C379" s="101" t="s">
        <v>12</v>
      </c>
      <c r="D379" s="162">
        <v>14385.6</v>
      </c>
      <c r="E379" s="163">
        <v>14961</v>
      </c>
      <c r="F379" s="162">
        <v>15559.4</v>
      </c>
      <c r="G379" s="107"/>
    </row>
    <row r="380" spans="1:7" ht="25.5" x14ac:dyDescent="0.2">
      <c r="A380" s="79">
        <v>910123410</v>
      </c>
      <c r="B380" s="124"/>
      <c r="C380" s="101" t="s">
        <v>188</v>
      </c>
      <c r="D380" s="111">
        <f>D381</f>
        <v>17208.600000000002</v>
      </c>
      <c r="E380" s="111">
        <f>E381</f>
        <v>16457</v>
      </c>
      <c r="F380" s="111">
        <f>F381</f>
        <v>8177.3</v>
      </c>
      <c r="G380" s="107"/>
    </row>
    <row r="381" spans="1:7" ht="38.25" x14ac:dyDescent="0.2">
      <c r="A381" s="79">
        <v>910123410</v>
      </c>
      <c r="B381" s="84" t="s">
        <v>214</v>
      </c>
      <c r="C381" s="101" t="s">
        <v>215</v>
      </c>
      <c r="D381" s="111">
        <f>16457+600-46.8+198.4</f>
        <v>17208.600000000002</v>
      </c>
      <c r="E381" s="111">
        <v>16457</v>
      </c>
      <c r="F381" s="111">
        <v>8177.3</v>
      </c>
    </row>
    <row r="382" spans="1:7" ht="89.25" x14ac:dyDescent="0.2">
      <c r="A382" s="79">
        <v>910123415</v>
      </c>
      <c r="B382" s="84"/>
      <c r="C382" s="160" t="s">
        <v>703</v>
      </c>
      <c r="D382" s="111">
        <f>D383</f>
        <v>1156.8000000000002</v>
      </c>
      <c r="E382" s="111">
        <f t="shared" ref="E382:F382" si="112">E383</f>
        <v>0</v>
      </c>
      <c r="F382" s="111">
        <f t="shared" si="112"/>
        <v>0</v>
      </c>
    </row>
    <row r="383" spans="1:7" ht="38.25" x14ac:dyDescent="0.2">
      <c r="A383" s="79">
        <v>910123415</v>
      </c>
      <c r="B383" s="84" t="s">
        <v>214</v>
      </c>
      <c r="C383" s="101" t="s">
        <v>215</v>
      </c>
      <c r="D383" s="111">
        <f>100+46.8+613.9+396.1</f>
        <v>1156.8000000000002</v>
      </c>
      <c r="E383" s="111">
        <v>0</v>
      </c>
      <c r="F383" s="111">
        <v>0</v>
      </c>
    </row>
    <row r="384" spans="1:7" ht="25.5" x14ac:dyDescent="0.2">
      <c r="A384" s="79">
        <v>910123420</v>
      </c>
      <c r="B384" s="84"/>
      <c r="C384" s="155" t="s">
        <v>396</v>
      </c>
      <c r="D384" s="111">
        <f>D385</f>
        <v>1097.7000000000003</v>
      </c>
      <c r="E384" s="111">
        <f>E385</f>
        <v>0</v>
      </c>
      <c r="F384" s="111">
        <f>F385</f>
        <v>0</v>
      </c>
    </row>
    <row r="385" spans="1:7" ht="38.25" x14ac:dyDescent="0.2">
      <c r="A385" s="79">
        <v>910123420</v>
      </c>
      <c r="B385" s="84" t="s">
        <v>214</v>
      </c>
      <c r="C385" s="101" t="s">
        <v>215</v>
      </c>
      <c r="D385" s="111">
        <f>12651-12243.9+690.6</f>
        <v>1097.7000000000003</v>
      </c>
      <c r="E385" s="111">
        <v>0</v>
      </c>
      <c r="F385" s="111">
        <v>0</v>
      </c>
    </row>
    <row r="386" spans="1:7" ht="51" x14ac:dyDescent="0.2">
      <c r="A386" s="79" t="s">
        <v>359</v>
      </c>
      <c r="B386" s="84"/>
      <c r="C386" s="147" t="s">
        <v>358</v>
      </c>
      <c r="D386" s="111">
        <f>D387</f>
        <v>3252.6</v>
      </c>
      <c r="E386" s="111">
        <f>E387</f>
        <v>548.5</v>
      </c>
      <c r="F386" s="111">
        <f>F387</f>
        <v>564.9</v>
      </c>
    </row>
    <row r="387" spans="1:7" ht="38.25" x14ac:dyDescent="0.2">
      <c r="A387" s="79" t="s">
        <v>359</v>
      </c>
      <c r="B387" s="84" t="s">
        <v>214</v>
      </c>
      <c r="C387" s="101" t="s">
        <v>215</v>
      </c>
      <c r="D387" s="111">
        <f>2537.7+3348.8-2683.9+50</f>
        <v>3252.6</v>
      </c>
      <c r="E387" s="111">
        <v>548.5</v>
      </c>
      <c r="F387" s="111">
        <v>564.9</v>
      </c>
    </row>
    <row r="388" spans="1:7" ht="51" x14ac:dyDescent="0.2">
      <c r="A388" s="170" t="s">
        <v>552</v>
      </c>
      <c r="B388" s="84"/>
      <c r="C388" s="147" t="s">
        <v>360</v>
      </c>
      <c r="D388" s="111">
        <f>D389</f>
        <v>4823.8999999999996</v>
      </c>
      <c r="E388" s="111">
        <f>E389</f>
        <v>2194</v>
      </c>
      <c r="F388" s="111">
        <f>F389</f>
        <v>2259.5</v>
      </c>
    </row>
    <row r="389" spans="1:7" ht="38.25" x14ac:dyDescent="0.2">
      <c r="A389" s="170" t="s">
        <v>552</v>
      </c>
      <c r="B389" s="84" t="s">
        <v>214</v>
      </c>
      <c r="C389" s="101" t="s">
        <v>215</v>
      </c>
      <c r="D389" s="162">
        <f>2140.1+2683.8</f>
        <v>4823.8999999999996</v>
      </c>
      <c r="E389" s="163">
        <v>2194</v>
      </c>
      <c r="F389" s="162">
        <v>2259.5</v>
      </c>
    </row>
    <row r="390" spans="1:7" ht="25.5" x14ac:dyDescent="0.2">
      <c r="A390" s="79" t="s">
        <v>355</v>
      </c>
      <c r="B390" s="84"/>
      <c r="C390" s="101" t="s">
        <v>356</v>
      </c>
      <c r="D390" s="111">
        <f>D391</f>
        <v>23367.8</v>
      </c>
      <c r="E390" s="111">
        <f>E391</f>
        <v>8633.2000000000007</v>
      </c>
      <c r="F390" s="111">
        <f>F391</f>
        <v>6239.6</v>
      </c>
    </row>
    <row r="391" spans="1:7" ht="38.25" x14ac:dyDescent="0.2">
      <c r="A391" s="79" t="s">
        <v>355</v>
      </c>
      <c r="B391" s="84" t="s">
        <v>214</v>
      </c>
      <c r="C391" s="101" t="s">
        <v>215</v>
      </c>
      <c r="D391" s="111">
        <f>9764.5+183.4+5789.2-1209.5+9332-491.8</f>
        <v>23367.8</v>
      </c>
      <c r="E391" s="111">
        <f>6932+1701.2</f>
        <v>8633.2000000000007</v>
      </c>
      <c r="F391" s="111">
        <v>6239.6</v>
      </c>
    </row>
    <row r="392" spans="1:7" ht="25.5" x14ac:dyDescent="0.2">
      <c r="A392" s="173" t="s">
        <v>553</v>
      </c>
      <c r="B392" s="84"/>
      <c r="C392" s="101" t="s">
        <v>357</v>
      </c>
      <c r="D392" s="111">
        <f>D393</f>
        <v>53755</v>
      </c>
      <c r="E392" s="111">
        <f>E393</f>
        <v>24634.7</v>
      </c>
      <c r="F392" s="111">
        <f>F393</f>
        <v>25596.1</v>
      </c>
    </row>
    <row r="393" spans="1:7" ht="38.25" x14ac:dyDescent="0.2">
      <c r="A393" s="173" t="s">
        <v>553</v>
      </c>
      <c r="B393" s="84" t="s">
        <v>214</v>
      </c>
      <c r="C393" s="101" t="s">
        <v>215</v>
      </c>
      <c r="D393" s="163">
        <f>23622.2+30132.8</f>
        <v>53755</v>
      </c>
      <c r="E393" s="162">
        <v>24634.7</v>
      </c>
      <c r="F393" s="162">
        <v>25596.1</v>
      </c>
    </row>
    <row r="394" spans="1:7" ht="25.5" x14ac:dyDescent="0.2">
      <c r="A394" s="79">
        <v>910123425</v>
      </c>
      <c r="B394" s="84"/>
      <c r="C394" s="101" t="s">
        <v>394</v>
      </c>
      <c r="D394" s="111">
        <f>D395</f>
        <v>10157.200000000001</v>
      </c>
      <c r="E394" s="111">
        <f>E395</f>
        <v>0</v>
      </c>
      <c r="F394" s="111">
        <f>F395</f>
        <v>0</v>
      </c>
    </row>
    <row r="395" spans="1:7" ht="38.25" x14ac:dyDescent="0.2">
      <c r="A395" s="79">
        <v>910123425</v>
      </c>
      <c r="B395" s="84" t="s">
        <v>214</v>
      </c>
      <c r="C395" s="101" t="s">
        <v>215</v>
      </c>
      <c r="D395" s="111">
        <f>19547-17315.6+12.8+2269.3+6532.7-690.6-198.4</f>
        <v>10157.200000000001</v>
      </c>
      <c r="E395" s="111">
        <v>0</v>
      </c>
      <c r="F395" s="111">
        <v>0</v>
      </c>
    </row>
    <row r="396" spans="1:7" ht="63.75" x14ac:dyDescent="0.2">
      <c r="A396" s="52" t="s">
        <v>217</v>
      </c>
      <c r="B396" s="30"/>
      <c r="C396" s="46" t="s">
        <v>189</v>
      </c>
      <c r="D396" s="96">
        <f>D397</f>
        <v>26608.9</v>
      </c>
      <c r="E396" s="96">
        <f t="shared" ref="E396:F396" si="113">E397</f>
        <v>25253</v>
      </c>
      <c r="F396" s="96">
        <f t="shared" si="113"/>
        <v>25274.1</v>
      </c>
    </row>
    <row r="397" spans="1:7" ht="25.5" x14ac:dyDescent="0.2">
      <c r="A397" s="74">
        <v>920100000</v>
      </c>
      <c r="B397" s="30"/>
      <c r="C397" s="100" t="s">
        <v>303</v>
      </c>
      <c r="D397" s="102">
        <f>D398+D400+D402+D404</f>
        <v>26608.9</v>
      </c>
      <c r="E397" s="102">
        <f t="shared" ref="E397:F397" si="114">E398+E400+E402+E404</f>
        <v>25253</v>
      </c>
      <c r="F397" s="102">
        <f t="shared" si="114"/>
        <v>25274.1</v>
      </c>
    </row>
    <row r="398" spans="1:7" ht="63.75" x14ac:dyDescent="0.2">
      <c r="A398" s="74" t="s">
        <v>313</v>
      </c>
      <c r="B398" s="30"/>
      <c r="C398" s="100" t="s">
        <v>218</v>
      </c>
      <c r="D398" s="39">
        <f>D399</f>
        <v>5024.3999999999996</v>
      </c>
      <c r="E398" s="39">
        <f>E399</f>
        <v>5039.6000000000004</v>
      </c>
      <c r="F398" s="39">
        <f>F399</f>
        <v>5054.8</v>
      </c>
      <c r="G398" s="107"/>
    </row>
    <row r="399" spans="1:7" ht="38.25" x14ac:dyDescent="0.2">
      <c r="A399" s="74" t="s">
        <v>313</v>
      </c>
      <c r="B399" s="84" t="s">
        <v>214</v>
      </c>
      <c r="C399" s="101" t="s">
        <v>215</v>
      </c>
      <c r="D399" s="39">
        <v>5024.3999999999996</v>
      </c>
      <c r="E399" s="39">
        <v>5039.6000000000004</v>
      </c>
      <c r="F399" s="39">
        <v>5054.8</v>
      </c>
    </row>
    <row r="400" spans="1:7" ht="77.25" customHeight="1" x14ac:dyDescent="0.2">
      <c r="A400" s="74">
        <v>920110300</v>
      </c>
      <c r="B400" s="16"/>
      <c r="C400" s="126" t="s">
        <v>666</v>
      </c>
      <c r="D400" s="39">
        <f>D401</f>
        <v>20097.5</v>
      </c>
      <c r="E400" s="39">
        <f>E401</f>
        <v>20158.400000000001</v>
      </c>
      <c r="F400" s="39">
        <f>F401</f>
        <v>20219.3</v>
      </c>
    </row>
    <row r="401" spans="1:6" ht="38.25" x14ac:dyDescent="0.2">
      <c r="A401" s="74">
        <v>920110300</v>
      </c>
      <c r="B401" s="84" t="s">
        <v>214</v>
      </c>
      <c r="C401" s="101" t="s">
        <v>215</v>
      </c>
      <c r="D401" s="163">
        <v>20097.5</v>
      </c>
      <c r="E401" s="162">
        <v>20158.400000000001</v>
      </c>
      <c r="F401" s="162">
        <v>20219.3</v>
      </c>
    </row>
    <row r="402" spans="1:6" ht="52.5" customHeight="1" x14ac:dyDescent="0.2">
      <c r="A402" s="74">
        <v>920123490</v>
      </c>
      <c r="B402" s="84"/>
      <c r="C402" s="54" t="s">
        <v>554</v>
      </c>
      <c r="D402" s="39">
        <f>D403</f>
        <v>0</v>
      </c>
      <c r="E402" s="39">
        <f t="shared" ref="E402:F402" si="115">E403</f>
        <v>55</v>
      </c>
      <c r="F402" s="39">
        <f t="shared" si="115"/>
        <v>0</v>
      </c>
    </row>
    <row r="403" spans="1:6" ht="38.25" x14ac:dyDescent="0.2">
      <c r="A403" s="74">
        <v>920123490</v>
      </c>
      <c r="B403" s="84" t="s">
        <v>214</v>
      </c>
      <c r="C403" s="101" t="s">
        <v>215</v>
      </c>
      <c r="D403" s="39">
        <v>0</v>
      </c>
      <c r="E403" s="39">
        <v>55</v>
      </c>
      <c r="F403" s="39">
        <v>0</v>
      </c>
    </row>
    <row r="404" spans="1:6" ht="63.75" x14ac:dyDescent="0.2">
      <c r="A404" s="74">
        <v>920123495</v>
      </c>
      <c r="B404" s="84"/>
      <c r="C404" s="54" t="s">
        <v>623</v>
      </c>
      <c r="D404" s="39">
        <f>D405</f>
        <v>1487</v>
      </c>
      <c r="E404" s="39">
        <f>E405</f>
        <v>0</v>
      </c>
      <c r="F404" s="39">
        <f>F405</f>
        <v>0</v>
      </c>
    </row>
    <row r="405" spans="1:6" ht="38.25" x14ac:dyDescent="0.2">
      <c r="A405" s="74">
        <v>920123495</v>
      </c>
      <c r="B405" s="84" t="s">
        <v>214</v>
      </c>
      <c r="C405" s="101" t="s">
        <v>215</v>
      </c>
      <c r="D405" s="39">
        <f>1212.9+274.1</f>
        <v>1487</v>
      </c>
      <c r="E405" s="39">
        <v>0</v>
      </c>
      <c r="F405" s="39">
        <v>0</v>
      </c>
    </row>
    <row r="406" spans="1:6" ht="77.25" customHeight="1" x14ac:dyDescent="0.2">
      <c r="A406" s="73" t="s">
        <v>73</v>
      </c>
      <c r="B406" s="16"/>
      <c r="C406" s="53" t="s">
        <v>646</v>
      </c>
      <c r="D406" s="99">
        <f>D407+D411+D417</f>
        <v>90.2</v>
      </c>
      <c r="E406" s="99">
        <f t="shared" ref="E406:F406" si="116">E407+E411</f>
        <v>84</v>
      </c>
      <c r="F406" s="99">
        <f t="shared" si="116"/>
        <v>84</v>
      </c>
    </row>
    <row r="407" spans="1:6" ht="51" x14ac:dyDescent="0.2">
      <c r="A407" s="52" t="s">
        <v>74</v>
      </c>
      <c r="B407" s="16"/>
      <c r="C407" s="60" t="s">
        <v>190</v>
      </c>
      <c r="D407" s="58">
        <f t="shared" ref="D407:F408" si="117">D408</f>
        <v>16.100000000000001</v>
      </c>
      <c r="E407" s="58">
        <f t="shared" si="117"/>
        <v>34</v>
      </c>
      <c r="F407" s="58">
        <f t="shared" si="117"/>
        <v>34</v>
      </c>
    </row>
    <row r="408" spans="1:6" ht="38.25" x14ac:dyDescent="0.2">
      <c r="A408" s="21" t="s">
        <v>229</v>
      </c>
      <c r="B408" s="84"/>
      <c r="C408" s="101" t="s">
        <v>350</v>
      </c>
      <c r="D408" s="41">
        <f>D409</f>
        <v>16.100000000000001</v>
      </c>
      <c r="E408" s="41">
        <f t="shared" si="117"/>
        <v>34</v>
      </c>
      <c r="F408" s="41">
        <f t="shared" si="117"/>
        <v>34</v>
      </c>
    </row>
    <row r="409" spans="1:6" ht="63.75" x14ac:dyDescent="0.2">
      <c r="A409" s="21" t="s">
        <v>555</v>
      </c>
      <c r="B409" s="16"/>
      <c r="C409" s="101" t="s">
        <v>351</v>
      </c>
      <c r="D409" s="41">
        <f>D410</f>
        <v>16.100000000000001</v>
      </c>
      <c r="E409" s="41">
        <f>E410</f>
        <v>34</v>
      </c>
      <c r="F409" s="41">
        <f>F410</f>
        <v>34</v>
      </c>
    </row>
    <row r="410" spans="1:6" ht="25.5" x14ac:dyDescent="0.2">
      <c r="A410" s="21" t="s">
        <v>555</v>
      </c>
      <c r="B410" s="84" t="s">
        <v>66</v>
      </c>
      <c r="C410" s="55" t="s">
        <v>132</v>
      </c>
      <c r="D410" s="41">
        <f>34-17.9</f>
        <v>16.100000000000001</v>
      </c>
      <c r="E410" s="41">
        <v>34</v>
      </c>
      <c r="F410" s="41">
        <v>34</v>
      </c>
    </row>
    <row r="411" spans="1:6" ht="63.75" x14ac:dyDescent="0.2">
      <c r="A411" s="121" t="s">
        <v>556</v>
      </c>
      <c r="B411" s="124"/>
      <c r="C411" s="174" t="s">
        <v>182</v>
      </c>
      <c r="D411" s="123">
        <f>D412</f>
        <v>40</v>
      </c>
      <c r="E411" s="123">
        <f>E412</f>
        <v>50</v>
      </c>
      <c r="F411" s="123">
        <f>F412</f>
        <v>50</v>
      </c>
    </row>
    <row r="412" spans="1:6" ht="51" x14ac:dyDescent="0.2">
      <c r="A412" s="21" t="s">
        <v>557</v>
      </c>
      <c r="B412" s="124"/>
      <c r="C412" s="109" t="s">
        <v>667</v>
      </c>
      <c r="D412" s="163">
        <f>D413+D415</f>
        <v>40</v>
      </c>
      <c r="E412" s="163">
        <f>E413+E415</f>
        <v>50</v>
      </c>
      <c r="F412" s="163">
        <f>F413+F415</f>
        <v>50</v>
      </c>
    </row>
    <row r="413" spans="1:6" ht="77.25" customHeight="1" x14ac:dyDescent="0.2">
      <c r="A413" s="79">
        <v>1020123085</v>
      </c>
      <c r="B413" s="124"/>
      <c r="C413" s="101" t="s">
        <v>183</v>
      </c>
      <c r="D413" s="110">
        <f>D414</f>
        <v>5</v>
      </c>
      <c r="E413" s="110">
        <f>E414</f>
        <v>5</v>
      </c>
      <c r="F413" s="110">
        <f>F414</f>
        <v>5</v>
      </c>
    </row>
    <row r="414" spans="1:6" ht="38.25" x14ac:dyDescent="0.2">
      <c r="A414" s="79">
        <v>1020123085</v>
      </c>
      <c r="B414" s="112" t="s">
        <v>214</v>
      </c>
      <c r="C414" s="101" t="s">
        <v>215</v>
      </c>
      <c r="D414" s="110">
        <v>5</v>
      </c>
      <c r="E414" s="110">
        <v>5</v>
      </c>
      <c r="F414" s="110">
        <v>5</v>
      </c>
    </row>
    <row r="415" spans="1:6" x14ac:dyDescent="0.2">
      <c r="A415" s="79">
        <v>1020123086</v>
      </c>
      <c r="B415" s="124"/>
      <c r="C415" s="101" t="s">
        <v>184</v>
      </c>
      <c r="D415" s="110">
        <f>D416</f>
        <v>35</v>
      </c>
      <c r="E415" s="110">
        <f>E416</f>
        <v>45</v>
      </c>
      <c r="F415" s="110">
        <f>F416</f>
        <v>45</v>
      </c>
    </row>
    <row r="416" spans="1:6" ht="38.25" x14ac:dyDescent="0.2">
      <c r="A416" s="79">
        <v>1020123086</v>
      </c>
      <c r="B416" s="112" t="s">
        <v>214</v>
      </c>
      <c r="C416" s="101" t="s">
        <v>215</v>
      </c>
      <c r="D416" s="110">
        <f>45-10</f>
        <v>35</v>
      </c>
      <c r="E416" s="110">
        <v>45</v>
      </c>
      <c r="F416" s="110">
        <v>45</v>
      </c>
    </row>
    <row r="417" spans="1:6" ht="51" x14ac:dyDescent="0.2">
      <c r="A417" s="121" t="s">
        <v>745</v>
      </c>
      <c r="B417" s="124"/>
      <c r="C417" s="174" t="s">
        <v>743</v>
      </c>
      <c r="D417" s="123">
        <f>D418</f>
        <v>34.1</v>
      </c>
      <c r="E417" s="123">
        <f>E418</f>
        <v>0</v>
      </c>
      <c r="F417" s="123">
        <f>F418</f>
        <v>0</v>
      </c>
    </row>
    <row r="418" spans="1:6" ht="37.5" customHeight="1" x14ac:dyDescent="0.2">
      <c r="A418" s="21" t="s">
        <v>744</v>
      </c>
      <c r="B418" s="124"/>
      <c r="C418" s="109" t="s">
        <v>746</v>
      </c>
      <c r="D418" s="163">
        <f>D419</f>
        <v>34.1</v>
      </c>
      <c r="E418" s="163">
        <f t="shared" ref="E418:F418" si="118">E419</f>
        <v>0</v>
      </c>
      <c r="F418" s="163">
        <f t="shared" si="118"/>
        <v>0</v>
      </c>
    </row>
    <row r="419" spans="1:6" ht="38.25" x14ac:dyDescent="0.2">
      <c r="A419" s="79">
        <v>1030323090</v>
      </c>
      <c r="B419" s="124"/>
      <c r="C419" s="101" t="s">
        <v>747</v>
      </c>
      <c r="D419" s="110">
        <f>D420</f>
        <v>34.1</v>
      </c>
      <c r="E419" s="110">
        <f t="shared" ref="E419:F419" si="119">E420</f>
        <v>0</v>
      </c>
      <c r="F419" s="110">
        <f t="shared" si="119"/>
        <v>0</v>
      </c>
    </row>
    <row r="420" spans="1:6" ht="38.25" x14ac:dyDescent="0.2">
      <c r="A420" s="79">
        <v>1030323090</v>
      </c>
      <c r="B420" s="112" t="s">
        <v>214</v>
      </c>
      <c r="C420" s="101" t="s">
        <v>215</v>
      </c>
      <c r="D420" s="110">
        <f>10+24.1</f>
        <v>34.1</v>
      </c>
      <c r="E420" s="110">
        <v>0</v>
      </c>
      <c r="F420" s="110">
        <v>0</v>
      </c>
    </row>
    <row r="421" spans="1:6" ht="90" customHeight="1" x14ac:dyDescent="0.25">
      <c r="A421" s="73" t="s">
        <v>52</v>
      </c>
      <c r="B421" s="16"/>
      <c r="C421" s="64" t="s">
        <v>647</v>
      </c>
      <c r="D421" s="59">
        <f>D422+D428+D433+D439</f>
        <v>2599.8000000000002</v>
      </c>
      <c r="E421" s="59">
        <f>E422+E428+E433+E439</f>
        <v>1500</v>
      </c>
      <c r="F421" s="59">
        <f>F422+F428+F433+F439</f>
        <v>1500</v>
      </c>
    </row>
    <row r="422" spans="1:6" ht="51" x14ac:dyDescent="0.2">
      <c r="A422" s="52" t="s">
        <v>53</v>
      </c>
      <c r="B422" s="16"/>
      <c r="C422" s="48" t="s">
        <v>206</v>
      </c>
      <c r="D422" s="96">
        <f>D424+D426</f>
        <v>85</v>
      </c>
      <c r="E422" s="96">
        <f>E424+E426</f>
        <v>80</v>
      </c>
      <c r="F422" s="96">
        <f>F424+F426</f>
        <v>80</v>
      </c>
    </row>
    <row r="423" spans="1:6" ht="63.75" x14ac:dyDescent="0.2">
      <c r="A423" s="21" t="s">
        <v>221</v>
      </c>
      <c r="B423" s="16"/>
      <c r="C423" s="103" t="s">
        <v>299</v>
      </c>
      <c r="D423" s="102">
        <f>D424+D426</f>
        <v>85</v>
      </c>
      <c r="E423" s="102">
        <f>E424+E426</f>
        <v>80</v>
      </c>
      <c r="F423" s="102">
        <f>F424+F426</f>
        <v>80</v>
      </c>
    </row>
    <row r="424" spans="1:6" ht="25.5" x14ac:dyDescent="0.2">
      <c r="A424" s="74">
        <v>1110123305</v>
      </c>
      <c r="B424" s="16"/>
      <c r="C424" s="103" t="s">
        <v>220</v>
      </c>
      <c r="D424" s="39">
        <f>D425</f>
        <v>60</v>
      </c>
      <c r="E424" s="39">
        <f>E425</f>
        <v>40</v>
      </c>
      <c r="F424" s="39">
        <f>F425</f>
        <v>40</v>
      </c>
    </row>
    <row r="425" spans="1:6" ht="38.25" x14ac:dyDescent="0.2">
      <c r="A425" s="74">
        <v>1110123305</v>
      </c>
      <c r="B425" s="84" t="s">
        <v>214</v>
      </c>
      <c r="C425" s="101" t="s">
        <v>215</v>
      </c>
      <c r="D425" s="39">
        <v>60</v>
      </c>
      <c r="E425" s="39">
        <v>40</v>
      </c>
      <c r="F425" s="39">
        <v>40</v>
      </c>
    </row>
    <row r="426" spans="1:6" ht="51" x14ac:dyDescent="0.2">
      <c r="A426" s="74">
        <v>1110123310</v>
      </c>
      <c r="B426" s="16"/>
      <c r="C426" s="103" t="s">
        <v>208</v>
      </c>
      <c r="D426" s="41">
        <f>D427</f>
        <v>25</v>
      </c>
      <c r="E426" s="41">
        <f>E427</f>
        <v>40</v>
      </c>
      <c r="F426" s="41">
        <f>F427</f>
        <v>40</v>
      </c>
    </row>
    <row r="427" spans="1:6" ht="38.25" x14ac:dyDescent="0.2">
      <c r="A427" s="74">
        <v>1110123310</v>
      </c>
      <c r="B427" s="84" t="s">
        <v>214</v>
      </c>
      <c r="C427" s="101" t="s">
        <v>215</v>
      </c>
      <c r="D427" s="41">
        <v>25</v>
      </c>
      <c r="E427" s="41">
        <v>40</v>
      </c>
      <c r="F427" s="41">
        <v>40</v>
      </c>
    </row>
    <row r="428" spans="1:6" ht="38.25" x14ac:dyDescent="0.2">
      <c r="A428" s="52" t="s">
        <v>54</v>
      </c>
      <c r="B428" s="84"/>
      <c r="C428" s="48" t="s">
        <v>202</v>
      </c>
      <c r="D428" s="41">
        <f t="shared" ref="D428:F429" si="120">D429</f>
        <v>2494.8000000000002</v>
      </c>
      <c r="E428" s="41">
        <f t="shared" si="120"/>
        <v>1400</v>
      </c>
      <c r="F428" s="41">
        <f t="shared" si="120"/>
        <v>1400</v>
      </c>
    </row>
    <row r="429" spans="1:6" ht="51" x14ac:dyDescent="0.2">
      <c r="A429" s="21" t="s">
        <v>222</v>
      </c>
      <c r="B429" s="84"/>
      <c r="C429" s="103" t="s">
        <v>311</v>
      </c>
      <c r="D429" s="41">
        <f t="shared" si="120"/>
        <v>2494.8000000000002</v>
      </c>
      <c r="E429" s="41">
        <f t="shared" si="120"/>
        <v>1400</v>
      </c>
      <c r="F429" s="41">
        <f t="shared" si="120"/>
        <v>1400</v>
      </c>
    </row>
    <row r="430" spans="1:6" ht="38.25" x14ac:dyDescent="0.2">
      <c r="A430" s="74">
        <v>1120123315</v>
      </c>
      <c r="B430" s="16"/>
      <c r="C430" s="101" t="s">
        <v>558</v>
      </c>
      <c r="D430" s="41">
        <f>SUM(D431:D432)</f>
        <v>2494.8000000000002</v>
      </c>
      <c r="E430" s="41">
        <f>SUM(E431:E432)</f>
        <v>1400</v>
      </c>
      <c r="F430" s="41">
        <f>SUM(F431:F432)</f>
        <v>1400</v>
      </c>
    </row>
    <row r="431" spans="1:6" ht="25.5" x14ac:dyDescent="0.2">
      <c r="A431" s="74">
        <v>1120123315</v>
      </c>
      <c r="B431" s="84" t="s">
        <v>66</v>
      </c>
      <c r="C431" s="55" t="s">
        <v>132</v>
      </c>
      <c r="D431" s="41">
        <f>51.2+12.8</f>
        <v>64</v>
      </c>
      <c r="E431" s="41">
        <v>51.2</v>
      </c>
      <c r="F431" s="41">
        <v>51.2</v>
      </c>
    </row>
    <row r="432" spans="1:6" ht="38.25" x14ac:dyDescent="0.2">
      <c r="A432" s="74">
        <v>1120123315</v>
      </c>
      <c r="B432" s="84" t="s">
        <v>214</v>
      </c>
      <c r="C432" s="101" t="s">
        <v>215</v>
      </c>
      <c r="D432" s="41">
        <f>2408.3+46.3-11-12.8</f>
        <v>2430.8000000000002</v>
      </c>
      <c r="E432" s="41">
        <v>1348.8</v>
      </c>
      <c r="F432" s="41">
        <v>1348.8</v>
      </c>
    </row>
    <row r="433" spans="1:7" ht="39" customHeight="1" x14ac:dyDescent="0.2">
      <c r="A433" s="52" t="s">
        <v>55</v>
      </c>
      <c r="B433" s="16"/>
      <c r="C433" s="48" t="s">
        <v>255</v>
      </c>
      <c r="D433" s="96">
        <f>D434</f>
        <v>5</v>
      </c>
      <c r="E433" s="96">
        <f>E434</f>
        <v>5</v>
      </c>
      <c r="F433" s="96">
        <f>F434</f>
        <v>5</v>
      </c>
    </row>
    <row r="434" spans="1:7" ht="63.75" x14ac:dyDescent="0.2">
      <c r="A434" s="21" t="s">
        <v>223</v>
      </c>
      <c r="B434" s="16"/>
      <c r="C434" s="103" t="s">
        <v>320</v>
      </c>
      <c r="D434" s="102">
        <f>D435+D437</f>
        <v>5</v>
      </c>
      <c r="E434" s="102">
        <f>E435+E437</f>
        <v>5</v>
      </c>
      <c r="F434" s="102">
        <f>F435+F437</f>
        <v>5</v>
      </c>
    </row>
    <row r="435" spans="1:7" ht="25.5" x14ac:dyDescent="0.2">
      <c r="A435" s="74">
        <v>1130123320</v>
      </c>
      <c r="B435" s="16"/>
      <c r="C435" s="101" t="s">
        <v>256</v>
      </c>
      <c r="D435" s="41">
        <f>D436</f>
        <v>4</v>
      </c>
      <c r="E435" s="41">
        <f>E436</f>
        <v>4</v>
      </c>
      <c r="F435" s="41">
        <f>F436</f>
        <v>4</v>
      </c>
    </row>
    <row r="436" spans="1:7" ht="38.25" x14ac:dyDescent="0.2">
      <c r="A436" s="74">
        <v>1130123320</v>
      </c>
      <c r="B436" s="84" t="s">
        <v>214</v>
      </c>
      <c r="C436" s="101" t="s">
        <v>215</v>
      </c>
      <c r="D436" s="41">
        <v>4</v>
      </c>
      <c r="E436" s="41">
        <v>4</v>
      </c>
      <c r="F436" s="41">
        <v>4</v>
      </c>
    </row>
    <row r="437" spans="1:7" ht="24" customHeight="1" x14ac:dyDescent="0.2">
      <c r="A437" s="74">
        <v>1130123325</v>
      </c>
      <c r="B437" s="16"/>
      <c r="C437" s="101" t="s">
        <v>224</v>
      </c>
      <c r="D437" s="41">
        <f>D438</f>
        <v>1</v>
      </c>
      <c r="E437" s="41">
        <f>E438</f>
        <v>1</v>
      </c>
      <c r="F437" s="41">
        <f>F438</f>
        <v>1</v>
      </c>
    </row>
    <row r="438" spans="1:7" ht="38.25" x14ac:dyDescent="0.2">
      <c r="A438" s="74">
        <v>1130123325</v>
      </c>
      <c r="B438" s="84" t="s">
        <v>214</v>
      </c>
      <c r="C438" s="101" t="s">
        <v>215</v>
      </c>
      <c r="D438" s="41">
        <v>1</v>
      </c>
      <c r="E438" s="41">
        <v>1</v>
      </c>
      <c r="F438" s="41">
        <v>1</v>
      </c>
    </row>
    <row r="439" spans="1:7" ht="51" x14ac:dyDescent="0.2">
      <c r="A439" s="52" t="s">
        <v>56</v>
      </c>
      <c r="B439" s="16"/>
      <c r="C439" s="48" t="s">
        <v>207</v>
      </c>
      <c r="D439" s="96">
        <f>D440</f>
        <v>15</v>
      </c>
      <c r="E439" s="96">
        <f>E440</f>
        <v>15</v>
      </c>
      <c r="F439" s="96">
        <f>F440</f>
        <v>15</v>
      </c>
    </row>
    <row r="440" spans="1:7" ht="51" x14ac:dyDescent="0.2">
      <c r="A440" s="21" t="s">
        <v>298</v>
      </c>
      <c r="B440" s="84"/>
      <c r="C440" s="101" t="s">
        <v>668</v>
      </c>
      <c r="D440" s="41">
        <f>D441+D443</f>
        <v>15</v>
      </c>
      <c r="E440" s="41">
        <f t="shared" ref="E440:F440" si="121">E441+E443</f>
        <v>15</v>
      </c>
      <c r="F440" s="41">
        <f t="shared" si="121"/>
        <v>15</v>
      </c>
    </row>
    <row r="441" spans="1:7" ht="25.5" x14ac:dyDescent="0.2">
      <c r="A441" s="74">
        <v>1140123330</v>
      </c>
      <c r="B441" s="16"/>
      <c r="C441" s="101" t="s">
        <v>196</v>
      </c>
      <c r="D441" s="41">
        <f>D442</f>
        <v>12</v>
      </c>
      <c r="E441" s="41">
        <f>E442</f>
        <v>12</v>
      </c>
      <c r="F441" s="41">
        <f>F442</f>
        <v>12</v>
      </c>
    </row>
    <row r="442" spans="1:7" ht="38.25" x14ac:dyDescent="0.2">
      <c r="A442" s="74">
        <v>1140123330</v>
      </c>
      <c r="B442" s="84" t="s">
        <v>214</v>
      </c>
      <c r="C442" s="101" t="s">
        <v>215</v>
      </c>
      <c r="D442" s="41">
        <v>12</v>
      </c>
      <c r="E442" s="41">
        <v>12</v>
      </c>
      <c r="F442" s="41">
        <v>12</v>
      </c>
    </row>
    <row r="443" spans="1:7" ht="29.25" customHeight="1" x14ac:dyDescent="0.2">
      <c r="A443" s="74">
        <v>1140123335</v>
      </c>
      <c r="B443" s="16"/>
      <c r="C443" s="101" t="s">
        <v>226</v>
      </c>
      <c r="D443" s="41">
        <f>D444</f>
        <v>3</v>
      </c>
      <c r="E443" s="41">
        <f>E444</f>
        <v>3</v>
      </c>
      <c r="F443" s="41">
        <f>F444</f>
        <v>3</v>
      </c>
    </row>
    <row r="444" spans="1:7" ht="38.25" x14ac:dyDescent="0.2">
      <c r="A444" s="74">
        <v>1140123335</v>
      </c>
      <c r="B444" s="84" t="s">
        <v>214</v>
      </c>
      <c r="C444" s="101" t="s">
        <v>215</v>
      </c>
      <c r="D444" s="41">
        <v>3</v>
      </c>
      <c r="E444" s="41">
        <v>3</v>
      </c>
      <c r="F444" s="41">
        <v>3</v>
      </c>
    </row>
    <row r="445" spans="1:7" ht="77.25" customHeight="1" x14ac:dyDescent="0.2">
      <c r="A445" s="73" t="s">
        <v>57</v>
      </c>
      <c r="B445" s="16"/>
      <c r="C445" s="53" t="s">
        <v>648</v>
      </c>
      <c r="D445" s="99">
        <f>D446+D459+D466+D474</f>
        <v>31360.100000000002</v>
      </c>
      <c r="E445" s="99">
        <f t="shared" ref="E445:F445" si="122">E446+E459+E466+E474</f>
        <v>16307</v>
      </c>
      <c r="F445" s="99">
        <f t="shared" si="122"/>
        <v>16307</v>
      </c>
      <c r="G445" s="107"/>
    </row>
    <row r="446" spans="1:7" ht="38.25" x14ac:dyDescent="0.2">
      <c r="A446" s="52" t="s">
        <v>58</v>
      </c>
      <c r="B446" s="47"/>
      <c r="C446" s="48" t="s">
        <v>815</v>
      </c>
      <c r="D446" s="96">
        <f>D447+D456</f>
        <v>11363.000000000002</v>
      </c>
      <c r="E446" s="96">
        <f t="shared" ref="E446:F446" si="123">E447+E456</f>
        <v>5450</v>
      </c>
      <c r="F446" s="96">
        <f t="shared" si="123"/>
        <v>5450</v>
      </c>
      <c r="G446" s="107"/>
    </row>
    <row r="447" spans="1:7" ht="25.5" x14ac:dyDescent="0.2">
      <c r="A447" s="21" t="s">
        <v>240</v>
      </c>
      <c r="B447" s="47"/>
      <c r="C447" s="103" t="s">
        <v>257</v>
      </c>
      <c r="D447" s="96">
        <f>D448+D450+D452+D454</f>
        <v>11063.000000000002</v>
      </c>
      <c r="E447" s="96">
        <f t="shared" ref="E447:F447" si="124">E448+E450+E452+E454</f>
        <v>5100</v>
      </c>
      <c r="F447" s="96">
        <f t="shared" si="124"/>
        <v>5100</v>
      </c>
    </row>
    <row r="448" spans="1:7" ht="42" customHeight="1" x14ac:dyDescent="0.2">
      <c r="A448" s="74">
        <v>1210123505</v>
      </c>
      <c r="B448" s="21"/>
      <c r="C448" s="101" t="s">
        <v>559</v>
      </c>
      <c r="D448" s="41">
        <f>D449</f>
        <v>4995.4000000000005</v>
      </c>
      <c r="E448" s="41">
        <f>E449</f>
        <v>1750</v>
      </c>
      <c r="F448" s="41">
        <f>F449</f>
        <v>1750</v>
      </c>
    </row>
    <row r="449" spans="1:7" ht="38.25" x14ac:dyDescent="0.2">
      <c r="A449" s="74">
        <v>1210123505</v>
      </c>
      <c r="B449" s="84" t="s">
        <v>214</v>
      </c>
      <c r="C449" s="101" t="s">
        <v>215</v>
      </c>
      <c r="D449" s="39">
        <f>3473.5-275.7+100+875.8+293.2+275.7-875.8-59.2+300+491.8+337.1+136.5-77.5</f>
        <v>4995.4000000000005</v>
      </c>
      <c r="E449" s="39">
        <v>1750</v>
      </c>
      <c r="F449" s="39">
        <v>1750</v>
      </c>
    </row>
    <row r="450" spans="1:7" ht="63" customHeight="1" x14ac:dyDescent="0.2">
      <c r="A450" s="74">
        <v>1210123510</v>
      </c>
      <c r="B450" s="21"/>
      <c r="C450" s="101" t="s">
        <v>241</v>
      </c>
      <c r="D450" s="41">
        <f>D451</f>
        <v>4043.5</v>
      </c>
      <c r="E450" s="41">
        <f>E451</f>
        <v>2850</v>
      </c>
      <c r="F450" s="41">
        <f>F451</f>
        <v>2850</v>
      </c>
    </row>
    <row r="451" spans="1:7" ht="38.25" x14ac:dyDescent="0.2">
      <c r="A451" s="74">
        <v>1210123510</v>
      </c>
      <c r="B451" s="84" t="s">
        <v>214</v>
      </c>
      <c r="C451" s="101" t="s">
        <v>215</v>
      </c>
      <c r="D451" s="41">
        <f>5279.4-898.9-337.1+0.1</f>
        <v>4043.5</v>
      </c>
      <c r="E451" s="41">
        <v>2850</v>
      </c>
      <c r="F451" s="41">
        <v>2850</v>
      </c>
    </row>
    <row r="452" spans="1:7" ht="25.5" x14ac:dyDescent="0.2">
      <c r="A452" s="74">
        <v>1210123515</v>
      </c>
      <c r="B452" s="16"/>
      <c r="C452" s="101" t="s">
        <v>24</v>
      </c>
      <c r="D452" s="41">
        <f>D453</f>
        <v>645.6</v>
      </c>
      <c r="E452" s="41">
        <f>E453</f>
        <v>500</v>
      </c>
      <c r="F452" s="41">
        <f>F453</f>
        <v>500</v>
      </c>
    </row>
    <row r="453" spans="1:7" ht="38.25" x14ac:dyDescent="0.2">
      <c r="A453" s="74">
        <v>1210123515</v>
      </c>
      <c r="B453" s="84" t="s">
        <v>214</v>
      </c>
      <c r="C453" s="101" t="s">
        <v>215</v>
      </c>
      <c r="D453" s="41">
        <f>500+145.6</f>
        <v>645.6</v>
      </c>
      <c r="E453" s="41">
        <v>500</v>
      </c>
      <c r="F453" s="41">
        <v>500</v>
      </c>
    </row>
    <row r="454" spans="1:7" ht="63.75" x14ac:dyDescent="0.2">
      <c r="A454" s="154" t="s">
        <v>687</v>
      </c>
      <c r="B454" s="84"/>
      <c r="C454" s="126" t="s">
        <v>688</v>
      </c>
      <c r="D454" s="41">
        <f>D455</f>
        <v>1378.5</v>
      </c>
      <c r="E454" s="41">
        <f t="shared" ref="E454:F454" si="125">E455</f>
        <v>0</v>
      </c>
      <c r="F454" s="41">
        <f t="shared" si="125"/>
        <v>0</v>
      </c>
    </row>
    <row r="455" spans="1:7" ht="38.25" x14ac:dyDescent="0.2">
      <c r="A455" s="188" t="s">
        <v>687</v>
      </c>
      <c r="B455" s="84" t="s">
        <v>214</v>
      </c>
      <c r="C455" s="101" t="s">
        <v>215</v>
      </c>
      <c r="D455" s="41">
        <f>275.7+1102.8</f>
        <v>1378.5</v>
      </c>
      <c r="E455" s="41">
        <v>0</v>
      </c>
      <c r="F455" s="41">
        <v>0</v>
      </c>
    </row>
    <row r="456" spans="1:7" ht="25.5" x14ac:dyDescent="0.2">
      <c r="A456" s="21" t="s">
        <v>296</v>
      </c>
      <c r="B456" s="84"/>
      <c r="C456" s="103" t="s">
        <v>297</v>
      </c>
      <c r="D456" s="41">
        <f>D457</f>
        <v>300</v>
      </c>
      <c r="E456" s="41">
        <f t="shared" ref="E456:F456" si="126">E457</f>
        <v>350</v>
      </c>
      <c r="F456" s="41">
        <f t="shared" si="126"/>
        <v>350</v>
      </c>
    </row>
    <row r="457" spans="1:7" ht="25.5" x14ac:dyDescent="0.2">
      <c r="A457" s="74">
        <v>1210223520</v>
      </c>
      <c r="B457" s="16"/>
      <c r="C457" s="101" t="s">
        <v>242</v>
      </c>
      <c r="D457" s="41">
        <f>D458</f>
        <v>300</v>
      </c>
      <c r="E457" s="41">
        <f>E458</f>
        <v>350</v>
      </c>
      <c r="F457" s="41">
        <f>F458</f>
        <v>350</v>
      </c>
    </row>
    <row r="458" spans="1:7" ht="38.25" x14ac:dyDescent="0.2">
      <c r="A458" s="74">
        <v>1210223520</v>
      </c>
      <c r="B458" s="84" t="s">
        <v>214</v>
      </c>
      <c r="C458" s="101" t="s">
        <v>215</v>
      </c>
      <c r="D458" s="39">
        <v>300</v>
      </c>
      <c r="E458" s="39">
        <v>350</v>
      </c>
      <c r="F458" s="39">
        <v>350</v>
      </c>
    </row>
    <row r="459" spans="1:7" ht="25.5" x14ac:dyDescent="0.2">
      <c r="A459" s="52" t="s">
        <v>59</v>
      </c>
      <c r="B459" s="47"/>
      <c r="C459" s="48" t="s">
        <v>27</v>
      </c>
      <c r="D459" s="96">
        <f>D460+D464</f>
        <v>1560.6</v>
      </c>
      <c r="E459" s="96">
        <f t="shared" ref="E459:F459" si="127">E460+E464</f>
        <v>1325</v>
      </c>
      <c r="F459" s="96">
        <f t="shared" si="127"/>
        <v>1325</v>
      </c>
      <c r="G459" s="107"/>
    </row>
    <row r="460" spans="1:7" x14ac:dyDescent="0.2">
      <c r="A460" s="21" t="s">
        <v>243</v>
      </c>
      <c r="B460" s="47"/>
      <c r="C460" s="103" t="s">
        <v>244</v>
      </c>
      <c r="D460" s="102">
        <f t="shared" ref="D460:F461" si="128">D461</f>
        <v>1560.6</v>
      </c>
      <c r="E460" s="102">
        <f t="shared" si="128"/>
        <v>850</v>
      </c>
      <c r="F460" s="102">
        <f t="shared" si="128"/>
        <v>850</v>
      </c>
    </row>
    <row r="461" spans="1:7" ht="25.5" x14ac:dyDescent="0.2">
      <c r="A461" s="80">
        <v>1220123525</v>
      </c>
      <c r="B461" s="16"/>
      <c r="C461" s="101" t="s">
        <v>193</v>
      </c>
      <c r="D461" s="41">
        <f t="shared" si="128"/>
        <v>1560.6</v>
      </c>
      <c r="E461" s="41">
        <f t="shared" si="128"/>
        <v>850</v>
      </c>
      <c r="F461" s="41">
        <f t="shared" si="128"/>
        <v>850</v>
      </c>
    </row>
    <row r="462" spans="1:7" ht="38.25" x14ac:dyDescent="0.2">
      <c r="A462" s="80">
        <v>1220123525</v>
      </c>
      <c r="B462" s="84" t="s">
        <v>214</v>
      </c>
      <c r="C462" s="101" t="s">
        <v>215</v>
      </c>
      <c r="D462" s="41">
        <f>1610.5-49.9</f>
        <v>1560.6</v>
      </c>
      <c r="E462" s="41">
        <v>850</v>
      </c>
      <c r="F462" s="41">
        <v>850</v>
      </c>
    </row>
    <row r="463" spans="1:7" ht="40.5" customHeight="1" x14ac:dyDescent="0.2">
      <c r="A463" s="21" t="s">
        <v>561</v>
      </c>
      <c r="B463" s="84"/>
      <c r="C463" s="103" t="s">
        <v>560</v>
      </c>
      <c r="D463" s="41">
        <f>D464</f>
        <v>0</v>
      </c>
      <c r="E463" s="41">
        <f t="shared" ref="E463:F463" si="129">E464</f>
        <v>475</v>
      </c>
      <c r="F463" s="41">
        <f t="shared" si="129"/>
        <v>475</v>
      </c>
    </row>
    <row r="464" spans="1:7" ht="25.5" x14ac:dyDescent="0.2">
      <c r="A464" s="80">
        <v>1220223530</v>
      </c>
      <c r="B464" s="16"/>
      <c r="C464" s="101" t="s">
        <v>194</v>
      </c>
      <c r="D464" s="41">
        <f>D465</f>
        <v>0</v>
      </c>
      <c r="E464" s="41">
        <f>E465</f>
        <v>475</v>
      </c>
      <c r="F464" s="41">
        <f>F465</f>
        <v>475</v>
      </c>
    </row>
    <row r="465" spans="1:6" ht="38.25" x14ac:dyDescent="0.2">
      <c r="A465" s="80">
        <v>1220223530</v>
      </c>
      <c r="B465" s="84" t="s">
        <v>214</v>
      </c>
      <c r="C465" s="101" t="s">
        <v>215</v>
      </c>
      <c r="D465" s="39">
        <v>0</v>
      </c>
      <c r="E465" s="39">
        <v>475</v>
      </c>
      <c r="F465" s="39">
        <v>475</v>
      </c>
    </row>
    <row r="466" spans="1:6" ht="38.25" x14ac:dyDescent="0.2">
      <c r="A466" s="52" t="s">
        <v>60</v>
      </c>
      <c r="B466" s="47"/>
      <c r="C466" s="48" t="s">
        <v>816</v>
      </c>
      <c r="D466" s="96">
        <f>D467</f>
        <v>5240.1000000000004</v>
      </c>
      <c r="E466" s="96">
        <f t="shared" ref="E466:F466" si="130">E467</f>
        <v>4407</v>
      </c>
      <c r="F466" s="96">
        <f t="shared" si="130"/>
        <v>4407</v>
      </c>
    </row>
    <row r="467" spans="1:6" ht="39.75" customHeight="1" x14ac:dyDescent="0.2">
      <c r="A467" s="21" t="s">
        <v>245</v>
      </c>
      <c r="B467" s="47"/>
      <c r="C467" s="103" t="s">
        <v>246</v>
      </c>
      <c r="D467" s="102">
        <f>D468+D470+D472</f>
        <v>5240.1000000000004</v>
      </c>
      <c r="E467" s="102">
        <f t="shared" ref="E467:F467" si="131">E468+E470+E472</f>
        <v>4407</v>
      </c>
      <c r="F467" s="102">
        <f t="shared" si="131"/>
        <v>4407</v>
      </c>
    </row>
    <row r="468" spans="1:6" ht="25.5" x14ac:dyDescent="0.2">
      <c r="A468" s="21" t="s">
        <v>562</v>
      </c>
      <c r="B468" s="16"/>
      <c r="C468" s="101" t="s">
        <v>312</v>
      </c>
      <c r="D468" s="41">
        <f>D469</f>
        <v>2944.4</v>
      </c>
      <c r="E468" s="41">
        <f>E469</f>
        <v>3800</v>
      </c>
      <c r="F468" s="41">
        <f>F469</f>
        <v>3800</v>
      </c>
    </row>
    <row r="469" spans="1:6" ht="38.25" x14ac:dyDescent="0.2">
      <c r="A469" s="21" t="s">
        <v>562</v>
      </c>
      <c r="B469" s="84" t="s">
        <v>214</v>
      </c>
      <c r="C469" s="101" t="s">
        <v>215</v>
      </c>
      <c r="D469" s="41">
        <f>3800-1000+144.4</f>
        <v>2944.4</v>
      </c>
      <c r="E469" s="41">
        <v>3800</v>
      </c>
      <c r="F469" s="41">
        <v>3800</v>
      </c>
    </row>
    <row r="470" spans="1:6" ht="25.5" x14ac:dyDescent="0.2">
      <c r="A470" s="21" t="s">
        <v>563</v>
      </c>
      <c r="B470" s="16"/>
      <c r="C470" s="101" t="s">
        <v>25</v>
      </c>
      <c r="D470" s="41">
        <f>D471</f>
        <v>2290.6999999999998</v>
      </c>
      <c r="E470" s="41">
        <f>E471</f>
        <v>600</v>
      </c>
      <c r="F470" s="41">
        <f>F471</f>
        <v>600</v>
      </c>
    </row>
    <row r="471" spans="1:6" ht="38.25" x14ac:dyDescent="0.2">
      <c r="A471" s="21" t="s">
        <v>563</v>
      </c>
      <c r="B471" s="84" t="s">
        <v>214</v>
      </c>
      <c r="C471" s="101" t="s">
        <v>215</v>
      </c>
      <c r="D471" s="41">
        <f>1170+1070.7+59.2-9.2</f>
        <v>2290.6999999999998</v>
      </c>
      <c r="E471" s="41">
        <v>600</v>
      </c>
      <c r="F471" s="41">
        <v>600</v>
      </c>
    </row>
    <row r="472" spans="1:6" ht="25.5" x14ac:dyDescent="0.2">
      <c r="A472" s="21" t="s">
        <v>564</v>
      </c>
      <c r="B472" s="16"/>
      <c r="C472" s="101" t="s">
        <v>195</v>
      </c>
      <c r="D472" s="41">
        <f>D473</f>
        <v>5</v>
      </c>
      <c r="E472" s="41">
        <f>E473</f>
        <v>7</v>
      </c>
      <c r="F472" s="41">
        <f>F473</f>
        <v>7</v>
      </c>
    </row>
    <row r="473" spans="1:6" ht="38.25" x14ac:dyDescent="0.2">
      <c r="A473" s="21" t="s">
        <v>564</v>
      </c>
      <c r="B473" s="84" t="s">
        <v>214</v>
      </c>
      <c r="C473" s="101" t="s">
        <v>215</v>
      </c>
      <c r="D473" s="41">
        <v>5</v>
      </c>
      <c r="E473" s="41">
        <v>7</v>
      </c>
      <c r="F473" s="41">
        <v>7</v>
      </c>
    </row>
    <row r="474" spans="1:6" ht="51" x14ac:dyDescent="0.2">
      <c r="A474" s="52" t="s">
        <v>565</v>
      </c>
      <c r="B474" s="16"/>
      <c r="C474" s="60" t="s">
        <v>566</v>
      </c>
      <c r="D474" s="41">
        <f>D475+D480+D483</f>
        <v>13196.399999999998</v>
      </c>
      <c r="E474" s="41">
        <f>E475+E480+E483</f>
        <v>5125</v>
      </c>
      <c r="F474" s="41">
        <f>F475+F480+F483</f>
        <v>5125</v>
      </c>
    </row>
    <row r="475" spans="1:6" ht="50.25" customHeight="1" x14ac:dyDescent="0.2">
      <c r="A475" s="21" t="s">
        <v>568</v>
      </c>
      <c r="B475" s="16"/>
      <c r="C475" s="103" t="s">
        <v>567</v>
      </c>
      <c r="D475" s="41">
        <f>D476+D478</f>
        <v>318.50000000000006</v>
      </c>
      <c r="E475" s="41">
        <f t="shared" ref="E475:F475" si="132">E476+E478</f>
        <v>265</v>
      </c>
      <c r="F475" s="41">
        <f t="shared" si="132"/>
        <v>265</v>
      </c>
    </row>
    <row r="476" spans="1:6" ht="25.5" x14ac:dyDescent="0.2">
      <c r="A476" s="21" t="s">
        <v>569</v>
      </c>
      <c r="B476" s="16"/>
      <c r="C476" s="101" t="s">
        <v>387</v>
      </c>
      <c r="D476" s="41">
        <f>D477</f>
        <v>289.20000000000005</v>
      </c>
      <c r="E476" s="41">
        <f>E477</f>
        <v>250</v>
      </c>
      <c r="F476" s="41">
        <f>F477</f>
        <v>250</v>
      </c>
    </row>
    <row r="477" spans="1:6" ht="38.25" x14ac:dyDescent="0.2">
      <c r="A477" s="21" t="s">
        <v>569</v>
      </c>
      <c r="B477" s="84" t="s">
        <v>214</v>
      </c>
      <c r="C477" s="101" t="s">
        <v>215</v>
      </c>
      <c r="D477" s="41">
        <f>500+162.5-29.3-344</f>
        <v>289.20000000000005</v>
      </c>
      <c r="E477" s="41">
        <v>250</v>
      </c>
      <c r="F477" s="41">
        <v>250</v>
      </c>
    </row>
    <row r="478" spans="1:6" ht="54" customHeight="1" x14ac:dyDescent="0.2">
      <c r="A478" s="21" t="s">
        <v>571</v>
      </c>
      <c r="B478" s="84"/>
      <c r="C478" s="101" t="s">
        <v>570</v>
      </c>
      <c r="D478" s="41">
        <f>D479</f>
        <v>29.3</v>
      </c>
      <c r="E478" s="41">
        <f t="shared" ref="E478:F478" si="133">E479</f>
        <v>15</v>
      </c>
      <c r="F478" s="41">
        <f t="shared" si="133"/>
        <v>15</v>
      </c>
    </row>
    <row r="479" spans="1:6" ht="38.25" x14ac:dyDescent="0.2">
      <c r="A479" s="21" t="s">
        <v>571</v>
      </c>
      <c r="B479" s="84" t="s">
        <v>214</v>
      </c>
      <c r="C479" s="101" t="s">
        <v>215</v>
      </c>
      <c r="D479" s="41">
        <v>29.3</v>
      </c>
      <c r="E479" s="41">
        <v>15</v>
      </c>
      <c r="F479" s="41">
        <v>15</v>
      </c>
    </row>
    <row r="480" spans="1:6" ht="38.25" x14ac:dyDescent="0.2">
      <c r="A480" s="21" t="s">
        <v>572</v>
      </c>
      <c r="B480" s="16"/>
      <c r="C480" s="103" t="s">
        <v>573</v>
      </c>
      <c r="D480" s="41">
        <f>D481</f>
        <v>0</v>
      </c>
      <c r="E480" s="41">
        <f t="shared" ref="E480:F480" si="134">E481</f>
        <v>10</v>
      </c>
      <c r="F480" s="41">
        <f t="shared" si="134"/>
        <v>10</v>
      </c>
    </row>
    <row r="481" spans="1:6" ht="55.5" customHeight="1" x14ac:dyDescent="0.2">
      <c r="A481" s="21" t="s">
        <v>579</v>
      </c>
      <c r="B481" s="84"/>
      <c r="C481" s="101" t="s">
        <v>580</v>
      </c>
      <c r="D481" s="41">
        <f>D482</f>
        <v>0</v>
      </c>
      <c r="E481" s="41">
        <f t="shared" ref="E481:F481" si="135">E482</f>
        <v>10</v>
      </c>
      <c r="F481" s="41">
        <f t="shared" si="135"/>
        <v>10</v>
      </c>
    </row>
    <row r="482" spans="1:6" ht="38.25" x14ac:dyDescent="0.2">
      <c r="A482" s="21" t="s">
        <v>579</v>
      </c>
      <c r="B482" s="84" t="s">
        <v>214</v>
      </c>
      <c r="C482" s="101" t="s">
        <v>215</v>
      </c>
      <c r="D482" s="41">
        <v>0</v>
      </c>
      <c r="E482" s="41">
        <v>10</v>
      </c>
      <c r="F482" s="41">
        <v>10</v>
      </c>
    </row>
    <row r="483" spans="1:6" ht="44.25" customHeight="1" x14ac:dyDescent="0.2">
      <c r="A483" s="21" t="s">
        <v>574</v>
      </c>
      <c r="B483" s="16"/>
      <c r="C483" s="101" t="s">
        <v>751</v>
      </c>
      <c r="D483" s="41">
        <f>D484+D487</f>
        <v>12877.899999999998</v>
      </c>
      <c r="E483" s="41">
        <f t="shared" ref="E483:F483" si="136">E484+E487</f>
        <v>4850</v>
      </c>
      <c r="F483" s="41">
        <f t="shared" si="136"/>
        <v>4850</v>
      </c>
    </row>
    <row r="484" spans="1:6" ht="31.5" customHeight="1" x14ac:dyDescent="0.2">
      <c r="A484" s="21" t="s">
        <v>575</v>
      </c>
      <c r="B484" s="84"/>
      <c r="C484" s="101" t="s">
        <v>578</v>
      </c>
      <c r="D484" s="41">
        <f>SUM(D485:D486)</f>
        <v>9492.1999999999989</v>
      </c>
      <c r="E484" s="41">
        <f t="shared" ref="E484:F484" si="137">SUM(E485:E486)</f>
        <v>3800</v>
      </c>
      <c r="F484" s="41">
        <f t="shared" si="137"/>
        <v>3800</v>
      </c>
    </row>
    <row r="485" spans="1:6" ht="38.25" x14ac:dyDescent="0.2">
      <c r="A485" s="21" t="s">
        <v>575</v>
      </c>
      <c r="B485" s="84" t="s">
        <v>214</v>
      </c>
      <c r="C485" s="101" t="s">
        <v>215</v>
      </c>
      <c r="D485" s="41">
        <f>9500-8.6</f>
        <v>9491.4</v>
      </c>
      <c r="E485" s="41">
        <v>3800</v>
      </c>
      <c r="F485" s="41">
        <v>3800</v>
      </c>
    </row>
    <row r="486" spans="1:6" x14ac:dyDescent="0.2">
      <c r="A486" s="21" t="s">
        <v>575</v>
      </c>
      <c r="B486" s="84" t="s">
        <v>693</v>
      </c>
      <c r="C486" s="54" t="s">
        <v>694</v>
      </c>
      <c r="D486" s="41">
        <v>0.8</v>
      </c>
      <c r="E486" s="41">
        <v>0</v>
      </c>
      <c r="F486" s="41">
        <v>0</v>
      </c>
    </row>
    <row r="487" spans="1:6" x14ac:dyDescent="0.2">
      <c r="A487" s="21" t="s">
        <v>576</v>
      </c>
      <c r="B487" s="84"/>
      <c r="C487" s="101" t="s">
        <v>577</v>
      </c>
      <c r="D487" s="41">
        <f>D488</f>
        <v>3385.7</v>
      </c>
      <c r="E487" s="41">
        <f t="shared" ref="E487:F487" si="138">E488</f>
        <v>1050</v>
      </c>
      <c r="F487" s="41">
        <f t="shared" si="138"/>
        <v>1050</v>
      </c>
    </row>
    <row r="488" spans="1:6" ht="38.25" x14ac:dyDescent="0.2">
      <c r="A488" s="21" t="s">
        <v>576</v>
      </c>
      <c r="B488" s="84" t="s">
        <v>214</v>
      </c>
      <c r="C488" s="101" t="s">
        <v>215</v>
      </c>
      <c r="D488" s="41">
        <f>3108.9-59.4+344-7.8</f>
        <v>3385.7</v>
      </c>
      <c r="E488" s="41">
        <v>1050</v>
      </c>
      <c r="F488" s="41">
        <v>1050</v>
      </c>
    </row>
    <row r="489" spans="1:6" ht="77.25" x14ac:dyDescent="0.25">
      <c r="A489" s="73" t="s">
        <v>37</v>
      </c>
      <c r="B489" s="3"/>
      <c r="C489" s="185" t="s">
        <v>649</v>
      </c>
      <c r="D489" s="59">
        <f>D490+D504</f>
        <v>30191.899999999998</v>
      </c>
      <c r="E489" s="59">
        <f>E490+E504</f>
        <v>10847.9</v>
      </c>
      <c r="F489" s="59">
        <f>F490+F504</f>
        <v>13305.8</v>
      </c>
    </row>
    <row r="490" spans="1:6" ht="26.25" x14ac:dyDescent="0.25">
      <c r="A490" s="52" t="s">
        <v>38</v>
      </c>
      <c r="B490" s="3"/>
      <c r="C490" s="46" t="s">
        <v>85</v>
      </c>
      <c r="D490" s="41">
        <f>D491+D496+D501</f>
        <v>27541.1</v>
      </c>
      <c r="E490" s="41">
        <f>E491+E496+E501</f>
        <v>7899.0999999999995</v>
      </c>
      <c r="F490" s="41">
        <f>F491+F496+F501</f>
        <v>10168</v>
      </c>
    </row>
    <row r="491" spans="1:6" ht="26.25" x14ac:dyDescent="0.25">
      <c r="A491" s="21" t="s">
        <v>281</v>
      </c>
      <c r="B491" s="3"/>
      <c r="C491" s="113" t="s">
        <v>282</v>
      </c>
      <c r="D491" s="41">
        <f>D492+D494</f>
        <v>3146</v>
      </c>
      <c r="E491" s="41">
        <f t="shared" ref="E491:F491" si="139">E492+E494</f>
        <v>419.5</v>
      </c>
      <c r="F491" s="41">
        <f t="shared" si="139"/>
        <v>419.5</v>
      </c>
    </row>
    <row r="492" spans="1:6" ht="39" x14ac:dyDescent="0.25">
      <c r="A492" s="21" t="s">
        <v>314</v>
      </c>
      <c r="B492" s="3"/>
      <c r="C492" s="130" t="s">
        <v>205</v>
      </c>
      <c r="D492" s="41">
        <f t="shared" ref="D492:F492" si="140">D493</f>
        <v>629.20000000000005</v>
      </c>
      <c r="E492" s="41">
        <f t="shared" si="140"/>
        <v>419.5</v>
      </c>
      <c r="F492" s="41">
        <f t="shared" si="140"/>
        <v>419.5</v>
      </c>
    </row>
    <row r="493" spans="1:6" x14ac:dyDescent="0.2">
      <c r="A493" s="21" t="s">
        <v>314</v>
      </c>
      <c r="B493" s="84" t="s">
        <v>253</v>
      </c>
      <c r="C493" s="106" t="s">
        <v>252</v>
      </c>
      <c r="D493" s="41">
        <v>629.20000000000005</v>
      </c>
      <c r="E493" s="41">
        <v>419.5</v>
      </c>
      <c r="F493" s="41">
        <v>419.5</v>
      </c>
    </row>
    <row r="494" spans="1:6" ht="38.25" x14ac:dyDescent="0.2">
      <c r="A494" s="21" t="s">
        <v>715</v>
      </c>
      <c r="B494" s="84"/>
      <c r="C494" s="54" t="s">
        <v>716</v>
      </c>
      <c r="D494" s="41">
        <f>D495</f>
        <v>2516.8000000000002</v>
      </c>
      <c r="E494" s="41">
        <f t="shared" ref="E494:F494" si="141">E495</f>
        <v>0</v>
      </c>
      <c r="F494" s="41">
        <f t="shared" si="141"/>
        <v>0</v>
      </c>
    </row>
    <row r="495" spans="1:6" x14ac:dyDescent="0.2">
      <c r="A495" s="21" t="s">
        <v>715</v>
      </c>
      <c r="B495" s="84" t="s">
        <v>253</v>
      </c>
      <c r="C495" s="106" t="s">
        <v>252</v>
      </c>
      <c r="D495" s="41">
        <v>2516.8000000000002</v>
      </c>
      <c r="E495" s="41">
        <v>0</v>
      </c>
      <c r="F495" s="41">
        <v>0</v>
      </c>
    </row>
    <row r="496" spans="1:6" ht="76.5" x14ac:dyDescent="0.2">
      <c r="A496" s="21" t="s">
        <v>283</v>
      </c>
      <c r="B496" s="35"/>
      <c r="C496" s="100" t="s">
        <v>620</v>
      </c>
      <c r="D496" s="102">
        <f>D497+D499</f>
        <v>11002.199999999999</v>
      </c>
      <c r="E496" s="102">
        <f>E497+E499</f>
        <v>4625.3999999999996</v>
      </c>
      <c r="F496" s="102">
        <f>F497+F499</f>
        <v>6938.2</v>
      </c>
    </row>
    <row r="497" spans="1:6" ht="51" x14ac:dyDescent="0.2">
      <c r="A497" s="80">
        <v>1310210820</v>
      </c>
      <c r="B497" s="16"/>
      <c r="C497" s="101" t="s">
        <v>170</v>
      </c>
      <c r="D497" s="39">
        <f>D498</f>
        <v>1375.2999999999997</v>
      </c>
      <c r="E497" s="39">
        <f>E498</f>
        <v>2312.6999999999998</v>
      </c>
      <c r="F497" s="39">
        <f>F498</f>
        <v>3469.1</v>
      </c>
    </row>
    <row r="498" spans="1:6" x14ac:dyDescent="0.2">
      <c r="A498" s="80">
        <v>1310210820</v>
      </c>
      <c r="B498" s="84" t="s">
        <v>253</v>
      </c>
      <c r="C498" s="106" t="s">
        <v>252</v>
      </c>
      <c r="D498" s="39">
        <f>3469.1-2093.8</f>
        <v>1375.2999999999997</v>
      </c>
      <c r="E498" s="39">
        <v>2312.6999999999998</v>
      </c>
      <c r="F498" s="39">
        <v>3469.1</v>
      </c>
    </row>
    <row r="499" spans="1:6" ht="38.25" x14ac:dyDescent="0.2">
      <c r="A499" s="80" t="s">
        <v>348</v>
      </c>
      <c r="B499" s="16"/>
      <c r="C499" s="101" t="s">
        <v>321</v>
      </c>
      <c r="D499" s="39">
        <f>D500</f>
        <v>9626.9</v>
      </c>
      <c r="E499" s="39">
        <f>E500</f>
        <v>2312.6999999999998</v>
      </c>
      <c r="F499" s="39">
        <f>F500</f>
        <v>3469.1</v>
      </c>
    </row>
    <row r="500" spans="1:6" x14ac:dyDescent="0.2">
      <c r="A500" s="80" t="s">
        <v>348</v>
      </c>
      <c r="B500" s="84" t="s">
        <v>253</v>
      </c>
      <c r="C500" s="106" t="s">
        <v>252</v>
      </c>
      <c r="D500" s="39">
        <f>11563.4-1936.5</f>
        <v>9626.9</v>
      </c>
      <c r="E500" s="39">
        <v>2312.6999999999998</v>
      </c>
      <c r="F500" s="39">
        <v>3469.1</v>
      </c>
    </row>
    <row r="501" spans="1:6" ht="25.5" x14ac:dyDescent="0.2">
      <c r="A501" s="21" t="s">
        <v>308</v>
      </c>
      <c r="B501" s="84"/>
      <c r="C501" s="113" t="s">
        <v>343</v>
      </c>
      <c r="D501" s="41">
        <f t="shared" ref="D501:F502" si="142">D502</f>
        <v>13392.9</v>
      </c>
      <c r="E501" s="41">
        <f t="shared" si="142"/>
        <v>2854.2</v>
      </c>
      <c r="F501" s="41">
        <f t="shared" si="142"/>
        <v>2810.3</v>
      </c>
    </row>
    <row r="502" spans="1:6" ht="51" x14ac:dyDescent="0.2">
      <c r="A502" s="74" t="s">
        <v>342</v>
      </c>
      <c r="B502" s="16"/>
      <c r="C502" s="101" t="s">
        <v>328</v>
      </c>
      <c r="D502" s="97">
        <f t="shared" si="142"/>
        <v>13392.9</v>
      </c>
      <c r="E502" s="97">
        <f t="shared" si="142"/>
        <v>2854.2</v>
      </c>
      <c r="F502" s="97">
        <f t="shared" si="142"/>
        <v>2810.3</v>
      </c>
    </row>
    <row r="503" spans="1:6" ht="26.25" customHeight="1" x14ac:dyDescent="0.2">
      <c r="A503" s="74" t="s">
        <v>342</v>
      </c>
      <c r="B503" s="84" t="s">
        <v>266</v>
      </c>
      <c r="C503" s="101" t="s">
        <v>254</v>
      </c>
      <c r="D503" s="97">
        <f>2854.2+10714.3-175.6</f>
        <v>13392.9</v>
      </c>
      <c r="E503" s="97">
        <v>2854.2</v>
      </c>
      <c r="F503" s="97">
        <v>2810.3</v>
      </c>
    </row>
    <row r="504" spans="1:6" ht="25.5" x14ac:dyDescent="0.2">
      <c r="A504" s="52" t="s">
        <v>39</v>
      </c>
      <c r="B504" s="16"/>
      <c r="C504" s="46" t="s">
        <v>82</v>
      </c>
      <c r="D504" s="96">
        <f>D505+D508</f>
        <v>2650.8</v>
      </c>
      <c r="E504" s="96">
        <f>E505+E508</f>
        <v>2948.8</v>
      </c>
      <c r="F504" s="96">
        <f>F505+F508</f>
        <v>3137.8</v>
      </c>
    </row>
    <row r="505" spans="1:6" ht="51" x14ac:dyDescent="0.2">
      <c r="A505" s="21" t="s">
        <v>581</v>
      </c>
      <c r="B505" s="16"/>
      <c r="C505" s="113" t="s">
        <v>309</v>
      </c>
      <c r="D505" s="41">
        <f t="shared" ref="D505:F506" si="143">D506</f>
        <v>688</v>
      </c>
      <c r="E505" s="41">
        <f t="shared" si="143"/>
        <v>638</v>
      </c>
      <c r="F505" s="41">
        <f t="shared" si="143"/>
        <v>638</v>
      </c>
    </row>
    <row r="506" spans="1:6" ht="51" x14ac:dyDescent="0.2">
      <c r="A506" s="80">
        <v>1320127100</v>
      </c>
      <c r="B506" s="16"/>
      <c r="C506" s="101" t="s">
        <v>3</v>
      </c>
      <c r="D506" s="41">
        <f t="shared" si="143"/>
        <v>688</v>
      </c>
      <c r="E506" s="41">
        <f t="shared" si="143"/>
        <v>638</v>
      </c>
      <c r="F506" s="41">
        <f t="shared" si="143"/>
        <v>638</v>
      </c>
    </row>
    <row r="507" spans="1:6" ht="63.75" x14ac:dyDescent="0.2">
      <c r="A507" s="80">
        <v>1320127100</v>
      </c>
      <c r="B507" s="16" t="s">
        <v>20</v>
      </c>
      <c r="C507" s="103" t="s">
        <v>376</v>
      </c>
      <c r="D507" s="41">
        <f>638+50</f>
        <v>688</v>
      </c>
      <c r="E507" s="41">
        <v>638</v>
      </c>
      <c r="F507" s="41">
        <v>638</v>
      </c>
    </row>
    <row r="508" spans="1:6" ht="26.25" x14ac:dyDescent="0.25">
      <c r="A508" s="21" t="s">
        <v>284</v>
      </c>
      <c r="B508" s="3"/>
      <c r="C508" s="113" t="s">
        <v>287</v>
      </c>
      <c r="D508" s="102">
        <f t="shared" ref="D508:F509" si="144">D509</f>
        <v>1962.8000000000002</v>
      </c>
      <c r="E508" s="102">
        <f t="shared" si="144"/>
        <v>2310.8000000000002</v>
      </c>
      <c r="F508" s="102">
        <f t="shared" si="144"/>
        <v>2499.8000000000002</v>
      </c>
    </row>
    <row r="509" spans="1:6" ht="26.25" x14ac:dyDescent="0.25">
      <c r="A509" s="80">
        <v>1320225100</v>
      </c>
      <c r="B509" s="3"/>
      <c r="C509" s="152" t="s">
        <v>378</v>
      </c>
      <c r="D509" s="41">
        <f t="shared" si="144"/>
        <v>1962.8000000000002</v>
      </c>
      <c r="E509" s="41">
        <f t="shared" si="144"/>
        <v>2310.8000000000002</v>
      </c>
      <c r="F509" s="41">
        <f t="shared" si="144"/>
        <v>2499.8000000000002</v>
      </c>
    </row>
    <row r="510" spans="1:6" ht="25.5" x14ac:dyDescent="0.2">
      <c r="A510" s="80">
        <v>1320225100</v>
      </c>
      <c r="B510" s="84" t="s">
        <v>285</v>
      </c>
      <c r="C510" s="101" t="s">
        <v>286</v>
      </c>
      <c r="D510" s="39">
        <f>2710.8-801.4+53.4</f>
        <v>1962.8000000000002</v>
      </c>
      <c r="E510" s="39">
        <v>2310.8000000000002</v>
      </c>
      <c r="F510" s="39">
        <v>2499.8000000000002</v>
      </c>
    </row>
    <row r="511" spans="1:6" ht="77.25" customHeight="1" x14ac:dyDescent="0.2">
      <c r="A511" s="76">
        <v>1400000000</v>
      </c>
      <c r="B511" s="16"/>
      <c r="C511" s="185" t="s">
        <v>650</v>
      </c>
      <c r="D511" s="99">
        <f>D512</f>
        <v>121967.5</v>
      </c>
      <c r="E511" s="99">
        <f t="shared" ref="E511:F511" si="145">E512</f>
        <v>10141.6</v>
      </c>
      <c r="F511" s="99">
        <f t="shared" si="145"/>
        <v>717.4</v>
      </c>
    </row>
    <row r="512" spans="1:6" ht="76.5" x14ac:dyDescent="0.2">
      <c r="A512" s="75">
        <v>1410000000</v>
      </c>
      <c r="B512" s="16"/>
      <c r="C512" s="48" t="s">
        <v>219</v>
      </c>
      <c r="D512" s="96">
        <f>D513+D522</f>
        <v>121967.5</v>
      </c>
      <c r="E512" s="96">
        <f>E513+E522</f>
        <v>10141.6</v>
      </c>
      <c r="F512" s="96">
        <f>F513+F522</f>
        <v>717.4</v>
      </c>
    </row>
    <row r="513" spans="1:6" ht="89.25" x14ac:dyDescent="0.2">
      <c r="A513" s="74">
        <v>1410200000</v>
      </c>
      <c r="B513" s="16"/>
      <c r="C513" s="101" t="s">
        <v>379</v>
      </c>
      <c r="D513" s="41">
        <f>D514+D516+D518+D520</f>
        <v>25897.1</v>
      </c>
      <c r="E513" s="41">
        <f t="shared" ref="E513:F513" si="146">E514+E516+E518+E520</f>
        <v>0</v>
      </c>
      <c r="F513" s="41">
        <f t="shared" si="146"/>
        <v>0</v>
      </c>
    </row>
    <row r="514" spans="1:6" ht="25.5" x14ac:dyDescent="0.2">
      <c r="A514" s="74">
        <v>1410223125</v>
      </c>
      <c r="B514" s="84"/>
      <c r="C514" s="101" t="s">
        <v>383</v>
      </c>
      <c r="D514" s="41">
        <f>D515</f>
        <v>689.6</v>
      </c>
      <c r="E514" s="41">
        <f>E515</f>
        <v>0</v>
      </c>
      <c r="F514" s="41">
        <f>F515</f>
        <v>0</v>
      </c>
    </row>
    <row r="515" spans="1:6" ht="38.25" x14ac:dyDescent="0.2">
      <c r="A515" s="74">
        <v>1410223125</v>
      </c>
      <c r="B515" s="84" t="s">
        <v>214</v>
      </c>
      <c r="C515" s="101" t="s">
        <v>215</v>
      </c>
      <c r="D515" s="41">
        <f>538.6+60+278.4-16.5-174.4+3.5</f>
        <v>689.6</v>
      </c>
      <c r="E515" s="41">
        <v>0</v>
      </c>
      <c r="F515" s="41">
        <v>0</v>
      </c>
    </row>
    <row r="516" spans="1:6" ht="25.5" x14ac:dyDescent="0.2">
      <c r="A516" s="74">
        <v>1410223130</v>
      </c>
      <c r="B516" s="84"/>
      <c r="C516" s="126" t="s">
        <v>708</v>
      </c>
      <c r="D516" s="41">
        <f>D517</f>
        <v>23651.1</v>
      </c>
      <c r="E516" s="41">
        <f t="shared" ref="E516:F516" si="147">E517</f>
        <v>0</v>
      </c>
      <c r="F516" s="41">
        <f t="shared" si="147"/>
        <v>0</v>
      </c>
    </row>
    <row r="517" spans="1:6" ht="38.25" x14ac:dyDescent="0.2">
      <c r="A517" s="74">
        <v>1410223130</v>
      </c>
      <c r="B517" s="84" t="s">
        <v>214</v>
      </c>
      <c r="C517" s="101" t="s">
        <v>215</v>
      </c>
      <c r="D517" s="41">
        <f>9651.1+14000</f>
        <v>23651.1</v>
      </c>
      <c r="E517" s="41">
        <v>0</v>
      </c>
      <c r="F517" s="41">
        <v>0</v>
      </c>
    </row>
    <row r="518" spans="1:6" ht="29.25" customHeight="1" x14ac:dyDescent="0.2">
      <c r="A518" s="74">
        <v>1410223135</v>
      </c>
      <c r="B518" s="84"/>
      <c r="C518" s="153" t="s">
        <v>704</v>
      </c>
      <c r="D518" s="41">
        <f>D519</f>
        <v>556.4</v>
      </c>
      <c r="E518" s="41">
        <f t="shared" ref="E518:F518" si="148">E519</f>
        <v>0</v>
      </c>
      <c r="F518" s="41">
        <f t="shared" si="148"/>
        <v>0</v>
      </c>
    </row>
    <row r="519" spans="1:6" ht="38.25" x14ac:dyDescent="0.2">
      <c r="A519" s="74">
        <v>1410223135</v>
      </c>
      <c r="B519" s="84" t="s">
        <v>214</v>
      </c>
      <c r="C519" s="101" t="s">
        <v>215</v>
      </c>
      <c r="D519" s="41">
        <f>84.4+284.9+12.7+174.4</f>
        <v>556.4</v>
      </c>
      <c r="E519" s="41">
        <v>0</v>
      </c>
      <c r="F519" s="41">
        <v>0</v>
      </c>
    </row>
    <row r="520" spans="1:6" ht="25.5" x14ac:dyDescent="0.2">
      <c r="A520" s="74">
        <v>1410211180</v>
      </c>
      <c r="B520" s="84"/>
      <c r="C520" s="101" t="s">
        <v>740</v>
      </c>
      <c r="D520" s="41">
        <v>1000</v>
      </c>
      <c r="E520" s="41">
        <v>0</v>
      </c>
      <c r="F520" s="41">
        <v>0</v>
      </c>
    </row>
    <row r="521" spans="1:6" ht="38.25" x14ac:dyDescent="0.2">
      <c r="A521" s="74">
        <v>1410211180</v>
      </c>
      <c r="B521" s="84" t="s">
        <v>214</v>
      </c>
      <c r="C521" s="101" t="s">
        <v>215</v>
      </c>
      <c r="D521" s="41">
        <v>1000</v>
      </c>
      <c r="E521" s="41">
        <v>0</v>
      </c>
      <c r="F521" s="41">
        <v>0</v>
      </c>
    </row>
    <row r="522" spans="1:6" ht="51" x14ac:dyDescent="0.2">
      <c r="A522" s="74" t="s">
        <v>398</v>
      </c>
      <c r="B522" s="84"/>
      <c r="C522" s="101" t="s">
        <v>399</v>
      </c>
      <c r="D522" s="41">
        <f>D523+D525+D527</f>
        <v>96070.399999999994</v>
      </c>
      <c r="E522" s="41">
        <f>E523+E525</f>
        <v>10141.6</v>
      </c>
      <c r="F522" s="41">
        <f>F523+F525</f>
        <v>717.4</v>
      </c>
    </row>
    <row r="523" spans="1:6" ht="25.5" x14ac:dyDescent="0.2">
      <c r="A523" s="74" t="s">
        <v>362</v>
      </c>
      <c r="B523" s="16"/>
      <c r="C523" s="101" t="s">
        <v>327</v>
      </c>
      <c r="D523" s="41">
        <f>D524</f>
        <v>12070.4</v>
      </c>
      <c r="E523" s="41">
        <f>E524</f>
        <v>10141.6</v>
      </c>
      <c r="F523" s="41">
        <f>F524</f>
        <v>717.4</v>
      </c>
    </row>
    <row r="524" spans="1:6" ht="38.25" x14ac:dyDescent="0.2">
      <c r="A524" s="74" t="s">
        <v>362</v>
      </c>
      <c r="B524" s="84" t="s">
        <v>214</v>
      </c>
      <c r="C524" s="101" t="s">
        <v>215</v>
      </c>
      <c r="D524" s="41">
        <v>12070.4</v>
      </c>
      <c r="E524" s="41">
        <f>717.4+9424.2</f>
        <v>10141.6</v>
      </c>
      <c r="F524" s="41">
        <v>717.4</v>
      </c>
    </row>
    <row r="525" spans="1:6" ht="51" x14ac:dyDescent="0.2">
      <c r="A525" s="159" t="s">
        <v>366</v>
      </c>
      <c r="B525" s="16"/>
      <c r="C525" s="101" t="s">
        <v>367</v>
      </c>
      <c r="D525" s="41">
        <f>D526</f>
        <v>70000</v>
      </c>
      <c r="E525" s="41">
        <f>E526</f>
        <v>0</v>
      </c>
      <c r="F525" s="41">
        <f>F526</f>
        <v>0</v>
      </c>
    </row>
    <row r="526" spans="1:6" ht="38.25" x14ac:dyDescent="0.2">
      <c r="A526" s="159" t="s">
        <v>366</v>
      </c>
      <c r="B526" s="84" t="s">
        <v>214</v>
      </c>
      <c r="C526" s="101" t="s">
        <v>215</v>
      </c>
      <c r="D526" s="41">
        <v>70000</v>
      </c>
      <c r="E526" s="41">
        <v>0</v>
      </c>
      <c r="F526" s="41">
        <v>0</v>
      </c>
    </row>
    <row r="527" spans="1:6" ht="76.5" x14ac:dyDescent="0.2">
      <c r="A527" s="159" t="s">
        <v>754</v>
      </c>
      <c r="B527" s="84"/>
      <c r="C527" s="101" t="s">
        <v>756</v>
      </c>
      <c r="D527" s="41">
        <f>D528</f>
        <v>14000</v>
      </c>
      <c r="E527" s="41">
        <f t="shared" ref="E527:F527" si="149">E528</f>
        <v>0</v>
      </c>
      <c r="F527" s="41">
        <f t="shared" si="149"/>
        <v>0</v>
      </c>
    </row>
    <row r="528" spans="1:6" ht="38.25" x14ac:dyDescent="0.2">
      <c r="A528" s="159" t="s">
        <v>754</v>
      </c>
      <c r="B528" s="84" t="s">
        <v>214</v>
      </c>
      <c r="C528" s="101" t="s">
        <v>215</v>
      </c>
      <c r="D528" s="41">
        <v>14000</v>
      </c>
      <c r="E528" s="41">
        <v>0</v>
      </c>
      <c r="F528" s="41">
        <v>0</v>
      </c>
    </row>
    <row r="529" spans="1:10" ht="116.25" customHeight="1" x14ac:dyDescent="0.2">
      <c r="A529" s="73" t="s">
        <v>598</v>
      </c>
      <c r="B529" s="84"/>
      <c r="C529" s="187" t="s">
        <v>651</v>
      </c>
      <c r="D529" s="99">
        <f>D530+D575</f>
        <v>17904.599999999999</v>
      </c>
      <c r="E529" s="99">
        <f>E530+E575</f>
        <v>1500</v>
      </c>
      <c r="F529" s="99">
        <f>F530+F575</f>
        <v>1256.3</v>
      </c>
    </row>
    <row r="530" spans="1:10" ht="51" x14ac:dyDescent="0.2">
      <c r="A530" s="175">
        <v>1510000000</v>
      </c>
      <c r="B530" s="84"/>
      <c r="C530" s="48" t="s">
        <v>377</v>
      </c>
      <c r="D530" s="96">
        <f>D531+D544</f>
        <v>12389.2</v>
      </c>
      <c r="E530" s="96">
        <f>E531+E544</f>
        <v>1500</v>
      </c>
      <c r="F530" s="96">
        <f>F531+F544</f>
        <v>1256.3</v>
      </c>
    </row>
    <row r="531" spans="1:10" ht="63.75" x14ac:dyDescent="0.2">
      <c r="A531" s="159">
        <v>1510200000</v>
      </c>
      <c r="B531" s="84"/>
      <c r="C531" s="101" t="s">
        <v>621</v>
      </c>
      <c r="D531" s="41">
        <f>D532+D534+D536+D538+D540+D542</f>
        <v>5615.2999999999993</v>
      </c>
      <c r="E531" s="41">
        <f t="shared" ref="E531:F531" si="150">E532+E534+E536+E538+E540+E542</f>
        <v>0</v>
      </c>
      <c r="F531" s="41">
        <f t="shared" si="150"/>
        <v>0</v>
      </c>
    </row>
    <row r="532" spans="1:10" ht="51" x14ac:dyDescent="0.2">
      <c r="A532" s="51" t="s">
        <v>671</v>
      </c>
      <c r="B532" s="84"/>
      <c r="C532" s="126" t="s">
        <v>669</v>
      </c>
      <c r="D532" s="41">
        <f>D533</f>
        <v>613.90000000000009</v>
      </c>
      <c r="E532" s="41">
        <f t="shared" ref="E532:F532" si="151">E533</f>
        <v>0</v>
      </c>
      <c r="F532" s="41">
        <f t="shared" si="151"/>
        <v>0</v>
      </c>
    </row>
    <row r="533" spans="1:10" ht="38.25" x14ac:dyDescent="0.2">
      <c r="A533" s="51" t="s">
        <v>671</v>
      </c>
      <c r="B533" s="84" t="s">
        <v>214</v>
      </c>
      <c r="C533" s="101" t="s">
        <v>215</v>
      </c>
      <c r="D533" s="41">
        <f>269.2+143.4+201.3</f>
        <v>613.90000000000009</v>
      </c>
      <c r="E533" s="41">
        <v>0</v>
      </c>
      <c r="F533" s="41">
        <v>0</v>
      </c>
      <c r="J533" s="107"/>
    </row>
    <row r="534" spans="1:10" ht="51" x14ac:dyDescent="0.2">
      <c r="A534" s="51" t="s">
        <v>672</v>
      </c>
      <c r="B534" s="84"/>
      <c r="C534" s="126" t="s">
        <v>670</v>
      </c>
      <c r="D534" s="41">
        <f>D535</f>
        <v>521.1</v>
      </c>
      <c r="E534" s="41">
        <f t="shared" ref="E534:F534" si="152">E535</f>
        <v>0</v>
      </c>
      <c r="F534" s="41">
        <f t="shared" si="152"/>
        <v>0</v>
      </c>
    </row>
    <row r="535" spans="1:10" ht="38.25" x14ac:dyDescent="0.2">
      <c r="A535" s="51" t="s">
        <v>672</v>
      </c>
      <c r="B535" s="84" t="s">
        <v>214</v>
      </c>
      <c r="C535" s="101" t="s">
        <v>215</v>
      </c>
      <c r="D535" s="41">
        <f>306.8+135.7+78.6</f>
        <v>521.1</v>
      </c>
      <c r="E535" s="41">
        <v>0</v>
      </c>
      <c r="F535" s="41">
        <v>0</v>
      </c>
      <c r="H535" s="107"/>
    </row>
    <row r="536" spans="1:10" ht="54" customHeight="1" x14ac:dyDescent="0.2">
      <c r="A536" s="51" t="s">
        <v>720</v>
      </c>
      <c r="B536" s="84"/>
      <c r="C536" s="101" t="s">
        <v>719</v>
      </c>
      <c r="D536" s="41">
        <f>D537</f>
        <v>2151.6999999999998</v>
      </c>
      <c r="E536" s="41">
        <f t="shared" ref="E536:F536" si="153">E537</f>
        <v>0</v>
      </c>
      <c r="F536" s="41">
        <f t="shared" si="153"/>
        <v>0</v>
      </c>
      <c r="H536" s="107"/>
    </row>
    <row r="537" spans="1:10" ht="38.25" x14ac:dyDescent="0.2">
      <c r="A537" s="51" t="s">
        <v>720</v>
      </c>
      <c r="B537" s="84" t="s">
        <v>214</v>
      </c>
      <c r="C537" s="101" t="s">
        <v>215</v>
      </c>
      <c r="D537" s="41">
        <f>2179.5-27.8</f>
        <v>2151.6999999999998</v>
      </c>
      <c r="E537" s="41">
        <v>0</v>
      </c>
      <c r="F537" s="41">
        <v>0</v>
      </c>
    </row>
    <row r="538" spans="1:10" ht="51" x14ac:dyDescent="0.2">
      <c r="A538" s="188">
        <v>1510219017</v>
      </c>
      <c r="B538" s="84"/>
      <c r="C538" s="126" t="s">
        <v>669</v>
      </c>
      <c r="D538" s="41">
        <f>D539</f>
        <v>410</v>
      </c>
      <c r="E538" s="41">
        <f t="shared" ref="E538:F538" si="154">E539</f>
        <v>0</v>
      </c>
      <c r="F538" s="41">
        <f t="shared" si="154"/>
        <v>0</v>
      </c>
    </row>
    <row r="539" spans="1:10" ht="38.25" x14ac:dyDescent="0.2">
      <c r="A539" s="154">
        <v>1510219017</v>
      </c>
      <c r="B539" s="84" t="s">
        <v>214</v>
      </c>
      <c r="C539" s="101" t="s">
        <v>215</v>
      </c>
      <c r="D539" s="41">
        <v>410</v>
      </c>
      <c r="E539" s="41">
        <v>0</v>
      </c>
      <c r="F539" s="41">
        <v>0</v>
      </c>
    </row>
    <row r="540" spans="1:10" ht="51" x14ac:dyDescent="0.2">
      <c r="A540" s="154">
        <v>1510219018</v>
      </c>
      <c r="B540" s="84"/>
      <c r="C540" s="126" t="s">
        <v>689</v>
      </c>
      <c r="D540" s="41">
        <f>D541</f>
        <v>442.5</v>
      </c>
      <c r="E540" s="41">
        <f t="shared" ref="E540:F540" si="155">E541</f>
        <v>0</v>
      </c>
      <c r="F540" s="41">
        <f t="shared" si="155"/>
        <v>0</v>
      </c>
    </row>
    <row r="541" spans="1:10" ht="38.25" x14ac:dyDescent="0.2">
      <c r="A541" s="154">
        <v>1510219018</v>
      </c>
      <c r="B541" s="84" t="s">
        <v>214</v>
      </c>
      <c r="C541" s="101" t="s">
        <v>215</v>
      </c>
      <c r="D541" s="41">
        <v>442.5</v>
      </c>
      <c r="E541" s="41">
        <v>0</v>
      </c>
      <c r="F541" s="41">
        <v>0</v>
      </c>
    </row>
    <row r="542" spans="1:10" ht="53.25" customHeight="1" x14ac:dyDescent="0.2">
      <c r="A542" s="154">
        <v>1510219021</v>
      </c>
      <c r="B542" s="84"/>
      <c r="C542" s="101" t="s">
        <v>719</v>
      </c>
      <c r="D542" s="41">
        <f>D543</f>
        <v>1476.1</v>
      </c>
      <c r="E542" s="41">
        <f t="shared" ref="E542:F542" si="156">E543</f>
        <v>0</v>
      </c>
      <c r="F542" s="41">
        <f t="shared" si="156"/>
        <v>0</v>
      </c>
    </row>
    <row r="543" spans="1:10" ht="38.25" x14ac:dyDescent="0.2">
      <c r="A543" s="154">
        <v>1510219021</v>
      </c>
      <c r="B543" s="84" t="s">
        <v>214</v>
      </c>
      <c r="C543" s="101" t="s">
        <v>215</v>
      </c>
      <c r="D543" s="41">
        <v>1476.1</v>
      </c>
      <c r="E543" s="41">
        <v>0</v>
      </c>
      <c r="F543" s="41">
        <v>0</v>
      </c>
    </row>
    <row r="544" spans="1:10" ht="51" x14ac:dyDescent="0.2">
      <c r="A544" s="159">
        <v>1510300000</v>
      </c>
      <c r="B544" s="84"/>
      <c r="C544" s="101" t="s">
        <v>600</v>
      </c>
      <c r="D544" s="41">
        <f>D545+D547+D549+D551+D553+D555+D557+D559+D561+D563+D565+D567+D569+D571+D573</f>
        <v>6773.9000000000005</v>
      </c>
      <c r="E544" s="41">
        <f t="shared" ref="E544:F544" si="157">E545+E547+E549+E551+E553+E555+E557+E559+E561+E563+E565+E567+E569+E571+E573</f>
        <v>1500</v>
      </c>
      <c r="F544" s="41">
        <f t="shared" si="157"/>
        <v>1256.3</v>
      </c>
    </row>
    <row r="545" spans="1:10" ht="51" x14ac:dyDescent="0.2">
      <c r="A545" s="159" t="s">
        <v>601</v>
      </c>
      <c r="B545" s="84"/>
      <c r="C545" s="101" t="s">
        <v>599</v>
      </c>
      <c r="D545" s="41">
        <f>D546</f>
        <v>0</v>
      </c>
      <c r="E545" s="41">
        <f>E546</f>
        <v>1500</v>
      </c>
      <c r="F545" s="41">
        <f>F546</f>
        <v>1256.3</v>
      </c>
    </row>
    <row r="546" spans="1:10" ht="38.25" x14ac:dyDescent="0.2">
      <c r="A546" s="159" t="s">
        <v>601</v>
      </c>
      <c r="B546" s="84" t="s">
        <v>214</v>
      </c>
      <c r="C546" s="101" t="s">
        <v>215</v>
      </c>
      <c r="D546" s="41">
        <f>2381.9+734.4-3116.3</f>
        <v>0</v>
      </c>
      <c r="E546" s="41">
        <v>1500</v>
      </c>
      <c r="F546" s="41">
        <v>1256.3</v>
      </c>
    </row>
    <row r="547" spans="1:10" ht="38.25" x14ac:dyDescent="0.2">
      <c r="A547" s="51" t="s">
        <v>673</v>
      </c>
      <c r="B547" s="84"/>
      <c r="C547" s="126" t="s">
        <v>678</v>
      </c>
      <c r="D547" s="41">
        <f>D548</f>
        <v>262.5</v>
      </c>
      <c r="E547" s="41">
        <f t="shared" ref="E547:F547" si="158">E548</f>
        <v>0</v>
      </c>
      <c r="F547" s="41">
        <f t="shared" si="158"/>
        <v>0</v>
      </c>
      <c r="J547" s="107"/>
    </row>
    <row r="548" spans="1:10" ht="38.25" x14ac:dyDescent="0.2">
      <c r="A548" s="51" t="s">
        <v>673</v>
      </c>
      <c r="B548" s="84" t="s">
        <v>214</v>
      </c>
      <c r="C548" s="101" t="s">
        <v>215</v>
      </c>
      <c r="D548" s="41">
        <f>114.1+148.4</f>
        <v>262.5</v>
      </c>
      <c r="E548" s="41">
        <v>0</v>
      </c>
      <c r="F548" s="41">
        <v>0</v>
      </c>
    </row>
    <row r="549" spans="1:10" ht="38.25" x14ac:dyDescent="0.2">
      <c r="A549" s="51" t="s">
        <v>674</v>
      </c>
      <c r="B549" s="84"/>
      <c r="C549" s="126" t="s">
        <v>679</v>
      </c>
      <c r="D549" s="41">
        <f>D550</f>
        <v>608.1</v>
      </c>
      <c r="E549" s="41">
        <f t="shared" ref="E549:F549" si="159">E550</f>
        <v>0</v>
      </c>
      <c r="F549" s="41">
        <f t="shared" si="159"/>
        <v>0</v>
      </c>
    </row>
    <row r="550" spans="1:10" ht="38.25" x14ac:dyDescent="0.2">
      <c r="A550" s="51" t="s">
        <v>674</v>
      </c>
      <c r="B550" s="84" t="s">
        <v>214</v>
      </c>
      <c r="C550" s="101" t="s">
        <v>215</v>
      </c>
      <c r="D550" s="41">
        <f>496.8+127+0.5-3.3-12.9</f>
        <v>608.1</v>
      </c>
      <c r="E550" s="41">
        <v>0</v>
      </c>
      <c r="F550" s="41">
        <v>0</v>
      </c>
    </row>
    <row r="551" spans="1:10" ht="38.25" x14ac:dyDescent="0.2">
      <c r="A551" s="51" t="s">
        <v>675</v>
      </c>
      <c r="B551" s="84"/>
      <c r="C551" s="126" t="s">
        <v>680</v>
      </c>
      <c r="D551" s="41">
        <f>D552</f>
        <v>685.1</v>
      </c>
      <c r="E551" s="41">
        <f t="shared" ref="E551:F551" si="160">E552</f>
        <v>0</v>
      </c>
      <c r="F551" s="41">
        <f t="shared" si="160"/>
        <v>0</v>
      </c>
    </row>
    <row r="552" spans="1:10" ht="38.25" x14ac:dyDescent="0.2">
      <c r="A552" s="51" t="s">
        <v>675</v>
      </c>
      <c r="B552" s="84" t="s">
        <v>214</v>
      </c>
      <c r="C552" s="101" t="s">
        <v>215</v>
      </c>
      <c r="D552" s="41">
        <f>561+143.5-4+0.1-15.5</f>
        <v>685.1</v>
      </c>
      <c r="E552" s="41">
        <v>0</v>
      </c>
      <c r="F552" s="41">
        <v>0</v>
      </c>
    </row>
    <row r="553" spans="1:10" ht="38.25" x14ac:dyDescent="0.2">
      <c r="A553" s="51" t="s">
        <v>676</v>
      </c>
      <c r="B553" s="84"/>
      <c r="C553" s="126" t="s">
        <v>681</v>
      </c>
      <c r="D553" s="41">
        <f>D554</f>
        <v>801.9</v>
      </c>
      <c r="E553" s="41">
        <f t="shared" ref="E553:F553" si="161">E554</f>
        <v>0</v>
      </c>
      <c r="F553" s="41">
        <f t="shared" si="161"/>
        <v>0</v>
      </c>
      <c r="I553" s="107"/>
    </row>
    <row r="554" spans="1:10" ht="38.25" x14ac:dyDescent="0.2">
      <c r="A554" s="51" t="s">
        <v>676</v>
      </c>
      <c r="B554" s="84" t="s">
        <v>214</v>
      </c>
      <c r="C554" s="101" t="s">
        <v>215</v>
      </c>
      <c r="D554" s="41">
        <f>711.4+186.6-96.1</f>
        <v>801.9</v>
      </c>
      <c r="E554" s="41">
        <v>0</v>
      </c>
      <c r="F554" s="41">
        <v>0</v>
      </c>
    </row>
    <row r="555" spans="1:10" ht="38.25" x14ac:dyDescent="0.2">
      <c r="A555" s="51" t="s">
        <v>677</v>
      </c>
      <c r="B555" s="84"/>
      <c r="C555" s="126" t="s">
        <v>682</v>
      </c>
      <c r="D555" s="41">
        <f>D556</f>
        <v>610.70000000000005</v>
      </c>
      <c r="E555" s="41">
        <f t="shared" ref="E555:F555" si="162">E556</f>
        <v>0</v>
      </c>
      <c r="F555" s="41">
        <f t="shared" si="162"/>
        <v>0</v>
      </c>
    </row>
    <row r="556" spans="1:10" ht="38.25" x14ac:dyDescent="0.2">
      <c r="A556" s="51" t="s">
        <v>677</v>
      </c>
      <c r="B556" s="84" t="s">
        <v>214</v>
      </c>
      <c r="C556" s="101" t="s">
        <v>215</v>
      </c>
      <c r="D556" s="41">
        <f>498.6+128.4-3.3-0.1-13+0.1</f>
        <v>610.70000000000005</v>
      </c>
      <c r="E556" s="41">
        <v>0</v>
      </c>
      <c r="F556" s="41">
        <v>0</v>
      </c>
    </row>
    <row r="557" spans="1:10" ht="38.25" x14ac:dyDescent="0.2">
      <c r="A557" s="188">
        <v>1510319313</v>
      </c>
      <c r="B557" s="84"/>
      <c r="C557" s="126" t="s">
        <v>679</v>
      </c>
      <c r="D557" s="41">
        <f>D558</f>
        <v>10</v>
      </c>
      <c r="E557" s="41">
        <f t="shared" ref="E557:F557" si="163">E558</f>
        <v>0</v>
      </c>
      <c r="F557" s="41">
        <f t="shared" si="163"/>
        <v>0</v>
      </c>
    </row>
    <row r="558" spans="1:10" ht="38.25" x14ac:dyDescent="0.2">
      <c r="A558" s="154">
        <v>1510319313</v>
      </c>
      <c r="B558" s="84" t="s">
        <v>214</v>
      </c>
      <c r="C558" s="101" t="s">
        <v>215</v>
      </c>
      <c r="D558" s="41">
        <v>10</v>
      </c>
      <c r="E558" s="41">
        <v>0</v>
      </c>
      <c r="F558" s="41">
        <v>0</v>
      </c>
    </row>
    <row r="559" spans="1:10" ht="38.25" x14ac:dyDescent="0.2">
      <c r="A559" s="154">
        <v>1510319314</v>
      </c>
      <c r="B559" s="84"/>
      <c r="C559" s="126" t="s">
        <v>680</v>
      </c>
      <c r="D559" s="41">
        <f>D560</f>
        <v>10</v>
      </c>
      <c r="E559" s="41">
        <f t="shared" ref="E559:F559" si="164">E560</f>
        <v>0</v>
      </c>
      <c r="F559" s="41">
        <f t="shared" si="164"/>
        <v>0</v>
      </c>
    </row>
    <row r="560" spans="1:10" ht="38.25" x14ac:dyDescent="0.2">
      <c r="A560" s="188">
        <v>1510319314</v>
      </c>
      <c r="B560" s="84" t="s">
        <v>214</v>
      </c>
      <c r="C560" s="101" t="s">
        <v>215</v>
      </c>
      <c r="D560" s="41">
        <v>10</v>
      </c>
      <c r="E560" s="41">
        <v>0</v>
      </c>
      <c r="F560" s="41">
        <v>0</v>
      </c>
    </row>
    <row r="561" spans="1:10" ht="38.25" x14ac:dyDescent="0.2">
      <c r="A561" s="154">
        <v>1510319315</v>
      </c>
      <c r="B561" s="84"/>
      <c r="C561" s="126" t="s">
        <v>690</v>
      </c>
      <c r="D561" s="41">
        <f>D562</f>
        <v>10</v>
      </c>
      <c r="E561" s="41">
        <f t="shared" ref="E561:F561" si="165">E562</f>
        <v>0</v>
      </c>
      <c r="F561" s="41">
        <f t="shared" si="165"/>
        <v>0</v>
      </c>
    </row>
    <row r="562" spans="1:10" ht="38.25" x14ac:dyDescent="0.2">
      <c r="A562" s="154">
        <v>1510319315</v>
      </c>
      <c r="B562" s="84" t="s">
        <v>214</v>
      </c>
      <c r="C562" s="101" t="s">
        <v>215</v>
      </c>
      <c r="D562" s="41">
        <v>10</v>
      </c>
      <c r="E562" s="41">
        <v>0</v>
      </c>
      <c r="F562" s="41">
        <v>0</v>
      </c>
    </row>
    <row r="563" spans="1:10" ht="38.25" x14ac:dyDescent="0.2">
      <c r="A563" s="154">
        <v>1510319316</v>
      </c>
      <c r="B563" s="84"/>
      <c r="C563" s="126" t="s">
        <v>682</v>
      </c>
      <c r="D563" s="41">
        <f>D564</f>
        <v>10</v>
      </c>
      <c r="E563" s="41">
        <f t="shared" ref="E563:F563" si="166">E564</f>
        <v>0</v>
      </c>
      <c r="F563" s="41">
        <f t="shared" si="166"/>
        <v>0</v>
      </c>
    </row>
    <row r="564" spans="1:10" ht="38.25" x14ac:dyDescent="0.2">
      <c r="A564" s="154">
        <v>1510319316</v>
      </c>
      <c r="B564" s="84" t="s">
        <v>214</v>
      </c>
      <c r="C564" s="101" t="s">
        <v>215</v>
      </c>
      <c r="D564" s="41">
        <v>10</v>
      </c>
      <c r="E564" s="41">
        <v>0</v>
      </c>
      <c r="F564" s="41">
        <v>0</v>
      </c>
    </row>
    <row r="565" spans="1:10" ht="38.25" x14ac:dyDescent="0.2">
      <c r="A565" s="154">
        <v>1510319012</v>
      </c>
      <c r="B565" s="84"/>
      <c r="C565" s="126" t="s">
        <v>678</v>
      </c>
      <c r="D565" s="41">
        <f>D566</f>
        <v>1021.8</v>
      </c>
      <c r="E565" s="41">
        <f t="shared" ref="E565:F565" si="167">E566</f>
        <v>0</v>
      </c>
      <c r="F565" s="41">
        <f t="shared" si="167"/>
        <v>0</v>
      </c>
    </row>
    <row r="566" spans="1:10" ht="38.25" x14ac:dyDescent="0.2">
      <c r="A566" s="188">
        <v>1510319012</v>
      </c>
      <c r="B566" s="84" t="s">
        <v>214</v>
      </c>
      <c r="C566" s="101" t="s">
        <v>215</v>
      </c>
      <c r="D566" s="41">
        <v>1021.8</v>
      </c>
      <c r="E566" s="41">
        <v>0</v>
      </c>
      <c r="F566" s="41">
        <v>0</v>
      </c>
    </row>
    <row r="567" spans="1:10" ht="38.25" x14ac:dyDescent="0.2">
      <c r="A567" s="154">
        <v>1510319013</v>
      </c>
      <c r="B567" s="84"/>
      <c r="C567" s="126" t="s">
        <v>679</v>
      </c>
      <c r="D567" s="41">
        <f>D568</f>
        <v>617.9</v>
      </c>
      <c r="E567" s="41">
        <f t="shared" ref="E567:F567" si="168">E568</f>
        <v>0</v>
      </c>
      <c r="F567" s="41">
        <f t="shared" si="168"/>
        <v>0</v>
      </c>
    </row>
    <row r="568" spans="1:10" ht="38.25" x14ac:dyDescent="0.2">
      <c r="A568" s="154">
        <v>1510319013</v>
      </c>
      <c r="B568" s="84" t="s">
        <v>214</v>
      </c>
      <c r="C568" s="101" t="s">
        <v>215</v>
      </c>
      <c r="D568" s="41">
        <f>634.4-16.5</f>
        <v>617.9</v>
      </c>
      <c r="E568" s="41">
        <v>0</v>
      </c>
      <c r="F568" s="41">
        <v>0</v>
      </c>
      <c r="I568" s="107"/>
    </row>
    <row r="569" spans="1:10" ht="38.25" x14ac:dyDescent="0.2">
      <c r="A569" s="154">
        <v>1510319014</v>
      </c>
      <c r="B569" s="84"/>
      <c r="C569" s="126" t="s">
        <v>680</v>
      </c>
      <c r="D569" s="41">
        <f>D570</f>
        <v>694.8</v>
      </c>
      <c r="E569" s="41">
        <f t="shared" ref="E569:F569" si="169">E570</f>
        <v>0</v>
      </c>
      <c r="F569" s="41">
        <f t="shared" si="169"/>
        <v>0</v>
      </c>
      <c r="I569" s="107"/>
    </row>
    <row r="570" spans="1:10" ht="38.25" x14ac:dyDescent="0.2">
      <c r="A570" s="154">
        <v>1510319014</v>
      </c>
      <c r="B570" s="84" t="s">
        <v>214</v>
      </c>
      <c r="C570" s="101" t="s">
        <v>215</v>
      </c>
      <c r="D570" s="41">
        <f>714.5-19.7</f>
        <v>694.8</v>
      </c>
      <c r="E570" s="41">
        <v>0</v>
      </c>
      <c r="F570" s="41">
        <v>0</v>
      </c>
    </row>
    <row r="571" spans="1:10" ht="38.25" x14ac:dyDescent="0.2">
      <c r="A571" s="154">
        <v>1510319015</v>
      </c>
      <c r="B571" s="84"/>
      <c r="C571" s="126" t="s">
        <v>691</v>
      </c>
      <c r="D571" s="41">
        <f>D572</f>
        <v>810.8</v>
      </c>
      <c r="E571" s="41">
        <f t="shared" ref="E571:F571" si="170">E572</f>
        <v>0</v>
      </c>
      <c r="F571" s="41">
        <f t="shared" si="170"/>
        <v>0</v>
      </c>
    </row>
    <row r="572" spans="1:10" ht="38.25" x14ac:dyDescent="0.2">
      <c r="A572" s="154">
        <v>1510319015</v>
      </c>
      <c r="B572" s="84" t="s">
        <v>214</v>
      </c>
      <c r="C572" s="101" t="s">
        <v>215</v>
      </c>
      <c r="D572" s="41">
        <f>908-97.2</f>
        <v>810.8</v>
      </c>
      <c r="E572" s="41">
        <v>0</v>
      </c>
      <c r="F572" s="41">
        <v>0</v>
      </c>
      <c r="J572" s="107"/>
    </row>
    <row r="573" spans="1:10" ht="38.25" x14ac:dyDescent="0.2">
      <c r="A573" s="154">
        <v>1510319016</v>
      </c>
      <c r="B573" s="84"/>
      <c r="C573" s="126" t="s">
        <v>692</v>
      </c>
      <c r="D573" s="41">
        <f>D574</f>
        <v>620.29999999999995</v>
      </c>
      <c r="E573" s="41">
        <f t="shared" ref="E573:F573" si="171">E574</f>
        <v>0</v>
      </c>
      <c r="F573" s="41">
        <f t="shared" si="171"/>
        <v>0</v>
      </c>
    </row>
    <row r="574" spans="1:10" ht="38.25" x14ac:dyDescent="0.2">
      <c r="A574" s="154">
        <v>1510319016</v>
      </c>
      <c r="B574" s="84" t="s">
        <v>214</v>
      </c>
      <c r="C574" s="101" t="s">
        <v>215</v>
      </c>
      <c r="D574" s="41">
        <f>636.9-16.6</f>
        <v>620.29999999999995</v>
      </c>
      <c r="E574" s="41">
        <v>0</v>
      </c>
      <c r="F574" s="41">
        <v>0</v>
      </c>
    </row>
    <row r="575" spans="1:10" ht="51" x14ac:dyDescent="0.2">
      <c r="A575" s="175">
        <v>1520000000</v>
      </c>
      <c r="B575" s="47"/>
      <c r="C575" s="189" t="s">
        <v>707</v>
      </c>
      <c r="D575" s="96">
        <f>D576+D579</f>
        <v>5515.4</v>
      </c>
      <c r="E575" s="96">
        <f t="shared" ref="E575:F575" si="172">E576+E579</f>
        <v>0</v>
      </c>
      <c r="F575" s="96">
        <f t="shared" si="172"/>
        <v>0</v>
      </c>
    </row>
    <row r="576" spans="1:10" ht="65.25" customHeight="1" x14ac:dyDescent="0.2">
      <c r="A576" s="178">
        <v>1520200000</v>
      </c>
      <c r="B576" s="84"/>
      <c r="C576" s="101" t="s">
        <v>622</v>
      </c>
      <c r="D576" s="41">
        <f t="shared" ref="D576:F577" si="173">D577</f>
        <v>2558.6999999999998</v>
      </c>
      <c r="E576" s="41">
        <f t="shared" si="173"/>
        <v>0</v>
      </c>
      <c r="F576" s="41">
        <f t="shared" si="173"/>
        <v>0</v>
      </c>
    </row>
    <row r="577" spans="1:7" ht="24.75" customHeight="1" x14ac:dyDescent="0.2">
      <c r="A577" s="178">
        <v>1520224007</v>
      </c>
      <c r="B577" s="84"/>
      <c r="C577" s="101" t="s">
        <v>630</v>
      </c>
      <c r="D577" s="41">
        <f t="shared" si="173"/>
        <v>2558.6999999999998</v>
      </c>
      <c r="E577" s="41">
        <f t="shared" si="173"/>
        <v>0</v>
      </c>
      <c r="F577" s="41">
        <f t="shared" si="173"/>
        <v>0</v>
      </c>
    </row>
    <row r="578" spans="1:7" ht="38.25" x14ac:dyDescent="0.2">
      <c r="A578" s="178">
        <v>1520224007</v>
      </c>
      <c r="B578" s="84" t="s">
        <v>214</v>
      </c>
      <c r="C578" s="101" t="s">
        <v>215</v>
      </c>
      <c r="D578" s="41">
        <f>2222.1+336.7-0.2+0.1</f>
        <v>2558.6999999999998</v>
      </c>
      <c r="E578" s="41">
        <v>0</v>
      </c>
      <c r="F578" s="41">
        <v>0</v>
      </c>
    </row>
    <row r="579" spans="1:7" ht="25.5" x14ac:dyDescent="0.2">
      <c r="A579" s="154">
        <v>1520300000</v>
      </c>
      <c r="B579" s="92"/>
      <c r="C579" s="126" t="s">
        <v>705</v>
      </c>
      <c r="D579" s="41">
        <f t="shared" ref="D579:F579" si="174">D580</f>
        <v>2956.7000000000003</v>
      </c>
      <c r="E579" s="41">
        <f t="shared" si="174"/>
        <v>0</v>
      </c>
      <c r="F579" s="41">
        <f t="shared" si="174"/>
        <v>0</v>
      </c>
    </row>
    <row r="580" spans="1:7" ht="51" x14ac:dyDescent="0.2">
      <c r="A580" s="154">
        <v>1520324012</v>
      </c>
      <c r="B580" s="84"/>
      <c r="C580" s="100" t="s">
        <v>706</v>
      </c>
      <c r="D580" s="41">
        <f>SUM(D581:D582)</f>
        <v>2956.7000000000003</v>
      </c>
      <c r="E580" s="41">
        <f>E581</f>
        <v>0</v>
      </c>
      <c r="F580" s="41">
        <f>F581</f>
        <v>0</v>
      </c>
    </row>
    <row r="581" spans="1:7" ht="38.25" x14ac:dyDescent="0.2">
      <c r="A581" s="154">
        <v>1520324012</v>
      </c>
      <c r="B581" s="84" t="s">
        <v>214</v>
      </c>
      <c r="C581" s="101" t="s">
        <v>215</v>
      </c>
      <c r="D581" s="41">
        <f>2993-41.1</f>
        <v>2951.9</v>
      </c>
      <c r="E581" s="41">
        <v>0</v>
      </c>
      <c r="F581" s="41">
        <v>0</v>
      </c>
    </row>
    <row r="582" spans="1:7" x14ac:dyDescent="0.2">
      <c r="A582" s="188">
        <v>1520324012</v>
      </c>
      <c r="B582" s="84" t="s">
        <v>693</v>
      </c>
      <c r="C582" s="101" t="s">
        <v>694</v>
      </c>
      <c r="D582" s="41">
        <v>4.8</v>
      </c>
      <c r="E582" s="41">
        <v>0</v>
      </c>
      <c r="F582" s="41">
        <v>0</v>
      </c>
    </row>
    <row r="583" spans="1:7" ht="80.25" customHeight="1" x14ac:dyDescent="0.25">
      <c r="A583" s="73" t="s">
        <v>230</v>
      </c>
      <c r="B583" s="16"/>
      <c r="C583" s="64" t="s">
        <v>652</v>
      </c>
      <c r="D583" s="59">
        <f t="shared" ref="D583:F583" si="175">D584</f>
        <v>4366</v>
      </c>
      <c r="E583" s="59">
        <f t="shared" si="175"/>
        <v>5033.1000000000004</v>
      </c>
      <c r="F583" s="59">
        <f t="shared" si="175"/>
        <v>1601.3999999999999</v>
      </c>
      <c r="G583" s="107"/>
    </row>
    <row r="584" spans="1:7" ht="38.25" x14ac:dyDescent="0.2">
      <c r="A584" s="52" t="s">
        <v>231</v>
      </c>
      <c r="B584" s="47"/>
      <c r="C584" s="48" t="s">
        <v>232</v>
      </c>
      <c r="D584" s="96">
        <f>D585+D596</f>
        <v>4366</v>
      </c>
      <c r="E584" s="96">
        <f t="shared" ref="E584:F584" si="176">E585+E596</f>
        <v>5033.1000000000004</v>
      </c>
      <c r="F584" s="96">
        <f t="shared" si="176"/>
        <v>1601.3999999999999</v>
      </c>
      <c r="G584" s="107"/>
    </row>
    <row r="585" spans="1:7" ht="38.25" x14ac:dyDescent="0.2">
      <c r="A585" s="21" t="s">
        <v>233</v>
      </c>
      <c r="B585" s="84"/>
      <c r="C585" s="101" t="s">
        <v>234</v>
      </c>
      <c r="D585" s="41">
        <f>D586+D588+D590+D592+D594</f>
        <v>400</v>
      </c>
      <c r="E585" s="41">
        <f t="shared" ref="E585:F585" si="177">E586+E588+E590+E592+E594</f>
        <v>3310.6</v>
      </c>
      <c r="F585" s="41">
        <f t="shared" si="177"/>
        <v>0</v>
      </c>
      <c r="G585" s="107"/>
    </row>
    <row r="586" spans="1:7" ht="38.25" x14ac:dyDescent="0.2">
      <c r="A586" s="21" t="s">
        <v>584</v>
      </c>
      <c r="B586" s="84"/>
      <c r="C586" s="101" t="s">
        <v>352</v>
      </c>
      <c r="D586" s="41">
        <f>D587</f>
        <v>0</v>
      </c>
      <c r="E586" s="41">
        <f>E587</f>
        <v>2381.1999999999998</v>
      </c>
      <c r="F586" s="41">
        <f>F587</f>
        <v>0</v>
      </c>
      <c r="G586" s="107"/>
    </row>
    <row r="587" spans="1:7" ht="38.25" x14ac:dyDescent="0.2">
      <c r="A587" s="21" t="s">
        <v>584</v>
      </c>
      <c r="B587" s="84" t="s">
        <v>214</v>
      </c>
      <c r="C587" s="101" t="s">
        <v>215</v>
      </c>
      <c r="D587" s="41">
        <v>0</v>
      </c>
      <c r="E587" s="41">
        <v>2381.1999999999998</v>
      </c>
      <c r="F587" s="41">
        <v>0</v>
      </c>
    </row>
    <row r="588" spans="1:7" ht="26.25" customHeight="1" x14ac:dyDescent="0.2">
      <c r="A588" s="21" t="s">
        <v>586</v>
      </c>
      <c r="B588" s="84"/>
      <c r="C588" s="101" t="s">
        <v>585</v>
      </c>
      <c r="D588" s="41">
        <f>D589</f>
        <v>0</v>
      </c>
      <c r="E588" s="41">
        <f>E589</f>
        <v>500</v>
      </c>
      <c r="F588" s="41">
        <f>F589</f>
        <v>0</v>
      </c>
    </row>
    <row r="589" spans="1:7" ht="38.25" x14ac:dyDescent="0.2">
      <c r="A589" s="21" t="s">
        <v>586</v>
      </c>
      <c r="B589" s="84" t="s">
        <v>214</v>
      </c>
      <c r="C589" s="101" t="s">
        <v>215</v>
      </c>
      <c r="D589" s="41">
        <v>0</v>
      </c>
      <c r="E589" s="41">
        <v>500</v>
      </c>
      <c r="F589" s="41">
        <v>0</v>
      </c>
    </row>
    <row r="590" spans="1:7" x14ac:dyDescent="0.2">
      <c r="A590" s="21" t="s">
        <v>587</v>
      </c>
      <c r="B590" s="16"/>
      <c r="C590" s="101" t="s">
        <v>340</v>
      </c>
      <c r="D590" s="41">
        <f>D591</f>
        <v>400</v>
      </c>
      <c r="E590" s="41">
        <f>E591</f>
        <v>400</v>
      </c>
      <c r="F590" s="41">
        <f>F591</f>
        <v>0</v>
      </c>
    </row>
    <row r="591" spans="1:7" ht="38.25" x14ac:dyDescent="0.2">
      <c r="A591" s="21" t="s">
        <v>587</v>
      </c>
      <c r="B591" s="84" t="s">
        <v>214</v>
      </c>
      <c r="C591" s="101" t="s">
        <v>215</v>
      </c>
      <c r="D591" s="41">
        <v>400</v>
      </c>
      <c r="E591" s="41">
        <v>400</v>
      </c>
      <c r="F591" s="41">
        <v>0</v>
      </c>
    </row>
    <row r="592" spans="1:7" ht="38.25" x14ac:dyDescent="0.2">
      <c r="A592" s="21" t="s">
        <v>588</v>
      </c>
      <c r="B592" s="16"/>
      <c r="C592" s="101" t="s">
        <v>373</v>
      </c>
      <c r="D592" s="97">
        <f t="shared" ref="D592:F594" si="178">D593</f>
        <v>0</v>
      </c>
      <c r="E592" s="97">
        <f t="shared" si="178"/>
        <v>23.4</v>
      </c>
      <c r="F592" s="97">
        <f t="shared" si="178"/>
        <v>0</v>
      </c>
    </row>
    <row r="593" spans="1:8" ht="38.25" x14ac:dyDescent="0.2">
      <c r="A593" s="21" t="s">
        <v>588</v>
      </c>
      <c r="B593" s="84" t="s">
        <v>214</v>
      </c>
      <c r="C593" s="101" t="s">
        <v>215</v>
      </c>
      <c r="D593" s="41">
        <v>0</v>
      </c>
      <c r="E593" s="41">
        <v>23.4</v>
      </c>
      <c r="F593" s="41">
        <v>0</v>
      </c>
    </row>
    <row r="594" spans="1:8" ht="25.5" x14ac:dyDescent="0.2">
      <c r="A594" s="21" t="s">
        <v>589</v>
      </c>
      <c r="B594" s="16"/>
      <c r="C594" s="101" t="s">
        <v>374</v>
      </c>
      <c r="D594" s="97">
        <f t="shared" si="178"/>
        <v>0</v>
      </c>
      <c r="E594" s="97">
        <f t="shared" si="178"/>
        <v>6</v>
      </c>
      <c r="F594" s="97">
        <f t="shared" si="178"/>
        <v>0</v>
      </c>
    </row>
    <row r="595" spans="1:8" ht="38.25" x14ac:dyDescent="0.2">
      <c r="A595" s="21" t="s">
        <v>589</v>
      </c>
      <c r="B595" s="84" t="s">
        <v>214</v>
      </c>
      <c r="C595" s="101" t="s">
        <v>215</v>
      </c>
      <c r="D595" s="41">
        <v>0</v>
      </c>
      <c r="E595" s="41">
        <v>6</v>
      </c>
      <c r="F595" s="41">
        <v>0</v>
      </c>
    </row>
    <row r="596" spans="1:8" ht="53.25" customHeight="1" x14ac:dyDescent="0.2">
      <c r="A596" s="51" t="s">
        <v>582</v>
      </c>
      <c r="B596" s="84"/>
      <c r="C596" s="101" t="s">
        <v>583</v>
      </c>
      <c r="D596" s="41">
        <f>D597+D599</f>
        <v>3966</v>
      </c>
      <c r="E596" s="41">
        <f t="shared" ref="E596:F596" si="179">E597+E599</f>
        <v>1722.5</v>
      </c>
      <c r="F596" s="41">
        <f t="shared" si="179"/>
        <v>1601.3999999999999</v>
      </c>
    </row>
    <row r="597" spans="1:8" ht="38.25" x14ac:dyDescent="0.2">
      <c r="A597" s="51" t="s">
        <v>368</v>
      </c>
      <c r="B597" s="84"/>
      <c r="C597" s="101" t="s">
        <v>363</v>
      </c>
      <c r="D597" s="41">
        <f>D598</f>
        <v>882.99999999999989</v>
      </c>
      <c r="E597" s="41">
        <f>E598</f>
        <v>443.5</v>
      </c>
      <c r="F597" s="41">
        <f>F598</f>
        <v>320.3</v>
      </c>
    </row>
    <row r="598" spans="1:8" ht="38.25" x14ac:dyDescent="0.2">
      <c r="A598" s="51" t="s">
        <v>368</v>
      </c>
      <c r="B598" s="84" t="s">
        <v>214</v>
      </c>
      <c r="C598" s="101" t="s">
        <v>215</v>
      </c>
      <c r="D598" s="41">
        <f>844.9+1003.2-965.1</f>
        <v>882.99999999999989</v>
      </c>
      <c r="E598" s="41">
        <v>443.5</v>
      </c>
      <c r="F598" s="41">
        <v>320.3</v>
      </c>
    </row>
    <row r="599" spans="1:8" ht="51" x14ac:dyDescent="0.2">
      <c r="A599" s="51" t="s">
        <v>369</v>
      </c>
      <c r="B599" s="84"/>
      <c r="C599" s="101" t="s">
        <v>361</v>
      </c>
      <c r="D599" s="41">
        <f>D600</f>
        <v>3083</v>
      </c>
      <c r="E599" s="41">
        <f>E600</f>
        <v>1279</v>
      </c>
      <c r="F599" s="41">
        <f>F600</f>
        <v>1281.0999999999999</v>
      </c>
    </row>
    <row r="600" spans="1:8" ht="38.25" x14ac:dyDescent="0.2">
      <c r="A600" s="51" t="s">
        <v>369</v>
      </c>
      <c r="B600" s="84" t="s">
        <v>214</v>
      </c>
      <c r="C600" s="101" t="s">
        <v>215</v>
      </c>
      <c r="D600" s="163">
        <f>1279+2116-312</f>
        <v>3083</v>
      </c>
      <c r="E600" s="163">
        <v>1279</v>
      </c>
      <c r="F600" s="163">
        <v>1281.0999999999999</v>
      </c>
    </row>
    <row r="601" spans="1:8" ht="25.5" x14ac:dyDescent="0.2">
      <c r="A601" s="85">
        <v>9900000000</v>
      </c>
      <c r="B601" s="73"/>
      <c r="C601" s="145" t="s">
        <v>147</v>
      </c>
      <c r="D601" s="99">
        <f>D602+D605+D617+D628+D641+D648</f>
        <v>108287.49999999999</v>
      </c>
      <c r="E601" s="99">
        <f>E602+E605+E617+E628+E641+E648</f>
        <v>101217.5</v>
      </c>
      <c r="F601" s="99">
        <f>F602+F605+F617+F628+F641+F648</f>
        <v>101222.8</v>
      </c>
      <c r="H601" s="107"/>
    </row>
    <row r="602" spans="1:8" x14ac:dyDescent="0.2">
      <c r="A602" s="80">
        <v>9920000000</v>
      </c>
      <c r="B602" s="73"/>
      <c r="C602" s="156" t="s">
        <v>5</v>
      </c>
      <c r="D602" s="102">
        <f t="shared" ref="D602:F602" si="180">D603</f>
        <v>100</v>
      </c>
      <c r="E602" s="102">
        <f t="shared" si="180"/>
        <v>500</v>
      </c>
      <c r="F602" s="102">
        <f t="shared" si="180"/>
        <v>500</v>
      </c>
    </row>
    <row r="603" spans="1:8" ht="16.5" customHeight="1" x14ac:dyDescent="0.2">
      <c r="A603" s="80">
        <v>9920026100</v>
      </c>
      <c r="B603" s="21"/>
      <c r="C603" s="103" t="s">
        <v>11</v>
      </c>
      <c r="D603" s="39">
        <f>D604</f>
        <v>100</v>
      </c>
      <c r="E603" s="39">
        <f>SUM(E604:E604)</f>
        <v>500</v>
      </c>
      <c r="F603" s="39">
        <f>SUM(F604:F604)</f>
        <v>500</v>
      </c>
    </row>
    <row r="604" spans="1:8" x14ac:dyDescent="0.2">
      <c r="A604" s="80">
        <v>9920026100</v>
      </c>
      <c r="B604" s="16" t="s">
        <v>86</v>
      </c>
      <c r="C604" s="101" t="s">
        <v>87</v>
      </c>
      <c r="D604" s="39">
        <f>500-400</f>
        <v>100</v>
      </c>
      <c r="E604" s="39">
        <v>500</v>
      </c>
      <c r="F604" s="39">
        <v>500</v>
      </c>
    </row>
    <row r="605" spans="1:8" ht="25.5" x14ac:dyDescent="0.2">
      <c r="A605" s="80">
        <v>9930000000</v>
      </c>
      <c r="B605" s="16"/>
      <c r="C605" s="22" t="s">
        <v>42</v>
      </c>
      <c r="D605" s="39">
        <f>D606+D609+D612+D614</f>
        <v>1908</v>
      </c>
      <c r="E605" s="39">
        <f t="shared" ref="E605:F605" si="181">E606+E609+E612+E614</f>
        <v>1755.2000000000003</v>
      </c>
      <c r="F605" s="39">
        <f t="shared" si="181"/>
        <v>1760.5</v>
      </c>
    </row>
    <row r="606" spans="1:8" ht="63.75" x14ac:dyDescent="0.2">
      <c r="A606" s="80">
        <v>9930010510</v>
      </c>
      <c r="B606" s="16"/>
      <c r="C606" s="103" t="s">
        <v>16</v>
      </c>
      <c r="D606" s="39">
        <f>D607+D608</f>
        <v>398</v>
      </c>
      <c r="E606" s="39">
        <f>E607+E608</f>
        <v>401</v>
      </c>
      <c r="F606" s="39">
        <f>F607+F608</f>
        <v>405</v>
      </c>
    </row>
    <row r="607" spans="1:8" ht="25.5" x14ac:dyDescent="0.2">
      <c r="A607" s="80">
        <v>9930010510</v>
      </c>
      <c r="B607" s="16" t="s">
        <v>64</v>
      </c>
      <c r="C607" s="106" t="s">
        <v>65</v>
      </c>
      <c r="D607" s="39">
        <v>357.6</v>
      </c>
      <c r="E607" s="39">
        <v>357.6</v>
      </c>
      <c r="F607" s="39">
        <v>357.6</v>
      </c>
    </row>
    <row r="608" spans="1:8" ht="38.25" x14ac:dyDescent="0.2">
      <c r="A608" s="80">
        <v>9930010510</v>
      </c>
      <c r="B608" s="84" t="s">
        <v>214</v>
      </c>
      <c r="C608" s="101" t="s">
        <v>215</v>
      </c>
      <c r="D608" s="39">
        <v>40.4</v>
      </c>
      <c r="E608" s="39">
        <v>43.4</v>
      </c>
      <c r="F608" s="39">
        <v>47.4</v>
      </c>
    </row>
    <row r="609" spans="1:6" ht="38.25" x14ac:dyDescent="0.2">
      <c r="A609" s="80">
        <v>9930010540</v>
      </c>
      <c r="B609" s="16"/>
      <c r="C609" s="103" t="s">
        <v>17</v>
      </c>
      <c r="D609" s="39">
        <f>D610+D611</f>
        <v>217</v>
      </c>
      <c r="E609" s="39">
        <f>E610+E611</f>
        <v>219</v>
      </c>
      <c r="F609" s="39">
        <f>F610+F611</f>
        <v>221</v>
      </c>
    </row>
    <row r="610" spans="1:6" ht="25.5" x14ac:dyDescent="0.2">
      <c r="A610" s="80">
        <v>9930010540</v>
      </c>
      <c r="B610" s="16" t="s">
        <v>64</v>
      </c>
      <c r="C610" s="106" t="s">
        <v>65</v>
      </c>
      <c r="D610" s="39">
        <v>191.9</v>
      </c>
      <c r="E610" s="39">
        <v>191.9</v>
      </c>
      <c r="F610" s="39">
        <v>191.9</v>
      </c>
    </row>
    <row r="611" spans="1:6" ht="38.25" x14ac:dyDescent="0.2">
      <c r="A611" s="80">
        <v>9930010540</v>
      </c>
      <c r="B611" s="84" t="s">
        <v>214</v>
      </c>
      <c r="C611" s="101" t="s">
        <v>215</v>
      </c>
      <c r="D611" s="39">
        <v>25.1</v>
      </c>
      <c r="E611" s="39">
        <v>27.1</v>
      </c>
      <c r="F611" s="39">
        <v>29.1</v>
      </c>
    </row>
    <row r="612" spans="1:6" ht="63.75" x14ac:dyDescent="0.2">
      <c r="A612" s="80">
        <v>9930051200</v>
      </c>
      <c r="B612" s="72"/>
      <c r="C612" s="54" t="s">
        <v>288</v>
      </c>
      <c r="D612" s="116">
        <f t="shared" ref="D612:F612" si="182">D613</f>
        <v>96.3</v>
      </c>
      <c r="E612" s="116">
        <f t="shared" si="182"/>
        <v>6.6</v>
      </c>
      <c r="F612" s="116">
        <f t="shared" si="182"/>
        <v>5.9</v>
      </c>
    </row>
    <row r="613" spans="1:6" ht="38.25" x14ac:dyDescent="0.2">
      <c r="A613" s="80">
        <v>9930051200</v>
      </c>
      <c r="B613" s="84" t="s">
        <v>214</v>
      </c>
      <c r="C613" s="101" t="s">
        <v>215</v>
      </c>
      <c r="D613" s="116">
        <v>96.3</v>
      </c>
      <c r="E613" s="116">
        <v>6.6</v>
      </c>
      <c r="F613" s="116">
        <v>5.9</v>
      </c>
    </row>
    <row r="614" spans="1:6" ht="38.25" customHeight="1" x14ac:dyDescent="0.2">
      <c r="A614" s="80">
        <v>9930059302</v>
      </c>
      <c r="B614" s="16"/>
      <c r="C614" s="146" t="s">
        <v>380</v>
      </c>
      <c r="D614" s="39">
        <f t="shared" ref="D614:E614" si="183">SUM(D615:D616)</f>
        <v>1196.7</v>
      </c>
      <c r="E614" s="39">
        <f t="shared" si="183"/>
        <v>1128.6000000000001</v>
      </c>
      <c r="F614" s="39">
        <f t="shared" ref="F614" si="184">SUM(F615:F616)</f>
        <v>1128.6000000000001</v>
      </c>
    </row>
    <row r="615" spans="1:6" ht="25.5" x14ac:dyDescent="0.2">
      <c r="A615" s="80">
        <v>9930059302</v>
      </c>
      <c r="B615" s="16" t="s">
        <v>64</v>
      </c>
      <c r="C615" s="55" t="s">
        <v>65</v>
      </c>
      <c r="D615" s="39">
        <v>1057.4000000000001</v>
      </c>
      <c r="E615" s="39">
        <v>1057.4000000000001</v>
      </c>
      <c r="F615" s="39">
        <v>1057.4000000000001</v>
      </c>
    </row>
    <row r="616" spans="1:6" ht="38.25" x14ac:dyDescent="0.2">
      <c r="A616" s="80">
        <v>9930059302</v>
      </c>
      <c r="B616" s="84" t="s">
        <v>214</v>
      </c>
      <c r="C616" s="101" t="s">
        <v>215</v>
      </c>
      <c r="D616" s="39">
        <v>139.30000000000001</v>
      </c>
      <c r="E616" s="39">
        <v>71.2</v>
      </c>
      <c r="F616" s="39">
        <v>71.2</v>
      </c>
    </row>
    <row r="617" spans="1:6" ht="25.5" x14ac:dyDescent="0.2">
      <c r="A617" s="16" t="s">
        <v>26</v>
      </c>
      <c r="B617" s="16"/>
      <c r="C617" s="103" t="s">
        <v>40</v>
      </c>
      <c r="D617" s="39">
        <f>D618+D624+D620+D626</f>
        <v>6499.8</v>
      </c>
      <c r="E617" s="39">
        <f t="shared" ref="E617:F617" si="185">E618+E624+E620+E626</f>
        <v>1295</v>
      </c>
      <c r="F617" s="39">
        <f t="shared" si="185"/>
        <v>1295</v>
      </c>
    </row>
    <row r="618" spans="1:6" ht="38.25" x14ac:dyDescent="0.2">
      <c r="A618" s="84" t="s">
        <v>629</v>
      </c>
      <c r="B618" s="16"/>
      <c r="C618" s="54" t="s">
        <v>627</v>
      </c>
      <c r="D618" s="41">
        <f>SUM(D619:D619)</f>
        <v>600</v>
      </c>
      <c r="E618" s="41">
        <f>SUM(E619:E619)</f>
        <v>0</v>
      </c>
      <c r="F618" s="41">
        <f>SUM(F619:F619)</f>
        <v>0</v>
      </c>
    </row>
    <row r="619" spans="1:6" ht="38.25" x14ac:dyDescent="0.2">
      <c r="A619" s="84" t="s">
        <v>629</v>
      </c>
      <c r="B619" s="84" t="s">
        <v>214</v>
      </c>
      <c r="C619" s="101" t="s">
        <v>215</v>
      </c>
      <c r="D619" s="39">
        <f>300+175+175+50-100</f>
        <v>600</v>
      </c>
      <c r="E619" s="39">
        <v>0</v>
      </c>
      <c r="F619" s="39">
        <v>0</v>
      </c>
    </row>
    <row r="620" spans="1:6" ht="25.5" x14ac:dyDescent="0.2">
      <c r="A620" s="83" t="s">
        <v>590</v>
      </c>
      <c r="B620" s="16"/>
      <c r="C620" s="22" t="s">
        <v>41</v>
      </c>
      <c r="D620" s="39">
        <f>SUM(D621:D623)</f>
        <v>5596.8</v>
      </c>
      <c r="E620" s="39">
        <f>SUM(E621:E623)</f>
        <v>1270</v>
      </c>
      <c r="F620" s="39">
        <f>SUM(F621:F623)</f>
        <v>1270</v>
      </c>
    </row>
    <row r="621" spans="1:6" ht="38.25" x14ac:dyDescent="0.2">
      <c r="A621" s="83" t="s">
        <v>590</v>
      </c>
      <c r="B621" s="84" t="s">
        <v>214</v>
      </c>
      <c r="C621" s="101" t="s">
        <v>215</v>
      </c>
      <c r="D621" s="39">
        <f>242-7.7</f>
        <v>234.3</v>
      </c>
      <c r="E621" s="39">
        <v>242</v>
      </c>
      <c r="F621" s="39">
        <v>242</v>
      </c>
    </row>
    <row r="622" spans="1:6" x14ac:dyDescent="0.2">
      <c r="A622" s="83" t="s">
        <v>590</v>
      </c>
      <c r="B622" s="16" t="s">
        <v>83</v>
      </c>
      <c r="C622" s="101" t="s">
        <v>84</v>
      </c>
      <c r="D622" s="39">
        <f>426-196.1</f>
        <v>229.9</v>
      </c>
      <c r="E622" s="39">
        <v>426</v>
      </c>
      <c r="F622" s="39">
        <v>426</v>
      </c>
    </row>
    <row r="623" spans="1:6" x14ac:dyDescent="0.2">
      <c r="A623" s="83" t="s">
        <v>590</v>
      </c>
      <c r="B623" s="83" t="s">
        <v>133</v>
      </c>
      <c r="C623" s="101" t="s">
        <v>134</v>
      </c>
      <c r="D623" s="39">
        <f>602-1+1000+2886+441.8+203.8</f>
        <v>5132.6000000000004</v>
      </c>
      <c r="E623" s="39">
        <v>602</v>
      </c>
      <c r="F623" s="39">
        <v>602</v>
      </c>
    </row>
    <row r="624" spans="1:6" ht="25.5" x14ac:dyDescent="0.2">
      <c r="A624" s="148">
        <v>9940026500</v>
      </c>
      <c r="B624" s="148"/>
      <c r="C624" s="199" t="s">
        <v>759</v>
      </c>
      <c r="D624" s="39">
        <f>D625</f>
        <v>3</v>
      </c>
      <c r="E624" s="39">
        <f t="shared" ref="E624:F624" si="186">E625</f>
        <v>25</v>
      </c>
      <c r="F624" s="39">
        <f t="shared" si="186"/>
        <v>25</v>
      </c>
    </row>
    <row r="625" spans="1:6" x14ac:dyDescent="0.2">
      <c r="A625" s="148">
        <v>9940026500</v>
      </c>
      <c r="B625" s="84" t="s">
        <v>760</v>
      </c>
      <c r="C625" s="148" t="s">
        <v>761</v>
      </c>
      <c r="D625" s="39">
        <f>4.2-1.2</f>
        <v>3</v>
      </c>
      <c r="E625" s="39">
        <v>25</v>
      </c>
      <c r="F625" s="39">
        <f>20.8+4.2</f>
        <v>25</v>
      </c>
    </row>
    <row r="626" spans="1:6" ht="38.25" x14ac:dyDescent="0.2">
      <c r="A626" s="84" t="s">
        <v>628</v>
      </c>
      <c r="B626" s="16"/>
      <c r="C626" s="54" t="s">
        <v>627</v>
      </c>
      <c r="D626" s="41">
        <f>SUM(D627:D627)</f>
        <v>300</v>
      </c>
      <c r="E626" s="41">
        <f>SUM(E627:E627)</f>
        <v>0</v>
      </c>
      <c r="F626" s="41">
        <f>SUM(F627:F627)</f>
        <v>0</v>
      </c>
    </row>
    <row r="627" spans="1:6" ht="38.25" x14ac:dyDescent="0.2">
      <c r="A627" s="84" t="s">
        <v>628</v>
      </c>
      <c r="B627" s="84" t="s">
        <v>214</v>
      </c>
      <c r="C627" s="101" t="s">
        <v>215</v>
      </c>
      <c r="D627" s="39">
        <f>100+100+100</f>
        <v>300</v>
      </c>
      <c r="E627" s="39">
        <v>0</v>
      </c>
      <c r="F627" s="39">
        <v>0</v>
      </c>
    </row>
    <row r="628" spans="1:6" x14ac:dyDescent="0.2">
      <c r="A628" s="83" t="s">
        <v>197</v>
      </c>
      <c r="B628" s="83"/>
      <c r="C628" s="101" t="s">
        <v>292</v>
      </c>
      <c r="D628" s="39">
        <f>D629+D633+D636</f>
        <v>37141</v>
      </c>
      <c r="E628" s="39">
        <f>E629+E633+E636</f>
        <v>36889</v>
      </c>
      <c r="F628" s="39">
        <f>F629+F633+F636</f>
        <v>36889</v>
      </c>
    </row>
    <row r="629" spans="1:6" ht="51" customHeight="1" x14ac:dyDescent="0.2">
      <c r="A629" s="21" t="s">
        <v>591</v>
      </c>
      <c r="B629" s="47"/>
      <c r="C629" s="54" t="s">
        <v>595</v>
      </c>
      <c r="D629" s="41">
        <f>SUM(D630:D632)</f>
        <v>5196.7000000000007</v>
      </c>
      <c r="E629" s="41">
        <f t="shared" ref="E629:F629" si="187">SUM(E630:E632)</f>
        <v>5170.7000000000007</v>
      </c>
      <c r="F629" s="41">
        <f t="shared" si="187"/>
        <v>5170.7000000000007</v>
      </c>
    </row>
    <row r="630" spans="1:6" ht="25.5" x14ac:dyDescent="0.2">
      <c r="A630" s="21" t="s">
        <v>591</v>
      </c>
      <c r="B630" s="16" t="s">
        <v>66</v>
      </c>
      <c r="C630" s="106" t="s">
        <v>132</v>
      </c>
      <c r="D630" s="41">
        <f>4661.6-8</f>
        <v>4653.6000000000004</v>
      </c>
      <c r="E630" s="41">
        <v>4661.6000000000004</v>
      </c>
      <c r="F630" s="41">
        <v>4661.6000000000004</v>
      </c>
    </row>
    <row r="631" spans="1:6" ht="38.25" x14ac:dyDescent="0.2">
      <c r="A631" s="21" t="s">
        <v>591</v>
      </c>
      <c r="B631" s="84" t="s">
        <v>214</v>
      </c>
      <c r="C631" s="101" t="s">
        <v>215</v>
      </c>
      <c r="D631" s="41">
        <f>504.1+15+8+11+1.9</f>
        <v>540</v>
      </c>
      <c r="E631" s="41">
        <v>504.1</v>
      </c>
      <c r="F631" s="41">
        <v>504.1</v>
      </c>
    </row>
    <row r="632" spans="1:6" x14ac:dyDescent="0.2">
      <c r="A632" s="21" t="s">
        <v>591</v>
      </c>
      <c r="B632" s="83" t="s">
        <v>133</v>
      </c>
      <c r="C632" s="101" t="s">
        <v>134</v>
      </c>
      <c r="D632" s="41">
        <f>5-1.9</f>
        <v>3.1</v>
      </c>
      <c r="E632" s="41">
        <v>5</v>
      </c>
      <c r="F632" s="41">
        <v>5</v>
      </c>
    </row>
    <row r="633" spans="1:6" ht="38.25" x14ac:dyDescent="0.2">
      <c r="A633" s="21" t="s">
        <v>592</v>
      </c>
      <c r="B633" s="47"/>
      <c r="C633" s="54" t="s">
        <v>291</v>
      </c>
      <c r="D633" s="41">
        <f>SUM(D634:D635)</f>
        <v>8859.7999999999993</v>
      </c>
      <c r="E633" s="41">
        <f>SUM(E634:E635)</f>
        <v>8889.5999999999985</v>
      </c>
      <c r="F633" s="41">
        <f>SUM(F634:F635)</f>
        <v>8889.5999999999985</v>
      </c>
    </row>
    <row r="634" spans="1:6" ht="25.5" x14ac:dyDescent="0.2">
      <c r="A634" s="21" t="s">
        <v>592</v>
      </c>
      <c r="B634" s="16" t="s">
        <v>66</v>
      </c>
      <c r="C634" s="106" t="s">
        <v>132</v>
      </c>
      <c r="D634" s="41">
        <f>8093.2+15.4-175.2+145.4</f>
        <v>8078.7999999999993</v>
      </c>
      <c r="E634" s="41">
        <f>8093.2+15.4</f>
        <v>8108.5999999999995</v>
      </c>
      <c r="F634" s="41">
        <f>8093.2+15.4</f>
        <v>8108.5999999999995</v>
      </c>
    </row>
    <row r="635" spans="1:6" ht="38.25" x14ac:dyDescent="0.2">
      <c r="A635" s="21" t="s">
        <v>592</v>
      </c>
      <c r="B635" s="84" t="s">
        <v>214</v>
      </c>
      <c r="C635" s="101" t="s">
        <v>215</v>
      </c>
      <c r="D635" s="41">
        <f>796.4-15.4</f>
        <v>781</v>
      </c>
      <c r="E635" s="41">
        <f>796.4-15.4</f>
        <v>781</v>
      </c>
      <c r="F635" s="41">
        <f>796.4-15.4</f>
        <v>781</v>
      </c>
    </row>
    <row r="636" spans="1:6" ht="56.25" customHeight="1" x14ac:dyDescent="0.2">
      <c r="A636" s="21" t="s">
        <v>594</v>
      </c>
      <c r="B636" s="47"/>
      <c r="C636" s="54" t="s">
        <v>593</v>
      </c>
      <c r="D636" s="41">
        <f>SUM(D637:D640)</f>
        <v>23084.499999999996</v>
      </c>
      <c r="E636" s="41">
        <f>SUM(E637:E640)</f>
        <v>22828.699999999997</v>
      </c>
      <c r="F636" s="41">
        <f>SUM(F637:F640)</f>
        <v>22828.699999999997</v>
      </c>
    </row>
    <row r="637" spans="1:6" ht="25.5" x14ac:dyDescent="0.2">
      <c r="A637" s="21" t="s">
        <v>594</v>
      </c>
      <c r="B637" s="16" t="s">
        <v>66</v>
      </c>
      <c r="C637" s="106" t="s">
        <v>132</v>
      </c>
      <c r="D637" s="41">
        <f>9083.3+429.9+366.5</f>
        <v>9879.6999999999989</v>
      </c>
      <c r="E637" s="41">
        <v>9083.2999999999993</v>
      </c>
      <c r="F637" s="41">
        <v>9083.2999999999993</v>
      </c>
    </row>
    <row r="638" spans="1:6" ht="38.25" x14ac:dyDescent="0.2">
      <c r="A638" s="21" t="s">
        <v>594</v>
      </c>
      <c r="B638" s="84" t="s">
        <v>214</v>
      </c>
      <c r="C638" s="101" t="s">
        <v>215</v>
      </c>
      <c r="D638" s="41">
        <f>13621.8-110.7-429.9</f>
        <v>13081.199999999999</v>
      </c>
      <c r="E638" s="41">
        <v>13621.8</v>
      </c>
      <c r="F638" s="41">
        <v>13621.8</v>
      </c>
    </row>
    <row r="639" spans="1:6" x14ac:dyDescent="0.2">
      <c r="A639" s="21" t="s">
        <v>594</v>
      </c>
      <c r="B639" s="84" t="s">
        <v>693</v>
      </c>
      <c r="C639" s="101" t="s">
        <v>694</v>
      </c>
      <c r="D639" s="116">
        <v>0.1</v>
      </c>
      <c r="E639" s="116">
        <v>0</v>
      </c>
      <c r="F639" s="116">
        <v>0</v>
      </c>
    </row>
    <row r="640" spans="1:6" x14ac:dyDescent="0.2">
      <c r="A640" s="21" t="s">
        <v>594</v>
      </c>
      <c r="B640" s="84" t="s">
        <v>133</v>
      </c>
      <c r="C640" s="101" t="s">
        <v>134</v>
      </c>
      <c r="D640" s="116">
        <f>123.6-0.1</f>
        <v>123.5</v>
      </c>
      <c r="E640" s="116">
        <v>123.6</v>
      </c>
      <c r="F640" s="116">
        <v>123.6</v>
      </c>
    </row>
    <row r="641" spans="1:6" ht="38.25" x14ac:dyDescent="0.2">
      <c r="A641" s="114">
        <v>9980000000</v>
      </c>
      <c r="B641" s="115"/>
      <c r="C641" s="101" t="s">
        <v>31</v>
      </c>
      <c r="D641" s="116">
        <f>D642+D644</f>
        <v>57473.799999999988</v>
      </c>
      <c r="E641" s="116">
        <f t="shared" ref="E641:F641" si="188">E642+E644</f>
        <v>55668</v>
      </c>
      <c r="F641" s="116">
        <f t="shared" si="188"/>
        <v>55668</v>
      </c>
    </row>
    <row r="642" spans="1:6" x14ac:dyDescent="0.2">
      <c r="A642" s="80">
        <v>9980022100</v>
      </c>
      <c r="B642" s="16"/>
      <c r="C642" s="22" t="s">
        <v>116</v>
      </c>
      <c r="D642" s="39">
        <f t="shared" ref="D642:F642" si="189">D643</f>
        <v>1580</v>
      </c>
      <c r="E642" s="39">
        <f t="shared" si="189"/>
        <v>1580</v>
      </c>
      <c r="F642" s="39">
        <f t="shared" si="189"/>
        <v>1580</v>
      </c>
    </row>
    <row r="643" spans="1:6" ht="25.5" x14ac:dyDescent="0.2">
      <c r="A643" s="80">
        <v>9980022100</v>
      </c>
      <c r="B643" s="16" t="s">
        <v>64</v>
      </c>
      <c r="C643" s="129" t="s">
        <v>80</v>
      </c>
      <c r="D643" s="39">
        <v>1580</v>
      </c>
      <c r="E643" s="39">
        <v>1580</v>
      </c>
      <c r="F643" s="39">
        <v>1580</v>
      </c>
    </row>
    <row r="644" spans="1:6" x14ac:dyDescent="0.2">
      <c r="A644" s="172">
        <v>9980022200</v>
      </c>
      <c r="B644" s="21"/>
      <c r="C644" s="22" t="s">
        <v>117</v>
      </c>
      <c r="D644" s="39">
        <f>SUM(D645:D647)</f>
        <v>55893.799999999988</v>
      </c>
      <c r="E644" s="39">
        <f t="shared" ref="E644:F644" si="190">SUM(E645:E647)</f>
        <v>54088</v>
      </c>
      <c r="F644" s="39">
        <f t="shared" si="190"/>
        <v>54088</v>
      </c>
    </row>
    <row r="645" spans="1:6" ht="25.5" x14ac:dyDescent="0.2">
      <c r="A645" s="172">
        <v>9980022200</v>
      </c>
      <c r="B645" s="16" t="s">
        <v>64</v>
      </c>
      <c r="C645" s="55" t="s">
        <v>65</v>
      </c>
      <c r="D645" s="39">
        <f>156.2+42052.6+8799.1-156.2-96.1-1.3+189-206.9+308.1+1453.1+0.1+8</f>
        <v>52505.69999999999</v>
      </c>
      <c r="E645" s="39">
        <f>156.2+42052.6+8799.1-156.2</f>
        <v>50851.7</v>
      </c>
      <c r="F645" s="39">
        <f>156.2+42052.6+8799.1-156.2</f>
        <v>50851.7</v>
      </c>
    </row>
    <row r="646" spans="1:6" ht="38.25" x14ac:dyDescent="0.2">
      <c r="A646" s="177">
        <v>9980022200</v>
      </c>
      <c r="B646" s="84" t="s">
        <v>214</v>
      </c>
      <c r="C646" s="101" t="s">
        <v>215</v>
      </c>
      <c r="D646" s="39">
        <f>191.2+2743+448.9+44.5-191.2+96.1-189+211.7-8</f>
        <v>3347.2</v>
      </c>
      <c r="E646" s="39">
        <f>191.2+2743+448.9-191.2</f>
        <v>3191.9</v>
      </c>
      <c r="F646" s="39">
        <f>191.2+2743+448.9-191.2</f>
        <v>3191.9</v>
      </c>
    </row>
    <row r="647" spans="1:6" x14ac:dyDescent="0.2">
      <c r="A647" s="177">
        <v>9980022200</v>
      </c>
      <c r="B647" s="84" t="s">
        <v>133</v>
      </c>
      <c r="C647" s="101" t="s">
        <v>134</v>
      </c>
      <c r="D647" s="41">
        <f>44.4+1.3-4.8</f>
        <v>40.9</v>
      </c>
      <c r="E647" s="41">
        <v>44.4</v>
      </c>
      <c r="F647" s="41">
        <v>44.4</v>
      </c>
    </row>
    <row r="648" spans="1:6" s="32" customFormat="1" ht="38.25" x14ac:dyDescent="0.2">
      <c r="A648" s="80">
        <v>9990000000</v>
      </c>
      <c r="B648" s="16"/>
      <c r="C648" s="54" t="s">
        <v>30</v>
      </c>
      <c r="D648" s="41">
        <f>D649+D651+D654</f>
        <v>5164.8999999999996</v>
      </c>
      <c r="E648" s="41">
        <f>E649+E651+E654</f>
        <v>5110.3</v>
      </c>
      <c r="F648" s="41">
        <f>F649+F651+F654</f>
        <v>5110.3</v>
      </c>
    </row>
    <row r="649" spans="1:6" s="32" customFormat="1" ht="14.25" x14ac:dyDescent="0.2">
      <c r="A649" s="80">
        <v>9990022400</v>
      </c>
      <c r="B649" s="16"/>
      <c r="C649" s="101" t="s">
        <v>141</v>
      </c>
      <c r="D649" s="41">
        <f t="shared" ref="D649:F649" si="191">D650</f>
        <v>1270.5</v>
      </c>
      <c r="E649" s="41">
        <f t="shared" si="191"/>
        <v>1270.5</v>
      </c>
      <c r="F649" s="41">
        <f t="shared" si="191"/>
        <v>1270.5</v>
      </c>
    </row>
    <row r="650" spans="1:6" s="32" customFormat="1" ht="25.5" x14ac:dyDescent="0.2">
      <c r="A650" s="80">
        <v>9990022400</v>
      </c>
      <c r="B650" s="16" t="s">
        <v>64</v>
      </c>
      <c r="C650" s="55" t="s">
        <v>65</v>
      </c>
      <c r="D650" s="39">
        <v>1270.5</v>
      </c>
      <c r="E650" s="39">
        <v>1270.5</v>
      </c>
      <c r="F650" s="39">
        <v>1270.5</v>
      </c>
    </row>
    <row r="651" spans="1:6" s="32" customFormat="1" ht="25.5" x14ac:dyDescent="0.2">
      <c r="A651" s="80">
        <v>9990022500</v>
      </c>
      <c r="B651" s="21"/>
      <c r="C651" s="103" t="s">
        <v>653</v>
      </c>
      <c r="D651" s="41">
        <f>SUM(D652:D653)</f>
        <v>2320</v>
      </c>
      <c r="E651" s="41">
        <f t="shared" ref="E651:F651" si="192">SUM(E652:E653)</f>
        <v>2282.2000000000003</v>
      </c>
      <c r="F651" s="41">
        <f t="shared" si="192"/>
        <v>2282.2000000000003</v>
      </c>
    </row>
    <row r="652" spans="1:6" s="32" customFormat="1" ht="25.5" x14ac:dyDescent="0.2">
      <c r="A652" s="80">
        <v>9990022500</v>
      </c>
      <c r="B652" s="16" t="s">
        <v>64</v>
      </c>
      <c r="C652" s="55" t="s">
        <v>65</v>
      </c>
      <c r="D652" s="39">
        <f>2168.1-18.2+48.6</f>
        <v>2198.5</v>
      </c>
      <c r="E652" s="39">
        <v>2178.9</v>
      </c>
      <c r="F652" s="39">
        <v>2178.9</v>
      </c>
    </row>
    <row r="653" spans="1:6" s="32" customFormat="1" ht="38.25" x14ac:dyDescent="0.2">
      <c r="A653" s="80">
        <v>9990022500</v>
      </c>
      <c r="B653" s="84" t="s">
        <v>214</v>
      </c>
      <c r="C653" s="101" t="s">
        <v>215</v>
      </c>
      <c r="D653" s="39">
        <f>103.3+18.2</f>
        <v>121.5</v>
      </c>
      <c r="E653" s="39">
        <v>103.3</v>
      </c>
      <c r="F653" s="39">
        <v>103.3</v>
      </c>
    </row>
    <row r="654" spans="1:6" s="32" customFormat="1" ht="25.5" x14ac:dyDescent="0.2">
      <c r="A654" s="80">
        <v>9990022300</v>
      </c>
      <c r="B654" s="21"/>
      <c r="C654" s="144" t="s">
        <v>203</v>
      </c>
      <c r="D654" s="41">
        <f>D655+D656</f>
        <v>1574.3999999999999</v>
      </c>
      <c r="E654" s="41">
        <f>E655+E656</f>
        <v>1557.6</v>
      </c>
      <c r="F654" s="41">
        <f>F655+F656</f>
        <v>1557.6</v>
      </c>
    </row>
    <row r="655" spans="1:6" s="32" customFormat="1" ht="25.5" x14ac:dyDescent="0.2">
      <c r="A655" s="80">
        <v>9990022300</v>
      </c>
      <c r="B655" s="16" t="s">
        <v>64</v>
      </c>
      <c r="C655" s="144" t="s">
        <v>80</v>
      </c>
      <c r="D655" s="39">
        <f>1554.1-3.1-14.7+16.8</f>
        <v>1553.1</v>
      </c>
      <c r="E655" s="39">
        <v>1554.1</v>
      </c>
      <c r="F655" s="39">
        <v>1554.1</v>
      </c>
    </row>
    <row r="656" spans="1:6" s="32" customFormat="1" ht="38.25" x14ac:dyDescent="0.2">
      <c r="A656" s="80">
        <v>9990022300</v>
      </c>
      <c r="B656" s="84" t="s">
        <v>214</v>
      </c>
      <c r="C656" s="101" t="s">
        <v>215</v>
      </c>
      <c r="D656" s="39">
        <f>3.5+3.1+14.7</f>
        <v>21.299999999999997</v>
      </c>
      <c r="E656" s="39">
        <v>3.5</v>
      </c>
      <c r="F656" s="39">
        <v>3.5</v>
      </c>
    </row>
  </sheetData>
  <mergeCells count="7">
    <mergeCell ref="A15:F15"/>
    <mergeCell ref="B18:B20"/>
    <mergeCell ref="A18:A20"/>
    <mergeCell ref="C18:C20"/>
    <mergeCell ref="D18:F18"/>
    <mergeCell ref="D19:D20"/>
    <mergeCell ref="E19:F19"/>
  </mergeCells>
  <phoneticPr fontId="2" type="noConversion"/>
  <pageMargins left="0.75" right="0.75" top="0.81" bottom="0.71" header="0.5" footer="0.5"/>
  <pageSetup paperSize="9" scale="99" orientation="portrait" r:id="rId1"/>
  <headerFooter alignWithMargins="0"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view="pageBreakPreview" zoomScale="60" zoomScaleNormal="100" workbookViewId="0">
      <selection activeCell="G3" sqref="G3"/>
    </sheetView>
  </sheetViews>
  <sheetFormatPr defaultColWidth="9.140625" defaultRowHeight="12.75" x14ac:dyDescent="0.2"/>
  <cols>
    <col min="1" max="1" width="14.5703125" style="93" customWidth="1"/>
    <col min="2" max="2" width="2.7109375" style="93" customWidth="1"/>
    <col min="3" max="3" width="9" style="93" customWidth="1"/>
    <col min="4" max="4" width="9.85546875" style="93" customWidth="1"/>
    <col min="5" max="5" width="4" style="93" customWidth="1"/>
    <col min="6" max="6" width="13.42578125" style="93" customWidth="1"/>
    <col min="7" max="7" width="5" style="93" customWidth="1"/>
    <col min="8" max="8" width="10.85546875" style="93" customWidth="1"/>
    <col min="9" max="9" width="6.5703125" style="93" customWidth="1"/>
    <col min="10" max="10" width="6.7109375" style="93" customWidth="1"/>
    <col min="11" max="11" width="6.5703125" style="93" customWidth="1"/>
    <col min="12" max="16384" width="9.140625" style="93"/>
  </cols>
  <sheetData>
    <row r="1" spans="1:11" x14ac:dyDescent="0.2">
      <c r="B1" s="226" t="s">
        <v>818</v>
      </c>
    </row>
    <row r="2" spans="1:11" x14ac:dyDescent="0.2">
      <c r="B2" s="226" t="s">
        <v>683</v>
      </c>
    </row>
    <row r="3" spans="1:11" x14ac:dyDescent="0.2">
      <c r="B3" s="226" t="s">
        <v>877</v>
      </c>
    </row>
    <row r="4" spans="1:11" x14ac:dyDescent="0.2">
      <c r="B4" s="226" t="s">
        <v>684</v>
      </c>
    </row>
    <row r="5" spans="1:11" x14ac:dyDescent="0.2">
      <c r="B5" s="226" t="s">
        <v>685</v>
      </c>
    </row>
    <row r="6" spans="1:11" x14ac:dyDescent="0.2">
      <c r="B6" s="226" t="s">
        <v>145</v>
      </c>
    </row>
    <row r="7" spans="1:11" x14ac:dyDescent="0.2">
      <c r="B7" s="226" t="s">
        <v>501</v>
      </c>
    </row>
    <row r="9" spans="1:11" x14ac:dyDescent="0.2">
      <c r="B9" s="226" t="s">
        <v>774</v>
      </c>
      <c r="C9" s="215"/>
      <c r="D9" s="215"/>
      <c r="E9" s="215"/>
      <c r="F9" s="215"/>
      <c r="G9" s="215"/>
      <c r="H9" s="215"/>
      <c r="I9" s="215"/>
    </row>
    <row r="10" spans="1:11" x14ac:dyDescent="0.2">
      <c r="B10" s="226" t="s">
        <v>775</v>
      </c>
      <c r="C10" s="214"/>
      <c r="D10" s="214"/>
      <c r="E10" s="214"/>
      <c r="F10" s="214"/>
      <c r="G10" s="214"/>
      <c r="H10" s="214"/>
      <c r="I10" s="214"/>
    </row>
    <row r="11" spans="1:11" x14ac:dyDescent="0.2">
      <c r="B11" s="226" t="s">
        <v>798</v>
      </c>
      <c r="C11" s="214"/>
      <c r="D11" s="214"/>
      <c r="E11" s="214"/>
      <c r="F11" s="214"/>
      <c r="G11" s="214"/>
      <c r="H11" s="214"/>
      <c r="I11" s="214"/>
    </row>
    <row r="12" spans="1:11" x14ac:dyDescent="0.2">
      <c r="B12" s="226" t="s">
        <v>776</v>
      </c>
      <c r="C12" s="226"/>
      <c r="D12" s="215"/>
      <c r="E12" s="215"/>
      <c r="F12" s="215"/>
      <c r="G12" s="215"/>
      <c r="H12" s="215"/>
      <c r="I12" s="215"/>
    </row>
    <row r="13" spans="1:11" x14ac:dyDescent="0.2">
      <c r="B13" s="226" t="s">
        <v>777</v>
      </c>
      <c r="C13" s="213"/>
      <c r="D13" s="213"/>
      <c r="E13" s="213"/>
      <c r="F13" s="213"/>
      <c r="G13" s="213"/>
      <c r="H13" s="213"/>
      <c r="I13" s="213"/>
      <c r="J13" s="213"/>
      <c r="K13" s="213"/>
    </row>
    <row r="14" spans="1:11" x14ac:dyDescent="0.2">
      <c r="D14" s="7"/>
    </row>
    <row r="15" spans="1:11" ht="44.25" customHeight="1" x14ac:dyDescent="0.2">
      <c r="A15" s="257" t="s">
        <v>778</v>
      </c>
      <c r="B15" s="257"/>
      <c r="C15" s="257"/>
      <c r="D15" s="257"/>
      <c r="E15" s="259"/>
      <c r="F15" s="259"/>
      <c r="G15" s="259"/>
      <c r="H15" s="259"/>
      <c r="I15" s="259"/>
      <c r="J15" s="259"/>
      <c r="K15" s="259"/>
    </row>
    <row r="16" spans="1:11" ht="18" x14ac:dyDescent="0.25">
      <c r="A16" s="216"/>
      <c r="B16" s="212"/>
      <c r="C16" s="212"/>
      <c r="D16" s="212"/>
    </row>
    <row r="17" spans="1:11" ht="18" x14ac:dyDescent="0.25">
      <c r="C17" s="217"/>
    </row>
    <row r="18" spans="1:11" ht="12.75" customHeight="1" x14ac:dyDescent="0.2">
      <c r="A18" s="263" t="s">
        <v>779</v>
      </c>
      <c r="B18" s="263" t="s">
        <v>780</v>
      </c>
      <c r="C18" s="280" t="s">
        <v>781</v>
      </c>
      <c r="D18" s="284"/>
      <c r="E18" s="285"/>
      <c r="F18" s="256" t="s">
        <v>782</v>
      </c>
      <c r="G18" s="288" t="s">
        <v>783</v>
      </c>
      <c r="H18" s="289"/>
      <c r="I18" s="269" t="s">
        <v>29</v>
      </c>
      <c r="J18" s="256"/>
      <c r="K18" s="256"/>
    </row>
    <row r="19" spans="1:11" x14ac:dyDescent="0.2">
      <c r="A19" s="264"/>
      <c r="B19" s="264"/>
      <c r="C19" s="281"/>
      <c r="D19" s="286"/>
      <c r="E19" s="287"/>
      <c r="F19" s="256"/>
      <c r="G19" s="290"/>
      <c r="H19" s="291"/>
      <c r="I19" s="273" t="s">
        <v>372</v>
      </c>
      <c r="J19" s="256" t="s">
        <v>142</v>
      </c>
      <c r="K19" s="256"/>
    </row>
    <row r="20" spans="1:11" ht="38.25" x14ac:dyDescent="0.2">
      <c r="A20" s="265"/>
      <c r="B20" s="283"/>
      <c r="C20" s="210" t="s">
        <v>784</v>
      </c>
      <c r="D20" s="218" t="s">
        <v>785</v>
      </c>
      <c r="E20" s="211" t="s">
        <v>786</v>
      </c>
      <c r="F20" s="256"/>
      <c r="G20" s="148" t="s">
        <v>787</v>
      </c>
      <c r="H20" s="148" t="s">
        <v>788</v>
      </c>
      <c r="I20" s="275"/>
      <c r="J20" s="209" t="s">
        <v>392</v>
      </c>
      <c r="K20" s="209" t="s">
        <v>499</v>
      </c>
    </row>
    <row r="21" spans="1:11" x14ac:dyDescent="0.2">
      <c r="A21" s="256" t="s">
        <v>789</v>
      </c>
      <c r="B21" s="256"/>
      <c r="C21" s="256"/>
      <c r="D21" s="256"/>
      <c r="E21" s="256"/>
      <c r="F21" s="256"/>
      <c r="G21" s="256"/>
      <c r="H21" s="256"/>
      <c r="I21" s="256"/>
      <c r="J21" s="256"/>
      <c r="K21" s="256"/>
    </row>
    <row r="22" spans="1:11" ht="267.75" x14ac:dyDescent="0.2">
      <c r="A22" s="101" t="s">
        <v>185</v>
      </c>
      <c r="B22" s="84" t="s">
        <v>90</v>
      </c>
      <c r="C22" s="103" t="s">
        <v>790</v>
      </c>
      <c r="D22" s="219">
        <v>40899</v>
      </c>
      <c r="E22" s="209" t="s">
        <v>791</v>
      </c>
      <c r="F22" s="209" t="s">
        <v>792</v>
      </c>
      <c r="G22" s="148" t="s">
        <v>793</v>
      </c>
      <c r="H22" s="80">
        <v>140210560</v>
      </c>
      <c r="I22" s="39">
        <v>1026</v>
      </c>
      <c r="J22" s="39">
        <v>1026</v>
      </c>
      <c r="K22" s="39">
        <v>1026</v>
      </c>
    </row>
    <row r="23" spans="1:11" x14ac:dyDescent="0.2">
      <c r="A23" s="256" t="s">
        <v>794</v>
      </c>
      <c r="B23" s="256"/>
      <c r="C23" s="256"/>
      <c r="D23" s="256"/>
      <c r="E23" s="256"/>
      <c r="F23" s="256"/>
      <c r="G23" s="256"/>
      <c r="H23" s="256"/>
      <c r="I23" s="256"/>
      <c r="J23" s="256"/>
      <c r="K23" s="256"/>
    </row>
    <row r="24" spans="1:11" ht="140.25" x14ac:dyDescent="0.2">
      <c r="A24" s="22" t="s">
        <v>378</v>
      </c>
      <c r="B24" s="83" t="s">
        <v>91</v>
      </c>
      <c r="C24" s="100" t="s">
        <v>795</v>
      </c>
      <c r="D24" s="219">
        <v>42723</v>
      </c>
      <c r="E24" s="148">
        <v>115</v>
      </c>
      <c r="F24" s="209" t="s">
        <v>796</v>
      </c>
      <c r="G24" s="148" t="s">
        <v>797</v>
      </c>
      <c r="H24" s="80">
        <v>1320225100</v>
      </c>
      <c r="I24" s="39">
        <f>2710.8-801.4+53.4</f>
        <v>1962.8000000000002</v>
      </c>
      <c r="J24" s="39">
        <v>2310.8000000000002</v>
      </c>
      <c r="K24" s="39">
        <v>2499.8000000000002</v>
      </c>
    </row>
    <row r="25" spans="1:11" x14ac:dyDescent="0.2">
      <c r="A25" s="220"/>
      <c r="B25" s="221"/>
      <c r="C25" s="222"/>
      <c r="D25" s="223"/>
    </row>
    <row r="26" spans="1:11" x14ac:dyDescent="0.2">
      <c r="A26" s="220"/>
      <c r="B26" s="221"/>
      <c r="C26" s="222"/>
      <c r="D26" s="223"/>
    </row>
    <row r="27" spans="1:11" x14ac:dyDescent="0.2">
      <c r="A27" s="220"/>
      <c r="B27" s="221"/>
      <c r="C27" s="222"/>
      <c r="D27" s="223"/>
    </row>
    <row r="28" spans="1:11" x14ac:dyDescent="0.2">
      <c r="A28" s="224"/>
      <c r="B28" s="224"/>
      <c r="C28" s="54"/>
      <c r="D28" s="225"/>
    </row>
    <row r="29" spans="1:11" ht="14.25" x14ac:dyDescent="0.2">
      <c r="A29" s="19"/>
    </row>
  </sheetData>
  <mergeCells count="11">
    <mergeCell ref="A21:K21"/>
    <mergeCell ref="A23:K23"/>
    <mergeCell ref="A15:K15"/>
    <mergeCell ref="A18:A20"/>
    <mergeCell ref="B18:B20"/>
    <mergeCell ref="C18:E19"/>
    <mergeCell ref="F18:F20"/>
    <mergeCell ref="G18:H19"/>
    <mergeCell ref="I18:K18"/>
    <mergeCell ref="I19:I20"/>
    <mergeCell ref="J19:K19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view="pageBreakPreview" zoomScale="60" zoomScaleNormal="100" workbookViewId="0">
      <selection activeCell="D8" sqref="D8"/>
    </sheetView>
  </sheetViews>
  <sheetFormatPr defaultColWidth="9.140625" defaultRowHeight="12.75" x14ac:dyDescent="0.2"/>
  <cols>
    <col min="1" max="1" width="3.7109375" style="93" customWidth="1"/>
    <col min="2" max="2" width="31" style="93" customWidth="1"/>
    <col min="3" max="3" width="26" style="93" customWidth="1"/>
    <col min="4" max="4" width="8.28515625" style="93" customWidth="1"/>
    <col min="5" max="5" width="9.140625" style="93" customWidth="1"/>
    <col min="6" max="6" width="11" style="93" customWidth="1"/>
    <col min="7" max="16384" width="9.140625" style="93"/>
  </cols>
  <sheetData>
    <row r="1" spans="3:3" x14ac:dyDescent="0.2">
      <c r="C1" s="239" t="s">
        <v>819</v>
      </c>
    </row>
    <row r="2" spans="3:3" x14ac:dyDescent="0.2">
      <c r="C2" s="239" t="s">
        <v>683</v>
      </c>
    </row>
    <row r="3" spans="3:3" x14ac:dyDescent="0.2">
      <c r="C3" s="239" t="s">
        <v>879</v>
      </c>
    </row>
    <row r="4" spans="3:3" x14ac:dyDescent="0.2">
      <c r="C4" s="239" t="s">
        <v>684</v>
      </c>
    </row>
    <row r="5" spans="3:3" x14ac:dyDescent="0.2">
      <c r="C5" s="239" t="s">
        <v>685</v>
      </c>
    </row>
    <row r="6" spans="3:3" x14ac:dyDescent="0.2">
      <c r="C6" s="239" t="s">
        <v>145</v>
      </c>
    </row>
    <row r="7" spans="3:3" x14ac:dyDescent="0.2">
      <c r="C7" s="239" t="s">
        <v>501</v>
      </c>
    </row>
    <row r="8" spans="3:3" x14ac:dyDescent="0.2">
      <c r="C8" s="239"/>
    </row>
    <row r="9" spans="3:3" x14ac:dyDescent="0.2">
      <c r="C9" s="239" t="s">
        <v>819</v>
      </c>
    </row>
    <row r="10" spans="3:3" x14ac:dyDescent="0.2">
      <c r="C10" s="239" t="s">
        <v>390</v>
      </c>
    </row>
    <row r="11" spans="3:3" x14ac:dyDescent="0.2">
      <c r="C11" s="239" t="s">
        <v>686</v>
      </c>
    </row>
    <row r="12" spans="3:3" x14ac:dyDescent="0.2">
      <c r="C12" s="239" t="s">
        <v>145</v>
      </c>
    </row>
    <row r="13" spans="3:3" x14ac:dyDescent="0.2">
      <c r="C13" s="239" t="s">
        <v>501</v>
      </c>
    </row>
    <row r="15" spans="3:3" ht="12" customHeight="1" x14ac:dyDescent="0.2"/>
    <row r="16" spans="3:3" hidden="1" x14ac:dyDescent="0.2"/>
    <row r="17" spans="1:6" x14ac:dyDescent="0.2">
      <c r="B17" s="240"/>
      <c r="C17" s="241"/>
      <c r="D17" s="91"/>
      <c r="E17" s="91"/>
    </row>
    <row r="18" spans="1:6" ht="46.5" customHeight="1" x14ac:dyDescent="0.2">
      <c r="A18" s="257" t="s">
        <v>820</v>
      </c>
      <c r="B18" s="276"/>
      <c r="C18" s="276"/>
      <c r="D18" s="276"/>
      <c r="E18" s="276"/>
      <c r="F18" s="238"/>
    </row>
    <row r="19" spans="1:6" ht="15" x14ac:dyDescent="0.2">
      <c r="A19" s="233"/>
      <c r="B19" s="237"/>
      <c r="C19" s="237"/>
      <c r="D19" s="237"/>
      <c r="E19" s="237"/>
      <c r="F19" s="238"/>
    </row>
    <row r="20" spans="1:6" x14ac:dyDescent="0.2">
      <c r="C20" s="6"/>
    </row>
    <row r="21" spans="1:6" ht="76.5" x14ac:dyDescent="0.2">
      <c r="A21" s="234" t="s">
        <v>821</v>
      </c>
      <c r="B21" s="236" t="s">
        <v>822</v>
      </c>
      <c r="C21" s="235" t="s">
        <v>823</v>
      </c>
      <c r="D21" s="232" t="s">
        <v>824</v>
      </c>
      <c r="E21" s="232" t="s">
        <v>825</v>
      </c>
      <c r="F21" s="242" t="s">
        <v>826</v>
      </c>
    </row>
    <row r="22" spans="1:6" x14ac:dyDescent="0.2">
      <c r="A22" s="2">
        <v>1</v>
      </c>
      <c r="B22" s="2">
        <v>2</v>
      </c>
      <c r="C22" s="2">
        <v>3</v>
      </c>
      <c r="D22" s="2">
        <v>4</v>
      </c>
      <c r="E22" s="2">
        <v>5</v>
      </c>
      <c r="F22" s="2">
        <v>6</v>
      </c>
    </row>
    <row r="23" spans="1:6" ht="40.5" customHeight="1" x14ac:dyDescent="0.2">
      <c r="A23" s="21" t="s">
        <v>827</v>
      </c>
      <c r="B23" s="117" t="s">
        <v>867</v>
      </c>
      <c r="C23" s="243" t="s">
        <v>828</v>
      </c>
      <c r="D23" s="97">
        <v>100</v>
      </c>
      <c r="E23" s="244" t="s">
        <v>829</v>
      </c>
      <c r="F23" s="245" t="s">
        <v>830</v>
      </c>
    </row>
    <row r="24" spans="1:6" ht="63.75" x14ac:dyDescent="0.2">
      <c r="A24" s="292" t="s">
        <v>831</v>
      </c>
      <c r="B24" s="117" t="s">
        <v>832</v>
      </c>
      <c r="C24" s="244" t="s">
        <v>833</v>
      </c>
      <c r="D24" s="97">
        <v>50</v>
      </c>
      <c r="E24" s="244" t="s">
        <v>834</v>
      </c>
      <c r="F24" s="293" t="s">
        <v>835</v>
      </c>
    </row>
    <row r="25" spans="1:6" x14ac:dyDescent="0.2">
      <c r="A25" s="275"/>
      <c r="B25" s="243" t="s">
        <v>836</v>
      </c>
      <c r="C25" s="246" t="s">
        <v>837</v>
      </c>
      <c r="D25" s="97">
        <v>50</v>
      </c>
      <c r="E25" s="244" t="s">
        <v>838</v>
      </c>
      <c r="F25" s="265"/>
    </row>
    <row r="26" spans="1:6" ht="38.25" x14ac:dyDescent="0.2">
      <c r="A26" s="21" t="s">
        <v>839</v>
      </c>
      <c r="B26" s="101" t="s">
        <v>840</v>
      </c>
      <c r="C26" s="243" t="s">
        <v>841</v>
      </c>
      <c r="D26" s="97">
        <v>100</v>
      </c>
      <c r="E26" s="97" t="s">
        <v>829</v>
      </c>
      <c r="F26" s="247" t="s">
        <v>842</v>
      </c>
    </row>
    <row r="27" spans="1:6" ht="51" x14ac:dyDescent="0.2">
      <c r="A27" s="125" t="s">
        <v>843</v>
      </c>
      <c r="B27" s="117" t="s">
        <v>844</v>
      </c>
      <c r="C27" s="246" t="s">
        <v>845</v>
      </c>
      <c r="D27" s="231">
        <v>100</v>
      </c>
      <c r="E27" s="231" t="s">
        <v>829</v>
      </c>
      <c r="F27" s="248" t="s">
        <v>846</v>
      </c>
    </row>
    <row r="28" spans="1:6" ht="38.25" x14ac:dyDescent="0.2">
      <c r="A28" s="294" t="s">
        <v>847</v>
      </c>
      <c r="B28" s="100" t="s">
        <v>848</v>
      </c>
      <c r="C28" s="296" t="s">
        <v>837</v>
      </c>
      <c r="D28" s="97">
        <v>50</v>
      </c>
      <c r="E28" s="97" t="s">
        <v>849</v>
      </c>
      <c r="F28" s="293" t="s">
        <v>850</v>
      </c>
    </row>
    <row r="29" spans="1:6" ht="38.25" x14ac:dyDescent="0.2">
      <c r="A29" s="295"/>
      <c r="B29" s="100" t="s">
        <v>851</v>
      </c>
      <c r="C29" s="297"/>
      <c r="D29" s="97">
        <v>50</v>
      </c>
      <c r="E29" s="97" t="s">
        <v>849</v>
      </c>
      <c r="F29" s="265"/>
    </row>
    <row r="30" spans="1:6" ht="63.75" x14ac:dyDescent="0.2">
      <c r="A30" s="298" t="s">
        <v>852</v>
      </c>
      <c r="B30" s="101" t="s">
        <v>853</v>
      </c>
      <c r="C30" s="244" t="s">
        <v>833</v>
      </c>
      <c r="D30" s="231">
        <v>25</v>
      </c>
      <c r="E30" s="231" t="s">
        <v>834</v>
      </c>
      <c r="F30" s="300" t="s">
        <v>854</v>
      </c>
    </row>
    <row r="31" spans="1:6" ht="51" x14ac:dyDescent="0.2">
      <c r="A31" s="299"/>
      <c r="B31" s="117" t="s">
        <v>844</v>
      </c>
      <c r="C31" s="246" t="s">
        <v>845</v>
      </c>
      <c r="D31" s="231">
        <v>75</v>
      </c>
      <c r="E31" s="231" t="s">
        <v>829</v>
      </c>
      <c r="F31" s="301"/>
    </row>
    <row r="32" spans="1:6" ht="63.75" x14ac:dyDescent="0.2">
      <c r="A32" s="72" t="s">
        <v>855</v>
      </c>
      <c r="B32" s="101" t="s">
        <v>856</v>
      </c>
      <c r="C32" s="246" t="s">
        <v>857</v>
      </c>
      <c r="D32" s="97">
        <v>100</v>
      </c>
      <c r="E32" s="97" t="s">
        <v>834</v>
      </c>
      <c r="F32" s="247" t="s">
        <v>858</v>
      </c>
    </row>
    <row r="33" spans="1:6" ht="51" x14ac:dyDescent="0.2">
      <c r="A33" s="302" t="s">
        <v>859</v>
      </c>
      <c r="B33" s="101" t="s">
        <v>860</v>
      </c>
      <c r="C33" s="244" t="s">
        <v>861</v>
      </c>
      <c r="D33" s="231">
        <v>50</v>
      </c>
      <c r="E33" s="231" t="s">
        <v>862</v>
      </c>
      <c r="F33" s="304" t="s">
        <v>863</v>
      </c>
    </row>
    <row r="34" spans="1:6" x14ac:dyDescent="0.2">
      <c r="A34" s="303"/>
      <c r="B34" s="243" t="s">
        <v>836</v>
      </c>
      <c r="C34" s="246" t="s">
        <v>837</v>
      </c>
      <c r="D34" s="97">
        <v>50</v>
      </c>
      <c r="E34" s="244" t="s">
        <v>838</v>
      </c>
      <c r="F34" s="305"/>
    </row>
    <row r="35" spans="1:6" ht="51" x14ac:dyDescent="0.2">
      <c r="A35" s="249">
        <v>9</v>
      </c>
      <c r="B35" s="101" t="s">
        <v>864</v>
      </c>
      <c r="C35" s="243" t="s">
        <v>841</v>
      </c>
      <c r="D35" s="97">
        <v>100</v>
      </c>
      <c r="E35" s="97" t="s">
        <v>829</v>
      </c>
      <c r="F35" s="247" t="s">
        <v>865</v>
      </c>
    </row>
    <row r="36" spans="1:6" x14ac:dyDescent="0.2">
      <c r="A36" s="148"/>
      <c r="B36" s="306" t="s">
        <v>866</v>
      </c>
      <c r="C36" s="268"/>
      <c r="D36" s="39">
        <f>SUM(D23:D35)</f>
        <v>900</v>
      </c>
      <c r="E36" s="148"/>
      <c r="F36" s="148"/>
    </row>
  </sheetData>
  <mergeCells count="11">
    <mergeCell ref="A30:A31"/>
    <mergeCell ref="F30:F31"/>
    <mergeCell ref="A33:A34"/>
    <mergeCell ref="F33:F34"/>
    <mergeCell ref="B36:C36"/>
    <mergeCell ref="A18:E18"/>
    <mergeCell ref="A24:A25"/>
    <mergeCell ref="F24:F25"/>
    <mergeCell ref="A28:A29"/>
    <mergeCell ref="C28:C29"/>
    <mergeCell ref="F28:F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прил.1</vt:lpstr>
      <vt:lpstr>прил.3</vt:lpstr>
      <vt:lpstr>прил.4</vt:lpstr>
      <vt:lpstr>прил.5</vt:lpstr>
      <vt:lpstr>прил.6</vt:lpstr>
      <vt:lpstr>прил.7</vt:lpstr>
      <vt:lpstr>прил.8</vt:lpstr>
    </vt:vector>
  </TitlesOfParts>
  <Company>***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Наталья Е. Журавлева</cp:lastModifiedBy>
  <cp:lastPrinted>2022-12-19T13:56:06Z</cp:lastPrinted>
  <dcterms:created xsi:type="dcterms:W3CDTF">2007-02-27T13:35:41Z</dcterms:created>
  <dcterms:modified xsi:type="dcterms:W3CDTF">2022-12-19T13:57:48Z</dcterms:modified>
</cp:coreProperties>
</file>