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0" yWindow="0" windowWidth="22935" windowHeight="9270" activeTab="5"/>
  </bookViews>
  <sheets>
    <sheet name="прил.1" sheetId="62" r:id="rId1"/>
    <sheet name="прил.3" sheetId="1" r:id="rId2"/>
    <sheet name="прил.4" sheetId="61" r:id="rId3"/>
    <sheet name="прил.5" sheetId="2" r:id="rId4"/>
    <sheet name="прил.6" sheetId="3" r:id="rId5"/>
    <sheet name="прил.7" sheetId="63" r:id="rId6"/>
  </sheets>
  <calcPr calcId="125725"/>
</workbook>
</file>

<file path=xl/calcChain.xml><?xml version="1.0" encoding="utf-8"?>
<calcChain xmlns="http://schemas.openxmlformats.org/spreadsheetml/2006/main">
  <c r="I25" i="63"/>
  <c r="F337" i="61" l="1"/>
  <c r="H354" i="2"/>
  <c r="D259" i="3"/>
  <c r="D73" l="1"/>
  <c r="D69"/>
  <c r="H673" i="2"/>
  <c r="H671"/>
  <c r="F561" i="61"/>
  <c r="F559"/>
  <c r="D217" i="3" l="1"/>
  <c r="D215"/>
  <c r="H77" i="2"/>
  <c r="H75"/>
  <c r="F78" i="61"/>
  <c r="F80"/>
  <c r="D554" i="3" l="1"/>
  <c r="D497"/>
  <c r="H87" i="2"/>
  <c r="H233"/>
  <c r="F229" i="61"/>
  <c r="F89"/>
  <c r="D132" i="3" l="1"/>
  <c r="H842" i="2"/>
  <c r="F676" i="61"/>
  <c r="F679"/>
  <c r="D320" i="3"/>
  <c r="H418" i="2"/>
  <c r="F388" i="61"/>
  <c r="F82"/>
  <c r="H79" i="2"/>
  <c r="D219" i="3"/>
  <c r="F398" i="61"/>
  <c r="D355" i="3"/>
  <c r="H430" i="2"/>
  <c r="D734" i="3" l="1"/>
  <c r="D736"/>
  <c r="D61"/>
  <c r="D71"/>
  <c r="H638" i="2"/>
  <c r="H646"/>
  <c r="F528" i="61"/>
  <c r="F536"/>
  <c r="D47" i="3"/>
  <c r="D96"/>
  <c r="H693" i="2"/>
  <c r="H661"/>
  <c r="F549" i="61"/>
  <c r="F578"/>
  <c r="H31" i="2"/>
  <c r="H29"/>
  <c r="F35" i="61"/>
  <c r="F33"/>
  <c r="D98" i="3"/>
  <c r="H740" i="2"/>
  <c r="F653" i="61"/>
  <c r="F662"/>
  <c r="H750" i="2"/>
  <c r="D116" i="3"/>
  <c r="D84"/>
  <c r="H737" i="2"/>
  <c r="F651" i="61"/>
  <c r="D53" i="3"/>
  <c r="H733" i="2"/>
  <c r="F648" i="61"/>
  <c r="F132" i="3"/>
  <c r="E132"/>
  <c r="F131"/>
  <c r="E131"/>
  <c r="F130"/>
  <c r="E130"/>
  <c r="D130"/>
  <c r="J842" i="2"/>
  <c r="I842"/>
  <c r="J841"/>
  <c r="J840" s="1"/>
  <c r="I841"/>
  <c r="I840"/>
  <c r="H840"/>
  <c r="G674" i="61"/>
  <c r="H674"/>
  <c r="F674"/>
  <c r="D712" i="3"/>
  <c r="F710"/>
  <c r="E710"/>
  <c r="D710"/>
  <c r="H107" i="2"/>
  <c r="J105"/>
  <c r="I105"/>
  <c r="H105"/>
  <c r="G107" i="61"/>
  <c r="H107"/>
  <c r="F107"/>
  <c r="F109"/>
  <c r="D699" i="3" l="1"/>
  <c r="H103" i="2"/>
  <c r="F105" i="61"/>
  <c r="D695" i="3"/>
  <c r="D694"/>
  <c r="H566" i="2"/>
  <c r="H565"/>
  <c r="F517" i="61"/>
  <c r="F518"/>
  <c r="G715"/>
  <c r="H715"/>
  <c r="F715"/>
  <c r="F716"/>
  <c r="H573" i="2"/>
  <c r="D612" i="3" l="1"/>
  <c r="H597" i="2"/>
  <c r="F745" i="61"/>
  <c r="D220" i="3"/>
  <c r="H80" i="2"/>
  <c r="F83" i="61"/>
  <c r="F395" l="1"/>
  <c r="D345" i="3" l="1"/>
  <c r="H426" i="2"/>
  <c r="D351" i="3"/>
  <c r="H388" i="2"/>
  <c r="F364" i="61"/>
  <c r="D266" i="3"/>
  <c r="D271"/>
  <c r="H299" i="2"/>
  <c r="H304"/>
  <c r="F292" i="61"/>
  <c r="F296"/>
  <c r="D614" i="3" l="1"/>
  <c r="H599" i="2"/>
  <c r="F747" i="61"/>
  <c r="D40" i="3" l="1"/>
  <c r="H634" i="2"/>
  <c r="F524" i="61"/>
  <c r="D106" i="3"/>
  <c r="H697" i="2"/>
  <c r="F582" i="61"/>
  <c r="D137" i="3"/>
  <c r="D147"/>
  <c r="H797" i="2"/>
  <c r="H793"/>
  <c r="F593" i="61"/>
  <c r="F597"/>
  <c r="E42" i="1"/>
  <c r="D268" i="3"/>
  <c r="H301" i="2"/>
  <c r="F294" i="61"/>
  <c r="H591" i="2"/>
  <c r="H904"/>
  <c r="F735" i="61"/>
  <c r="F71"/>
  <c r="E59" i="1"/>
  <c r="E31"/>
  <c r="D49" i="3" l="1"/>
  <c r="D42"/>
  <c r="D464"/>
  <c r="H457" i="2"/>
  <c r="F420" i="61"/>
  <c r="D453" i="3"/>
  <c r="H446" i="2"/>
  <c r="F410" i="61"/>
  <c r="D301" i="3"/>
  <c r="H343" i="2"/>
  <c r="F328" i="61"/>
  <c r="D283" i="3"/>
  <c r="H325" i="2"/>
  <c r="F314" i="61"/>
  <c r="D229" i="3"/>
  <c r="H289" i="2"/>
  <c r="F284" i="61"/>
  <c r="D226" i="3"/>
  <c r="H286" i="2"/>
  <c r="F282" i="61"/>
  <c r="D139" i="3"/>
  <c r="H795" i="2"/>
  <c r="F595" i="61"/>
  <c r="D104" i="3"/>
  <c r="H695" i="2"/>
  <c r="F580" i="61"/>
  <c r="H663" i="2"/>
  <c r="F551" i="61"/>
  <c r="H636" i="2"/>
  <c r="F526" i="61"/>
  <c r="E44" i="1"/>
  <c r="E552" i="3" l="1"/>
  <c r="I231" i="2"/>
  <c r="G227" i="61"/>
  <c r="G214"/>
  <c r="D161" i="3"/>
  <c r="H873" i="2"/>
  <c r="F704" i="61"/>
  <c r="E56" i="1"/>
  <c r="D483" i="3"/>
  <c r="H476" i="2"/>
  <c r="F435" i="61"/>
  <c r="F41" i="1"/>
  <c r="D629" i="3"/>
  <c r="D626"/>
  <c r="H582" i="2"/>
  <c r="H579"/>
  <c r="F727" i="61"/>
  <c r="F725"/>
  <c r="D280" i="3"/>
  <c r="H322" i="2"/>
  <c r="F312" i="61"/>
  <c r="D75" i="3"/>
  <c r="H675" i="2"/>
  <c r="F563" i="61"/>
  <c r="D477" i="3"/>
  <c r="H470" i="2"/>
  <c r="F430" i="61"/>
  <c r="F25" i="62" l="1"/>
  <c r="D191" i="3" l="1"/>
  <c r="H780" i="2"/>
  <c r="F170" i="61"/>
  <c r="E38" i="1"/>
  <c r="D114" i="3" l="1"/>
  <c r="F58"/>
  <c r="E58"/>
  <c r="D58"/>
  <c r="H748" i="2"/>
  <c r="J668"/>
  <c r="I668"/>
  <c r="H668"/>
  <c r="F660" i="61"/>
  <c r="H556"/>
  <c r="G556"/>
  <c r="F556"/>
  <c r="D333" i="3" l="1"/>
  <c r="H372" i="2"/>
  <c r="F351" i="61"/>
  <c r="E706" i="3" l="1"/>
  <c r="F706"/>
  <c r="D708"/>
  <c r="D706" s="1"/>
  <c r="H152" i="2"/>
  <c r="H150" s="1"/>
  <c r="F150" i="61"/>
  <c r="F148" s="1"/>
  <c r="D343" i="3" l="1"/>
  <c r="H382" i="2"/>
  <c r="F359" i="61"/>
  <c r="E570" i="3" l="1"/>
  <c r="F570"/>
  <c r="F581"/>
  <c r="E581"/>
  <c r="D581"/>
  <c r="I249" i="2"/>
  <c r="J249"/>
  <c r="J260"/>
  <c r="I260"/>
  <c r="H260"/>
  <c r="D576" i="3"/>
  <c r="H255" i="2"/>
  <c r="F250" i="61"/>
  <c r="G255"/>
  <c r="H255"/>
  <c r="F255"/>
  <c r="D455" i="3" l="1"/>
  <c r="H448" i="2"/>
  <c r="F412" i="61"/>
  <c r="D394" i="3"/>
  <c r="H199" i="2"/>
  <c r="F197" i="61"/>
  <c r="D335" i="3"/>
  <c r="H374" i="2"/>
  <c r="F353" i="61"/>
  <c r="F402" l="1"/>
  <c r="H436" i="2"/>
  <c r="D361" i="3"/>
  <c r="D349"/>
  <c r="H386" i="2"/>
  <c r="F362" i="61"/>
  <c r="D331" i="3"/>
  <c r="H370" i="2"/>
  <c r="F349" i="61"/>
  <c r="F390"/>
  <c r="H420" i="2"/>
  <c r="D322" i="3"/>
  <c r="D390"/>
  <c r="H195" i="2"/>
  <c r="F193" i="61"/>
  <c r="F209"/>
  <c r="H211" i="2"/>
  <c r="D406" i="3"/>
  <c r="D414"/>
  <c r="H183" i="2"/>
  <c r="F182" i="61"/>
  <c r="D392" i="3"/>
  <c r="H197" i="2"/>
  <c r="F195" i="61"/>
  <c r="D386" i="3"/>
  <c r="H191" i="2"/>
  <c r="F189" i="61"/>
  <c r="D651" i="3" l="1"/>
  <c r="D650" s="1"/>
  <c r="D649"/>
  <c r="D648" s="1"/>
  <c r="H561" i="2"/>
  <c r="H560" s="1"/>
  <c r="H559"/>
  <c r="H558" s="1"/>
  <c r="F511" i="61"/>
  <c r="F513"/>
  <c r="J590" i="2" l="1"/>
  <c r="I590"/>
  <c r="I589" s="1"/>
  <c r="I588" s="1"/>
  <c r="H590"/>
  <c r="H589" s="1"/>
  <c r="H588" s="1"/>
  <c r="J589"/>
  <c r="J588" s="1"/>
  <c r="G734" i="61"/>
  <c r="G733" s="1"/>
  <c r="G732" s="1"/>
  <c r="H734"/>
  <c r="H733" s="1"/>
  <c r="H732" s="1"/>
  <c r="F734"/>
  <c r="F733" s="1"/>
  <c r="F732" s="1"/>
  <c r="D716" i="3" l="1"/>
  <c r="D715"/>
  <c r="H111" i="2"/>
  <c r="H110"/>
  <c r="F112" i="61"/>
  <c r="F113"/>
  <c r="D78" i="3" l="1"/>
  <c r="H715" i="2"/>
  <c r="F612" i="61"/>
  <c r="F428" l="1"/>
  <c r="H468" i="2"/>
  <c r="D475" i="3"/>
  <c r="F157"/>
  <c r="E157"/>
  <c r="D157"/>
  <c r="J801" i="2"/>
  <c r="I801"/>
  <c r="H801"/>
  <c r="G600" i="61"/>
  <c r="H600"/>
  <c r="F600"/>
  <c r="H391" l="1"/>
  <c r="G391"/>
  <c r="F391"/>
  <c r="J421" i="2"/>
  <c r="I421"/>
  <c r="H421"/>
  <c r="E323" i="3"/>
  <c r="F323"/>
  <c r="D323"/>
  <c r="F221"/>
  <c r="E221"/>
  <c r="D221"/>
  <c r="J81" i="2"/>
  <c r="I81"/>
  <c r="H81"/>
  <c r="G84" i="61"/>
  <c r="H84"/>
  <c r="F84"/>
  <c r="D256" i="3" l="1"/>
  <c r="H587" i="2"/>
  <c r="F731" i="61"/>
  <c r="F691" l="1"/>
  <c r="H858" i="2"/>
  <c r="D152" i="3"/>
  <c r="D154"/>
  <c r="D135"/>
  <c r="H856" i="2"/>
  <c r="H845"/>
  <c r="F689" i="61"/>
  <c r="D350" i="3"/>
  <c r="D348"/>
  <c r="H387" i="2"/>
  <c r="H385"/>
  <c r="D67" i="3" l="1"/>
  <c r="D57"/>
  <c r="D34"/>
  <c r="H644" i="2"/>
  <c r="H667"/>
  <c r="H655"/>
  <c r="F74" i="3"/>
  <c r="E74"/>
  <c r="D74"/>
  <c r="J674" i="2"/>
  <c r="I674"/>
  <c r="H674"/>
  <c r="F534" i="61"/>
  <c r="F555"/>
  <c r="F543"/>
  <c r="G562"/>
  <c r="H562"/>
  <c r="F562"/>
  <c r="F253" l="1"/>
  <c r="D722" i="3" l="1"/>
  <c r="H55" i="2"/>
  <c r="F45" i="61"/>
  <c r="D698" i="3"/>
  <c r="H102" i="2"/>
  <c r="F104" i="61"/>
  <c r="D574" i="3" l="1"/>
  <c r="H253" i="2"/>
  <c r="F248" i="61"/>
  <c r="F46" i="1" l="1"/>
  <c r="D519" i="3" l="1"/>
  <c r="H492" i="2"/>
  <c r="F448" i="61"/>
  <c r="E64" i="1" l="1"/>
  <c r="F251" i="3"/>
  <c r="E251"/>
  <c r="D251"/>
  <c r="J625" i="2"/>
  <c r="I625"/>
  <c r="H625"/>
  <c r="H781" i="61"/>
  <c r="G781"/>
  <c r="F781"/>
  <c r="H258" i="2" l="1"/>
  <c r="D396" i="3"/>
  <c r="H201" i="2"/>
  <c r="F199" i="61"/>
  <c r="F509" l="1"/>
  <c r="H556" i="2"/>
  <c r="D646" i="3"/>
  <c r="F207" i="61"/>
  <c r="H209" i="2"/>
  <c r="D404" i="3"/>
  <c r="D400"/>
  <c r="H205" i="2"/>
  <c r="F203" i="61"/>
  <c r="F334" i="3" l="1"/>
  <c r="E334"/>
  <c r="D334"/>
  <c r="I373" i="2"/>
  <c r="J373"/>
  <c r="H373"/>
  <c r="G352" i="61"/>
  <c r="H352"/>
  <c r="F352"/>
  <c r="F565" i="3"/>
  <c r="E565"/>
  <c r="D565"/>
  <c r="F563"/>
  <c r="E563"/>
  <c r="D563"/>
  <c r="F561"/>
  <c r="E561"/>
  <c r="D561"/>
  <c r="F560"/>
  <c r="F559" s="1"/>
  <c r="E560"/>
  <c r="E559" s="1"/>
  <c r="D560"/>
  <c r="D559" s="1"/>
  <c r="D558"/>
  <c r="D557" s="1"/>
  <c r="F557"/>
  <c r="E557"/>
  <c r="D556"/>
  <c r="D555" s="1"/>
  <c r="F555"/>
  <c r="E555"/>
  <c r="F553"/>
  <c r="E553"/>
  <c r="F552"/>
  <c r="F551" s="1"/>
  <c r="F550" s="1"/>
  <c r="E551"/>
  <c r="E550" s="1"/>
  <c r="F548"/>
  <c r="E548"/>
  <c r="D548"/>
  <c r="F546"/>
  <c r="E546"/>
  <c r="D546"/>
  <c r="F544"/>
  <c r="E544"/>
  <c r="D544"/>
  <c r="F542"/>
  <c r="E542"/>
  <c r="D542"/>
  <c r="F541"/>
  <c r="F540" s="1"/>
  <c r="E541"/>
  <c r="E540" s="1"/>
  <c r="D541"/>
  <c r="D540" s="1"/>
  <c r="F538"/>
  <c r="E538"/>
  <c r="D538"/>
  <c r="F536"/>
  <c r="E536"/>
  <c r="D536"/>
  <c r="F534"/>
  <c r="E534"/>
  <c r="D534"/>
  <c r="F532"/>
  <c r="E532"/>
  <c r="D532"/>
  <c r="F530"/>
  <c r="E530"/>
  <c r="D530"/>
  <c r="F529"/>
  <c r="F528" s="1"/>
  <c r="E529"/>
  <c r="E528" s="1"/>
  <c r="D529"/>
  <c r="D528" s="1"/>
  <c r="F526"/>
  <c r="E526"/>
  <c r="D526"/>
  <c r="F524"/>
  <c r="E524"/>
  <c r="D524"/>
  <c r="F522"/>
  <c r="E522"/>
  <c r="D522"/>
  <c r="F520"/>
  <c r="E520"/>
  <c r="D520"/>
  <c r="D517"/>
  <c r="D516" s="1"/>
  <c r="F518"/>
  <c r="E518"/>
  <c r="F517"/>
  <c r="F516" s="1"/>
  <c r="E516"/>
  <c r="F513"/>
  <c r="E513"/>
  <c r="D513"/>
  <c r="F511"/>
  <c r="E511"/>
  <c r="D511"/>
  <c r="F510"/>
  <c r="F509" s="1"/>
  <c r="E510"/>
  <c r="E509" s="1"/>
  <c r="D510"/>
  <c r="D509" s="1"/>
  <c r="D508"/>
  <c r="D507" s="1"/>
  <c r="F507"/>
  <c r="E507"/>
  <c r="D506"/>
  <c r="D505" s="1"/>
  <c r="F505"/>
  <c r="E505"/>
  <c r="F503"/>
  <c r="F502" s="1"/>
  <c r="E503"/>
  <c r="E502" s="1"/>
  <c r="H240" i="61"/>
  <c r="G240"/>
  <c r="F240"/>
  <c r="H238"/>
  <c r="G238"/>
  <c r="F238"/>
  <c r="H236"/>
  <c r="G236"/>
  <c r="F236"/>
  <c r="H235"/>
  <c r="H234" s="1"/>
  <c r="G235"/>
  <c r="G234" s="1"/>
  <c r="F235"/>
  <c r="F234" s="1"/>
  <c r="F233"/>
  <c r="F232" s="1"/>
  <c r="H232"/>
  <c r="G232"/>
  <c r="F231"/>
  <c r="F230" s="1"/>
  <c r="H230"/>
  <c r="G230"/>
  <c r="F228"/>
  <c r="H228"/>
  <c r="G228"/>
  <c r="H227"/>
  <c r="H226" s="1"/>
  <c r="G226"/>
  <c r="H224"/>
  <c r="G224"/>
  <c r="F224"/>
  <c r="H222"/>
  <c r="G222"/>
  <c r="F222"/>
  <c r="H221"/>
  <c r="H220" s="1"/>
  <c r="G221"/>
  <c r="G220" s="1"/>
  <c r="F221"/>
  <c r="F220" s="1"/>
  <c r="F219"/>
  <c r="H218"/>
  <c r="G218"/>
  <c r="F218"/>
  <c r="F217"/>
  <c r="F216" s="1"/>
  <c r="H216"/>
  <c r="G216"/>
  <c r="H214"/>
  <c r="H213" s="1"/>
  <c r="I224" i="2"/>
  <c r="J224"/>
  <c r="H224"/>
  <c r="I239"/>
  <c r="I238" s="1"/>
  <c r="J239"/>
  <c r="J238" s="1"/>
  <c r="I230"/>
  <c r="I229" s="1"/>
  <c r="J231"/>
  <c r="J230" s="1"/>
  <c r="J229" s="1"/>
  <c r="H239"/>
  <c r="J244"/>
  <c r="I244"/>
  <c r="H244"/>
  <c r="J242"/>
  <c r="I242"/>
  <c r="H242"/>
  <c r="J240"/>
  <c r="I240"/>
  <c r="H240"/>
  <c r="H237"/>
  <c r="H236" s="1"/>
  <c r="J236"/>
  <c r="I236"/>
  <c r="H235"/>
  <c r="H234" s="1"/>
  <c r="J234"/>
  <c r="I234"/>
  <c r="H232"/>
  <c r="J232"/>
  <c r="I232"/>
  <c r="F405" i="3"/>
  <c r="E405"/>
  <c r="D405"/>
  <c r="J210" i="2"/>
  <c r="I210"/>
  <c r="H210"/>
  <c r="G208" i="61"/>
  <c r="H208"/>
  <c r="F208"/>
  <c r="G213" l="1"/>
  <c r="F215"/>
  <c r="F214" s="1"/>
  <c r="F227"/>
  <c r="F226" s="1"/>
  <c r="F213" s="1"/>
  <c r="E515" i="3"/>
  <c r="F515"/>
  <c r="D552"/>
  <c r="D551" s="1"/>
  <c r="D550" s="1"/>
  <c r="D515"/>
  <c r="D553"/>
  <c r="D518"/>
  <c r="D504"/>
  <c r="D503" s="1"/>
  <c r="D502" s="1"/>
  <c r="H231" i="2"/>
  <c r="H230" s="1"/>
  <c r="H222"/>
  <c r="H221" s="1"/>
  <c r="H220"/>
  <c r="D579" i="3"/>
  <c r="F252" i="61"/>
  <c r="H257" i="2"/>
  <c r="F246" i="61"/>
  <c r="H251" i="2"/>
  <c r="D578" i="3"/>
  <c r="D572"/>
  <c r="D570" s="1"/>
  <c r="D593"/>
  <c r="D592" s="1"/>
  <c r="D590"/>
  <c r="H534" i="2"/>
  <c r="H533" s="1"/>
  <c r="H531"/>
  <c r="F489" i="61"/>
  <c r="H376"/>
  <c r="G376"/>
  <c r="F376"/>
  <c r="H375"/>
  <c r="H374" s="1"/>
  <c r="G375"/>
  <c r="G374" s="1"/>
  <c r="F375"/>
  <c r="F374" s="1"/>
  <c r="J404" i="2"/>
  <c r="J403" s="1"/>
  <c r="J402" s="1"/>
  <c r="J401" s="1"/>
  <c r="I404"/>
  <c r="I403" s="1"/>
  <c r="I402" s="1"/>
  <c r="I401" s="1"/>
  <c r="H404"/>
  <c r="H403" s="1"/>
  <c r="H402" s="1"/>
  <c r="H401" s="1"/>
  <c r="E606" i="3"/>
  <c r="E605" s="1"/>
  <c r="F606"/>
  <c r="F605" s="1"/>
  <c r="D606"/>
  <c r="D605" s="1"/>
  <c r="F244" i="61" l="1"/>
  <c r="H249" i="2"/>
  <c r="H219"/>
  <c r="H218"/>
  <c r="F332" i="61"/>
  <c r="H348" i="2"/>
  <c r="D604" i="3"/>
  <c r="F579"/>
  <c r="E579"/>
  <c r="J258" i="2"/>
  <c r="I258"/>
  <c r="G253" i="61"/>
  <c r="H253"/>
  <c r="F177" i="3" l="1"/>
  <c r="E177"/>
  <c r="D177"/>
  <c r="J890" i="2"/>
  <c r="I890"/>
  <c r="H890"/>
  <c r="H217"/>
  <c r="J221"/>
  <c r="I221"/>
  <c r="J219"/>
  <c r="I219"/>
  <c r="H223"/>
  <c r="I227"/>
  <c r="J227"/>
  <c r="H227"/>
  <c r="I225"/>
  <c r="J225"/>
  <c r="H225"/>
  <c r="J217"/>
  <c r="J216" s="1"/>
  <c r="J215" s="1"/>
  <c r="I217"/>
  <c r="I216" s="1"/>
  <c r="I215" s="1"/>
  <c r="H212" i="61" l="1"/>
  <c r="H216" i="2"/>
  <c r="F66" i="3"/>
  <c r="E66"/>
  <c r="D66"/>
  <c r="J643" i="2"/>
  <c r="I643"/>
  <c r="H643"/>
  <c r="G533" i="61"/>
  <c r="H533"/>
  <c r="F533"/>
  <c r="D63" i="3" l="1"/>
  <c r="H640" i="2"/>
  <c r="F530" i="61"/>
  <c r="D36" i="3"/>
  <c r="H657" i="2"/>
  <c r="D65" i="3"/>
  <c r="H642" i="2"/>
  <c r="F545" i="61"/>
  <c r="F532"/>
  <c r="D166" i="3"/>
  <c r="H861" i="2"/>
  <c r="F693" i="61"/>
  <c r="F486" i="3" l="1"/>
  <c r="E486"/>
  <c r="D486"/>
  <c r="J479" i="2"/>
  <c r="I479"/>
  <c r="H479"/>
  <c r="G438" i="61"/>
  <c r="H438"/>
  <c r="F438"/>
  <c r="D622" i="3" l="1"/>
  <c r="H607" i="2"/>
  <c r="F753" i="61"/>
  <c r="F613" i="3"/>
  <c r="E613"/>
  <c r="D613"/>
  <c r="J598" i="2"/>
  <c r="I598"/>
  <c r="H598"/>
  <c r="G746" i="61"/>
  <c r="H746"/>
  <c r="F746"/>
  <c r="E589" i="3" l="1"/>
  <c r="F589"/>
  <c r="D589"/>
  <c r="F586"/>
  <c r="E586"/>
  <c r="D586"/>
  <c r="D585"/>
  <c r="D584" s="1"/>
  <c r="F584"/>
  <c r="E584"/>
  <c r="I530" i="2"/>
  <c r="I529" s="1"/>
  <c r="J530"/>
  <c r="J529" s="1"/>
  <c r="H530"/>
  <c r="J527"/>
  <c r="I527"/>
  <c r="H527"/>
  <c r="H526"/>
  <c r="H525" s="1"/>
  <c r="J525"/>
  <c r="I525"/>
  <c r="G485" i="61"/>
  <c r="H485"/>
  <c r="F485"/>
  <c r="F481"/>
  <c r="F480" s="1"/>
  <c r="H482"/>
  <c r="G482"/>
  <c r="F482"/>
  <c r="H480"/>
  <c r="G480"/>
  <c r="I524" i="2" l="1"/>
  <c r="I523" s="1"/>
  <c r="J524"/>
  <c r="J523" s="1"/>
  <c r="C26" i="62"/>
  <c r="J541" i="2" l="1"/>
  <c r="I541"/>
  <c r="H541"/>
  <c r="J539"/>
  <c r="I539"/>
  <c r="H539"/>
  <c r="J537"/>
  <c r="I537"/>
  <c r="H537"/>
  <c r="J535"/>
  <c r="I535"/>
  <c r="H535"/>
  <c r="J533"/>
  <c r="I533"/>
  <c r="J531"/>
  <c r="I531"/>
  <c r="H529"/>
  <c r="F600" i="3"/>
  <c r="E600"/>
  <c r="D600"/>
  <c r="F598"/>
  <c r="E598"/>
  <c r="D598"/>
  <c r="F596"/>
  <c r="E596"/>
  <c r="D596"/>
  <c r="F594"/>
  <c r="E594"/>
  <c r="D594"/>
  <c r="F592"/>
  <c r="E592"/>
  <c r="F590"/>
  <c r="E590"/>
  <c r="F588"/>
  <c r="F583" s="1"/>
  <c r="E588"/>
  <c r="E583" s="1"/>
  <c r="D588"/>
  <c r="D583" s="1"/>
  <c r="H524" i="2" l="1"/>
  <c r="H523" s="1"/>
  <c r="G484" i="61" l="1"/>
  <c r="G479" s="1"/>
  <c r="H484"/>
  <c r="H479" s="1"/>
  <c r="G496"/>
  <c r="H496"/>
  <c r="F496"/>
  <c r="G494"/>
  <c r="H494"/>
  <c r="F494"/>
  <c r="G492"/>
  <c r="H492"/>
  <c r="F492"/>
  <c r="G490"/>
  <c r="H490"/>
  <c r="F490"/>
  <c r="G488"/>
  <c r="H488"/>
  <c r="F488"/>
  <c r="G486"/>
  <c r="H486"/>
  <c r="F486"/>
  <c r="F577" i="3"/>
  <c r="E577"/>
  <c r="D577"/>
  <c r="F575"/>
  <c r="E575"/>
  <c r="D575"/>
  <c r="F573"/>
  <c r="E573"/>
  <c r="D573"/>
  <c r="F571"/>
  <c r="E571"/>
  <c r="D571"/>
  <c r="F569"/>
  <c r="E569"/>
  <c r="D569"/>
  <c r="D568" s="1"/>
  <c r="J248" i="2"/>
  <c r="I248"/>
  <c r="H248"/>
  <c r="H247" s="1"/>
  <c r="J256"/>
  <c r="I256"/>
  <c r="H256"/>
  <c r="J254"/>
  <c r="I254"/>
  <c r="H254"/>
  <c r="J252"/>
  <c r="I252"/>
  <c r="H252"/>
  <c r="J250"/>
  <c r="I250"/>
  <c r="H250"/>
  <c r="G244" i="61"/>
  <c r="G243" s="1"/>
  <c r="G242" s="1"/>
  <c r="G212" s="1"/>
  <c r="H244"/>
  <c r="H243" s="1"/>
  <c r="H242" s="1"/>
  <c r="F243"/>
  <c r="F242" s="1"/>
  <c r="F212" s="1"/>
  <c r="G251"/>
  <c r="H251"/>
  <c r="F251"/>
  <c r="G249"/>
  <c r="H249"/>
  <c r="F249"/>
  <c r="G247"/>
  <c r="H247"/>
  <c r="F247"/>
  <c r="G245"/>
  <c r="H245"/>
  <c r="F245"/>
  <c r="D603" i="3"/>
  <c r="D602" s="1"/>
  <c r="F603"/>
  <c r="F602" s="1"/>
  <c r="E603"/>
  <c r="E602" s="1"/>
  <c r="F331" i="61"/>
  <c r="F330" s="1"/>
  <c r="F329" s="1"/>
  <c r="H331"/>
  <c r="H330" s="1"/>
  <c r="H329" s="1"/>
  <c r="G331"/>
  <c r="G330" s="1"/>
  <c r="G329" s="1"/>
  <c r="I347" i="2"/>
  <c r="I346" s="1"/>
  <c r="I345" s="1"/>
  <c r="I344" s="1"/>
  <c r="J347"/>
  <c r="J346" s="1"/>
  <c r="J345" s="1"/>
  <c r="J344" s="1"/>
  <c r="H347"/>
  <c r="H346" s="1"/>
  <c r="H345" s="1"/>
  <c r="H344" s="1"/>
  <c r="H314"/>
  <c r="D368" i="3"/>
  <c r="D367" s="1"/>
  <c r="F306" i="61"/>
  <c r="D567" i="3" l="1"/>
  <c r="F568"/>
  <c r="E568"/>
  <c r="H546" i="2"/>
  <c r="H548"/>
  <c r="H551"/>
  <c r="J521"/>
  <c r="I521"/>
  <c r="H521"/>
  <c r="J519"/>
  <c r="I519"/>
  <c r="H519"/>
  <c r="J517"/>
  <c r="I517"/>
  <c r="H517"/>
  <c r="J515"/>
  <c r="I515"/>
  <c r="H515"/>
  <c r="J514"/>
  <c r="J513" s="1"/>
  <c r="I514"/>
  <c r="I513" s="1"/>
  <c r="H514"/>
  <c r="H513" s="1"/>
  <c r="J511"/>
  <c r="I511"/>
  <c r="H511"/>
  <c r="J509"/>
  <c r="I509"/>
  <c r="H509"/>
  <c r="J507"/>
  <c r="I507"/>
  <c r="H507"/>
  <c r="J505"/>
  <c r="I505"/>
  <c r="H505"/>
  <c r="J503"/>
  <c r="I503"/>
  <c r="H503"/>
  <c r="J502"/>
  <c r="J501" s="1"/>
  <c r="I502"/>
  <c r="I501" s="1"/>
  <c r="H502"/>
  <c r="H501" s="1"/>
  <c r="J499"/>
  <c r="I499"/>
  <c r="H499"/>
  <c r="J497"/>
  <c r="I497"/>
  <c r="H497"/>
  <c r="J495"/>
  <c r="I495"/>
  <c r="H495"/>
  <c r="J493"/>
  <c r="I493"/>
  <c r="H493"/>
  <c r="H490"/>
  <c r="H489" s="1"/>
  <c r="J491"/>
  <c r="I491"/>
  <c r="J490"/>
  <c r="J489" s="1"/>
  <c r="I489"/>
  <c r="H446" i="61"/>
  <c r="G470"/>
  <c r="H470"/>
  <c r="G477"/>
  <c r="H477"/>
  <c r="F477"/>
  <c r="G475"/>
  <c r="H475"/>
  <c r="F475"/>
  <c r="F470"/>
  <c r="G458"/>
  <c r="H458"/>
  <c r="F458"/>
  <c r="G467"/>
  <c r="H467"/>
  <c r="F467"/>
  <c r="G465"/>
  <c r="H465"/>
  <c r="F465"/>
  <c r="G471"/>
  <c r="H471"/>
  <c r="F471"/>
  <c r="G461"/>
  <c r="H461"/>
  <c r="F461"/>
  <c r="G473"/>
  <c r="H473"/>
  <c r="F473"/>
  <c r="G463"/>
  <c r="H463"/>
  <c r="F463"/>
  <c r="G459"/>
  <c r="H459"/>
  <c r="F459"/>
  <c r="F446"/>
  <c r="H545" i="2" l="1"/>
  <c r="H488"/>
  <c r="H487" s="1"/>
  <c r="H491"/>
  <c r="G455" i="61" l="1"/>
  <c r="H455"/>
  <c r="F455"/>
  <c r="G453"/>
  <c r="H453"/>
  <c r="F453"/>
  <c r="G451"/>
  <c r="H451"/>
  <c r="F451"/>
  <c r="G449"/>
  <c r="H449"/>
  <c r="F449"/>
  <c r="G447"/>
  <c r="H447"/>
  <c r="F447"/>
  <c r="F117" i="3" l="1"/>
  <c r="E117"/>
  <c r="D117"/>
  <c r="J704" i="2"/>
  <c r="J703" s="1"/>
  <c r="J702" s="1"/>
  <c r="I704"/>
  <c r="I703" s="1"/>
  <c r="I702" s="1"/>
  <c r="H704"/>
  <c r="H703" s="1"/>
  <c r="H702" s="1"/>
  <c r="G588" i="61"/>
  <c r="G587" s="1"/>
  <c r="H588"/>
  <c r="H587" s="1"/>
  <c r="F588"/>
  <c r="F587" s="1"/>
  <c r="F500" i="3"/>
  <c r="E500"/>
  <c r="D500"/>
  <c r="F498"/>
  <c r="E498"/>
  <c r="D498"/>
  <c r="D496"/>
  <c r="F496"/>
  <c r="E496"/>
  <c r="J90" i="2"/>
  <c r="I90"/>
  <c r="H90"/>
  <c r="J88"/>
  <c r="I88"/>
  <c r="H88"/>
  <c r="H86"/>
  <c r="J86"/>
  <c r="I86"/>
  <c r="E495" i="3" l="1"/>
  <c r="E494" s="1"/>
  <c r="H85" i="2"/>
  <c r="D495" i="3"/>
  <c r="D494" s="1"/>
  <c r="J85" i="2"/>
  <c r="I85"/>
  <c r="H469" i="61"/>
  <c r="G469"/>
  <c r="F469"/>
  <c r="H457"/>
  <c r="G457"/>
  <c r="F457"/>
  <c r="F484"/>
  <c r="F479" s="1"/>
  <c r="G92"/>
  <c r="H92"/>
  <c r="F92"/>
  <c r="G90"/>
  <c r="H90"/>
  <c r="F90"/>
  <c r="F150" i="3" l="1"/>
  <c r="E150"/>
  <c r="J853" i="2"/>
  <c r="I853"/>
  <c r="H687" i="61"/>
  <c r="G687"/>
  <c r="H676"/>
  <c r="G676"/>
  <c r="F120" i="3" l="1"/>
  <c r="F119" s="1"/>
  <c r="E120"/>
  <c r="E119" s="1"/>
  <c r="D120"/>
  <c r="D119" s="1"/>
  <c r="J752" i="2"/>
  <c r="J751" s="1"/>
  <c r="I752"/>
  <c r="I751" s="1"/>
  <c r="H752"/>
  <c r="H751" s="1"/>
  <c r="H663" i="61"/>
  <c r="G663"/>
  <c r="F663"/>
  <c r="D717" i="3" l="1"/>
  <c r="H112" i="2"/>
  <c r="F114" i="61"/>
  <c r="H56" i="2"/>
  <c r="H899"/>
  <c r="D203" i="3" l="1"/>
  <c r="D338"/>
  <c r="E693"/>
  <c r="F693"/>
  <c r="D693"/>
  <c r="D723"/>
  <c r="D658"/>
  <c r="D656"/>
  <c r="D408"/>
  <c r="H786" i="2"/>
  <c r="H377"/>
  <c r="I564"/>
  <c r="I563" s="1"/>
  <c r="I562" s="1"/>
  <c r="J564"/>
  <c r="J563" s="1"/>
  <c r="J562" s="1"/>
  <c r="H564"/>
  <c r="H563" s="1"/>
  <c r="H562" s="1"/>
  <c r="H268"/>
  <c r="H266"/>
  <c r="H213"/>
  <c r="F278" i="61"/>
  <c r="F355"/>
  <c r="G516"/>
  <c r="G515" s="1"/>
  <c r="G514" s="1"/>
  <c r="H516"/>
  <c r="H515" s="1"/>
  <c r="H514" s="1"/>
  <c r="F516"/>
  <c r="F515" s="1"/>
  <c r="F514" s="1"/>
  <c r="F262"/>
  <c r="F260"/>
  <c r="F211"/>
  <c r="F46"/>
  <c r="D463" i="3" l="1"/>
  <c r="F567"/>
  <c r="E567" l="1"/>
  <c r="F339" l="1"/>
  <c r="E339"/>
  <c r="D339"/>
  <c r="J378" i="2"/>
  <c r="I378"/>
  <c r="H378"/>
  <c r="G356" i="61"/>
  <c r="H356"/>
  <c r="F356"/>
  <c r="J267" i="2" l="1"/>
  <c r="I267"/>
  <c r="H267"/>
  <c r="F261" i="61"/>
  <c r="H261"/>
  <c r="G261"/>
  <c r="I456" i="2" l="1"/>
  <c r="J456"/>
  <c r="H456"/>
  <c r="F106" i="3" l="1"/>
  <c r="E106"/>
  <c r="J697" i="2"/>
  <c r="I697"/>
  <c r="F96" i="3"/>
  <c r="E96"/>
  <c r="J693" i="2"/>
  <c r="I693"/>
  <c r="H578" i="61"/>
  <c r="G578"/>
  <c r="G582"/>
  <c r="H582"/>
  <c r="J797" i="2"/>
  <c r="I797"/>
  <c r="E147" i="3"/>
  <c r="F147"/>
  <c r="F137"/>
  <c r="E137"/>
  <c r="J793" i="2"/>
  <c r="I793"/>
  <c r="H593" i="61"/>
  <c r="G593"/>
  <c r="G597"/>
  <c r="H597"/>
  <c r="F249" i="3" l="1"/>
  <c r="E249"/>
  <c r="D249"/>
  <c r="J623" i="2"/>
  <c r="I623"/>
  <c r="H623"/>
  <c r="H779" i="61"/>
  <c r="G779"/>
  <c r="F779"/>
  <c r="H265" l="1"/>
  <c r="G265"/>
  <c r="F265"/>
  <c r="H263"/>
  <c r="G263"/>
  <c r="F263"/>
  <c r="E655" i="3"/>
  <c r="F655"/>
  <c r="J271" i="2"/>
  <c r="I271"/>
  <c r="H271"/>
  <c r="J269"/>
  <c r="I269"/>
  <c r="H269"/>
  <c r="F665" i="3"/>
  <c r="E665"/>
  <c r="D665"/>
  <c r="F663"/>
  <c r="E663"/>
  <c r="D663"/>
  <c r="F645"/>
  <c r="E645"/>
  <c r="D645"/>
  <c r="J555" i="2"/>
  <c r="I555"/>
  <c r="H555"/>
  <c r="H508" i="61"/>
  <c r="G508"/>
  <c r="F508"/>
  <c r="F165" i="3" l="1"/>
  <c r="F164" s="1"/>
  <c r="E165"/>
  <c r="E164" s="1"/>
  <c r="D165"/>
  <c r="D164" s="1"/>
  <c r="F168"/>
  <c r="F167" s="1"/>
  <c r="E168"/>
  <c r="E167" s="1"/>
  <c r="D168"/>
  <c r="D167" s="1"/>
  <c r="H692" i="61"/>
  <c r="G692"/>
  <c r="F692"/>
  <c r="F670" i="3" l="1"/>
  <c r="E670"/>
  <c r="D670"/>
  <c r="F668"/>
  <c r="E668"/>
  <c r="D668"/>
  <c r="I265" i="2"/>
  <c r="I264" s="1"/>
  <c r="J265"/>
  <c r="J264" s="1"/>
  <c r="J276"/>
  <c r="I276"/>
  <c r="H276"/>
  <c r="J274"/>
  <c r="I274"/>
  <c r="H274"/>
  <c r="H269" i="61"/>
  <c r="G269"/>
  <c r="F269"/>
  <c r="H267"/>
  <c r="G267"/>
  <c r="F267"/>
  <c r="F650" i="3"/>
  <c r="E650"/>
  <c r="F648"/>
  <c r="E648"/>
  <c r="G500" i="61"/>
  <c r="H500"/>
  <c r="H510"/>
  <c r="G510"/>
  <c r="F510"/>
  <c r="J558" i="2"/>
  <c r="I558"/>
  <c r="J560"/>
  <c r="I560"/>
  <c r="J553"/>
  <c r="I553"/>
  <c r="H553"/>
  <c r="H550" s="1"/>
  <c r="J551"/>
  <c r="I551"/>
  <c r="H512" i="61"/>
  <c r="G512"/>
  <c r="F512"/>
  <c r="J550" i="2" l="1"/>
  <c r="I550"/>
  <c r="D647" i="3"/>
  <c r="F647"/>
  <c r="F667"/>
  <c r="E667"/>
  <c r="D667"/>
  <c r="H273" i="2"/>
  <c r="J273"/>
  <c r="E647" i="3"/>
  <c r="I273" i="2"/>
  <c r="I557"/>
  <c r="H557"/>
  <c r="H544" s="1"/>
  <c r="H543" s="1"/>
  <c r="J557"/>
  <c r="J804" l="1"/>
  <c r="J803" s="1"/>
  <c r="I804"/>
  <c r="I803" s="1"/>
  <c r="H804"/>
  <c r="H803" s="1"/>
  <c r="G602" i="61"/>
  <c r="H602"/>
  <c r="F602"/>
  <c r="J860" i="2" l="1"/>
  <c r="J859" s="1"/>
  <c r="I860"/>
  <c r="I859" s="1"/>
  <c r="H860"/>
  <c r="H859" s="1"/>
  <c r="J857"/>
  <c r="I857"/>
  <c r="H857"/>
  <c r="J855"/>
  <c r="I855"/>
  <c r="H855"/>
  <c r="I247" l="1"/>
  <c r="J247"/>
  <c r="H246"/>
  <c r="H238" l="1"/>
  <c r="H229" s="1"/>
  <c r="H215" s="1"/>
  <c r="H214" s="1"/>
  <c r="J246"/>
  <c r="J214" s="1"/>
  <c r="J223"/>
  <c r="I246"/>
  <c r="I214" s="1"/>
  <c r="I223"/>
  <c r="H506" i="61"/>
  <c r="G506"/>
  <c r="F506"/>
  <c r="F332" i="3" l="1"/>
  <c r="E332"/>
  <c r="D332"/>
  <c r="F330"/>
  <c r="F329" s="1"/>
  <c r="E330"/>
  <c r="E329" s="1"/>
  <c r="D330"/>
  <c r="J371" i="2"/>
  <c r="I371"/>
  <c r="H371"/>
  <c r="H350" i="61"/>
  <c r="G350"/>
  <c r="F350"/>
  <c r="D329" i="3" l="1"/>
  <c r="F437" i="61"/>
  <c r="H478" i="2"/>
  <c r="D485" i="3"/>
  <c r="D292" l="1"/>
  <c r="H334" i="2"/>
  <c r="F321" i="61"/>
  <c r="D231" i="3"/>
  <c r="H291" i="2"/>
  <c r="F286" i="61"/>
  <c r="F155" i="3" l="1"/>
  <c r="E155"/>
  <c r="D155"/>
  <c r="J799" i="2"/>
  <c r="J798" s="1"/>
  <c r="I799"/>
  <c r="I798" s="1"/>
  <c r="H799"/>
  <c r="H798" s="1"/>
  <c r="H389" i="61"/>
  <c r="G389"/>
  <c r="F389"/>
  <c r="J419" i="2"/>
  <c r="I419"/>
  <c r="H419"/>
  <c r="G598" i="61"/>
  <c r="H598"/>
  <c r="F598"/>
  <c r="F153" i="3" l="1"/>
  <c r="E153"/>
  <c r="D153"/>
  <c r="H690" i="61"/>
  <c r="G690"/>
  <c r="F690"/>
  <c r="H560" l="1"/>
  <c r="G560"/>
  <c r="F560"/>
  <c r="J672" i="2"/>
  <c r="I672"/>
  <c r="H672"/>
  <c r="E72" i="3"/>
  <c r="F72"/>
  <c r="D72"/>
  <c r="F93" l="1"/>
  <c r="E93"/>
  <c r="D93"/>
  <c r="J678" i="2"/>
  <c r="I678"/>
  <c r="H678"/>
  <c r="H565" i="61"/>
  <c r="G565"/>
  <c r="F565"/>
  <c r="F218" i="3" l="1"/>
  <c r="E218"/>
  <c r="D218"/>
  <c r="J78" i="2"/>
  <c r="I78"/>
  <c r="H78"/>
  <c r="F81" i="61"/>
  <c r="H445" l="1"/>
  <c r="H444" s="1"/>
  <c r="G445"/>
  <c r="G444" s="1"/>
  <c r="F445"/>
  <c r="F444" s="1"/>
  <c r="F495" i="3" l="1"/>
  <c r="F494" s="1"/>
  <c r="J84" i="2"/>
  <c r="J83" s="1"/>
  <c r="I84"/>
  <c r="I83" s="1"/>
  <c r="H88" i="61"/>
  <c r="H87" s="1"/>
  <c r="H86" s="1"/>
  <c r="G88"/>
  <c r="G87" s="1"/>
  <c r="G86" s="1"/>
  <c r="F88"/>
  <c r="F87" s="1"/>
  <c r="H84" i="2" l="1"/>
  <c r="H83" s="1"/>
  <c r="F668" i="61" l="1"/>
  <c r="H757" i="2"/>
  <c r="D125" i="3"/>
  <c r="D724"/>
  <c r="H57" i="2"/>
  <c r="F47" i="61"/>
  <c r="D686" i="3"/>
  <c r="H98" i="2"/>
  <c r="F100" i="61"/>
  <c r="J488" i="2" l="1"/>
  <c r="J487" s="1"/>
  <c r="I488"/>
  <c r="I487" s="1"/>
  <c r="D470" i="3" l="1"/>
  <c r="D469" s="1"/>
  <c r="E470"/>
  <c r="E469" s="1"/>
  <c r="F470"/>
  <c r="F469" s="1"/>
  <c r="J440" i="2" l="1"/>
  <c r="J439" s="1"/>
  <c r="J438" s="1"/>
  <c r="J437" s="1"/>
  <c r="I440"/>
  <c r="I439" s="1"/>
  <c r="I438" s="1"/>
  <c r="I437" s="1"/>
  <c r="H440"/>
  <c r="H439" s="1"/>
  <c r="H438" s="1"/>
  <c r="H437" s="1"/>
  <c r="H405" i="61"/>
  <c r="H404" s="1"/>
  <c r="H403" s="1"/>
  <c r="G405"/>
  <c r="G404" s="1"/>
  <c r="G403" s="1"/>
  <c r="F405"/>
  <c r="F404" s="1"/>
  <c r="F403" s="1"/>
  <c r="F737" i="3" l="1"/>
  <c r="E737"/>
  <c r="D737"/>
  <c r="I32" i="2"/>
  <c r="J32"/>
  <c r="H32"/>
  <c r="G36" i="61"/>
  <c r="H36"/>
  <c r="F36"/>
  <c r="F111" l="1"/>
  <c r="H376" i="2" l="1"/>
  <c r="H375" s="1"/>
  <c r="H763" i="61"/>
  <c r="G763"/>
  <c r="F763"/>
  <c r="H760"/>
  <c r="G760"/>
  <c r="F760"/>
  <c r="H758"/>
  <c r="G758"/>
  <c r="F758"/>
  <c r="J887" i="2"/>
  <c r="I887"/>
  <c r="H887"/>
  <c r="J885"/>
  <c r="I885"/>
  <c r="H885"/>
  <c r="H708" i="61"/>
  <c r="G708"/>
  <c r="F708"/>
  <c r="J877" i="2"/>
  <c r="I877"/>
  <c r="H877"/>
  <c r="H703" i="61"/>
  <c r="H702" s="1"/>
  <c r="G703"/>
  <c r="G702" s="1"/>
  <c r="F703"/>
  <c r="F702" s="1"/>
  <c r="J872" i="2"/>
  <c r="J871" s="1"/>
  <c r="I872"/>
  <c r="I871" s="1"/>
  <c r="H872"/>
  <c r="H871" s="1"/>
  <c r="H688" i="61"/>
  <c r="G688"/>
  <c r="F688"/>
  <c r="H686"/>
  <c r="G686"/>
  <c r="F686"/>
  <c r="J852" i="2"/>
  <c r="I852"/>
  <c r="H853"/>
  <c r="H852" s="1"/>
  <c r="H683" i="61"/>
  <c r="G683"/>
  <c r="F683"/>
  <c r="H680"/>
  <c r="G680"/>
  <c r="F680"/>
  <c r="H678"/>
  <c r="G678"/>
  <c r="F678"/>
  <c r="H675"/>
  <c r="G675"/>
  <c r="H844" i="2"/>
  <c r="I844"/>
  <c r="J844"/>
  <c r="H846"/>
  <c r="I846"/>
  <c r="J846"/>
  <c r="H849"/>
  <c r="I849"/>
  <c r="J849"/>
  <c r="H636" i="61"/>
  <c r="G636"/>
  <c r="F636"/>
  <c r="H634"/>
  <c r="G634"/>
  <c r="F634"/>
  <c r="J829" i="2"/>
  <c r="I829"/>
  <c r="H829"/>
  <c r="J827"/>
  <c r="I827"/>
  <c r="H827"/>
  <c r="H631" i="61"/>
  <c r="G631"/>
  <c r="F631"/>
  <c r="H629"/>
  <c r="G629"/>
  <c r="F629"/>
  <c r="J823" i="2"/>
  <c r="I823"/>
  <c r="H823"/>
  <c r="J821"/>
  <c r="I821"/>
  <c r="H821"/>
  <c r="H627" i="61"/>
  <c r="G627"/>
  <c r="F627"/>
  <c r="H625"/>
  <c r="G625"/>
  <c r="F625"/>
  <c r="H623"/>
  <c r="G623"/>
  <c r="F623"/>
  <c r="J818" i="2"/>
  <c r="I818"/>
  <c r="H818"/>
  <c r="J816"/>
  <c r="I816"/>
  <c r="H816"/>
  <c r="J814"/>
  <c r="I814"/>
  <c r="H814"/>
  <c r="H596" i="61"/>
  <c r="G596"/>
  <c r="F596"/>
  <c r="H594"/>
  <c r="G594"/>
  <c r="F594"/>
  <c r="H592"/>
  <c r="G592"/>
  <c r="F592"/>
  <c r="H277"/>
  <c r="H276" s="1"/>
  <c r="G277"/>
  <c r="G276" s="1"/>
  <c r="F277"/>
  <c r="F276" s="1"/>
  <c r="F275" s="1"/>
  <c r="J785" i="2"/>
  <c r="J784" s="1"/>
  <c r="J783" s="1"/>
  <c r="I785"/>
  <c r="I784" s="1"/>
  <c r="I783" s="1"/>
  <c r="H785"/>
  <c r="H784" s="1"/>
  <c r="H783" s="1"/>
  <c r="H442" i="61"/>
  <c r="G442"/>
  <c r="F442"/>
  <c r="H440"/>
  <c r="G440"/>
  <c r="F440"/>
  <c r="H436"/>
  <c r="G436"/>
  <c r="F436"/>
  <c r="H434"/>
  <c r="G434"/>
  <c r="F434"/>
  <c r="H431"/>
  <c r="G431"/>
  <c r="F431"/>
  <c r="H429"/>
  <c r="G429"/>
  <c r="F429"/>
  <c r="H427"/>
  <c r="G427"/>
  <c r="F427"/>
  <c r="H424"/>
  <c r="G424"/>
  <c r="F424"/>
  <c r="H422"/>
  <c r="G422"/>
  <c r="F422"/>
  <c r="H419"/>
  <c r="G419"/>
  <c r="F419"/>
  <c r="H417"/>
  <c r="G417"/>
  <c r="F417"/>
  <c r="H415"/>
  <c r="G415"/>
  <c r="F415"/>
  <c r="H413"/>
  <c r="G413"/>
  <c r="F413"/>
  <c r="H411"/>
  <c r="G411"/>
  <c r="F411"/>
  <c r="H409"/>
  <c r="G409"/>
  <c r="F409"/>
  <c r="J485" i="2"/>
  <c r="J484" s="1"/>
  <c r="I485"/>
  <c r="I484" s="1"/>
  <c r="H485"/>
  <c r="H484" s="1"/>
  <c r="J482"/>
  <c r="I482"/>
  <c r="H482"/>
  <c r="J477"/>
  <c r="I477"/>
  <c r="H477"/>
  <c r="J475"/>
  <c r="I475"/>
  <c r="H475"/>
  <c r="J471"/>
  <c r="I471"/>
  <c r="H471"/>
  <c r="J469"/>
  <c r="I469"/>
  <c r="H469"/>
  <c r="J467"/>
  <c r="I467"/>
  <c r="H467"/>
  <c r="J463"/>
  <c r="J462" s="1"/>
  <c r="I463"/>
  <c r="I462" s="1"/>
  <c r="H463"/>
  <c r="H462" s="1"/>
  <c r="J460"/>
  <c r="J459" s="1"/>
  <c r="I460"/>
  <c r="I459" s="1"/>
  <c r="H460"/>
  <c r="H459" s="1"/>
  <c r="J454"/>
  <c r="I454"/>
  <c r="H454"/>
  <c r="J452"/>
  <c r="I452"/>
  <c r="H452"/>
  <c r="J449"/>
  <c r="I449"/>
  <c r="H449"/>
  <c r="J447"/>
  <c r="I447"/>
  <c r="H447"/>
  <c r="J445"/>
  <c r="I445"/>
  <c r="H445"/>
  <c r="F116" i="61"/>
  <c r="G116"/>
  <c r="H148"/>
  <c r="G148"/>
  <c r="I150" i="2"/>
  <c r="I149" s="1"/>
  <c r="J150"/>
  <c r="J149" s="1"/>
  <c r="H394" i="61"/>
  <c r="H393" s="1"/>
  <c r="G394"/>
  <c r="G393" s="1"/>
  <c r="F394"/>
  <c r="F393" s="1"/>
  <c r="J425" i="2"/>
  <c r="J424" s="1"/>
  <c r="J423" s="1"/>
  <c r="I425"/>
  <c r="I424" s="1"/>
  <c r="I423" s="1"/>
  <c r="H425"/>
  <c r="H424" s="1"/>
  <c r="H423" s="1"/>
  <c r="F344" i="3"/>
  <c r="E344"/>
  <c r="D344"/>
  <c r="F591" i="61" l="1"/>
  <c r="I444" i="2"/>
  <c r="J444"/>
  <c r="G408" i="61"/>
  <c r="H408"/>
  <c r="F408"/>
  <c r="H444" i="2"/>
  <c r="J474"/>
  <c r="H474"/>
  <c r="I474"/>
  <c r="F433" i="61"/>
  <c r="J820" i="2"/>
  <c r="J813"/>
  <c r="H820"/>
  <c r="H813"/>
  <c r="H591" i="61"/>
  <c r="G591"/>
  <c r="G622"/>
  <c r="H673"/>
  <c r="F673"/>
  <c r="I813" i="2"/>
  <c r="H458"/>
  <c r="I820"/>
  <c r="F622" i="61"/>
  <c r="H622"/>
  <c r="G673"/>
  <c r="H839" i="2"/>
  <c r="H838" s="1"/>
  <c r="J839"/>
  <c r="J838" s="1"/>
  <c r="I839"/>
  <c r="I838" s="1"/>
  <c r="H210" i="61"/>
  <c r="G210"/>
  <c r="F210"/>
  <c r="H206"/>
  <c r="G206"/>
  <c r="F206"/>
  <c r="H204"/>
  <c r="G204"/>
  <c r="F204"/>
  <c r="H202"/>
  <c r="G202"/>
  <c r="F202"/>
  <c r="H200"/>
  <c r="G200"/>
  <c r="F200"/>
  <c r="H198"/>
  <c r="G198"/>
  <c r="F198"/>
  <c r="H196"/>
  <c r="G196"/>
  <c r="F196"/>
  <c r="H194"/>
  <c r="G194"/>
  <c r="F194"/>
  <c r="H192"/>
  <c r="G192"/>
  <c r="F192"/>
  <c r="H190"/>
  <c r="G190"/>
  <c r="F190"/>
  <c r="H188"/>
  <c r="G188"/>
  <c r="F188"/>
  <c r="J212" i="2"/>
  <c r="I212"/>
  <c r="H212"/>
  <c r="J208"/>
  <c r="I208"/>
  <c r="H208"/>
  <c r="J206"/>
  <c r="I206"/>
  <c r="H206"/>
  <c r="J204"/>
  <c r="I204"/>
  <c r="H204"/>
  <c r="J202"/>
  <c r="I202"/>
  <c r="H202"/>
  <c r="J200"/>
  <c r="I200"/>
  <c r="H200"/>
  <c r="J198"/>
  <c r="I198"/>
  <c r="H198"/>
  <c r="J196"/>
  <c r="I196"/>
  <c r="H196"/>
  <c r="J194"/>
  <c r="I194"/>
  <c r="H194"/>
  <c r="J192"/>
  <c r="I192"/>
  <c r="H192"/>
  <c r="J190"/>
  <c r="I190"/>
  <c r="H190"/>
  <c r="E407" i="3"/>
  <c r="F407"/>
  <c r="D407"/>
  <c r="F393"/>
  <c r="E393"/>
  <c r="D393"/>
  <c r="F187" i="61" l="1"/>
  <c r="I189" i="2"/>
  <c r="J189"/>
  <c r="H189"/>
  <c r="G187" i="61"/>
  <c r="H187"/>
  <c r="F391" i="3"/>
  <c r="E391"/>
  <c r="D391"/>
  <c r="H34" i="61" l="1"/>
  <c r="G34"/>
  <c r="F34"/>
  <c r="H32"/>
  <c r="G32"/>
  <c r="F32"/>
  <c r="J30" i="2"/>
  <c r="I30"/>
  <c r="H30"/>
  <c r="J28"/>
  <c r="I28"/>
  <c r="H28"/>
  <c r="H750" i="61"/>
  <c r="G750"/>
  <c r="F750"/>
  <c r="G749"/>
  <c r="G748" s="1"/>
  <c r="H748"/>
  <c r="F748"/>
  <c r="J603" i="2"/>
  <c r="I603"/>
  <c r="H603"/>
  <c r="I602"/>
  <c r="I601" s="1"/>
  <c r="J601"/>
  <c r="H601"/>
  <c r="J27" l="1"/>
  <c r="H27"/>
  <c r="I27"/>
  <c r="E192" i="3"/>
  <c r="F192"/>
  <c r="D192"/>
  <c r="F775" i="61" l="1"/>
  <c r="F773"/>
  <c r="F771"/>
  <c r="H619" i="2"/>
  <c r="H617"/>
  <c r="H615"/>
  <c r="H363" i="61"/>
  <c r="G363"/>
  <c r="F363"/>
  <c r="J387" i="2"/>
  <c r="I387"/>
  <c r="F350" i="3"/>
  <c r="E350"/>
  <c r="H739" i="61" l="1"/>
  <c r="G739"/>
  <c r="F739"/>
  <c r="H720"/>
  <c r="G720"/>
  <c r="F720"/>
  <c r="H666"/>
  <c r="G666"/>
  <c r="F666"/>
  <c r="H661"/>
  <c r="G661"/>
  <c r="F661"/>
  <c r="H659"/>
  <c r="G659"/>
  <c r="F659"/>
  <c r="H656"/>
  <c r="G656"/>
  <c r="F656"/>
  <c r="H654"/>
  <c r="G654"/>
  <c r="F654"/>
  <c r="H652"/>
  <c r="G652"/>
  <c r="F652"/>
  <c r="H649"/>
  <c r="G649"/>
  <c r="F649"/>
  <c r="H647"/>
  <c r="G647"/>
  <c r="F647"/>
  <c r="H645"/>
  <c r="G645"/>
  <c r="F645"/>
  <c r="H618"/>
  <c r="G618"/>
  <c r="F618"/>
  <c r="H616"/>
  <c r="G616"/>
  <c r="F616"/>
  <c r="H585"/>
  <c r="G585"/>
  <c r="F585"/>
  <c r="H583"/>
  <c r="G583"/>
  <c r="F583"/>
  <c r="H581"/>
  <c r="G581"/>
  <c r="F581"/>
  <c r="H579"/>
  <c r="G579"/>
  <c r="F579"/>
  <c r="H577"/>
  <c r="G577"/>
  <c r="F577"/>
  <c r="H575"/>
  <c r="G575"/>
  <c r="F575"/>
  <c r="H573"/>
  <c r="G573"/>
  <c r="F573"/>
  <c r="H558"/>
  <c r="G558"/>
  <c r="F558"/>
  <c r="H554"/>
  <c r="G554"/>
  <c r="F554"/>
  <c r="H552"/>
  <c r="G552"/>
  <c r="F552"/>
  <c r="H550"/>
  <c r="G550"/>
  <c r="F550"/>
  <c r="H548"/>
  <c r="G548"/>
  <c r="F548"/>
  <c r="H546"/>
  <c r="G546"/>
  <c r="F546"/>
  <c r="H544"/>
  <c r="G544"/>
  <c r="F544"/>
  <c r="H542"/>
  <c r="G542"/>
  <c r="F542"/>
  <c r="H535"/>
  <c r="G535"/>
  <c r="F535"/>
  <c r="H531"/>
  <c r="G531"/>
  <c r="F531"/>
  <c r="H529"/>
  <c r="G529"/>
  <c r="F529"/>
  <c r="H527"/>
  <c r="G527"/>
  <c r="F527"/>
  <c r="H525"/>
  <c r="G525"/>
  <c r="F525"/>
  <c r="H523"/>
  <c r="G523"/>
  <c r="F523"/>
  <c r="F540"/>
  <c r="G540"/>
  <c r="H540"/>
  <c r="F564"/>
  <c r="G564"/>
  <c r="H564"/>
  <c r="F568"/>
  <c r="F567" s="1"/>
  <c r="F566" s="1"/>
  <c r="G568"/>
  <c r="G567" s="1"/>
  <c r="G566" s="1"/>
  <c r="H568"/>
  <c r="H567" s="1"/>
  <c r="H566" s="1"/>
  <c r="J700" i="2"/>
  <c r="I700"/>
  <c r="H700"/>
  <c r="J698"/>
  <c r="I698"/>
  <c r="H698"/>
  <c r="I722"/>
  <c r="J722"/>
  <c r="J645"/>
  <c r="I645"/>
  <c r="H645"/>
  <c r="J670"/>
  <c r="I670"/>
  <c r="H670"/>
  <c r="G539" i="61" l="1"/>
  <c r="F539"/>
  <c r="F538" s="1"/>
  <c r="F537" s="1"/>
  <c r="H539"/>
  <c r="H538" s="1"/>
  <c r="H537" s="1"/>
  <c r="F522"/>
  <c r="F521" s="1"/>
  <c r="F520" s="1"/>
  <c r="G572"/>
  <c r="G571" s="1"/>
  <c r="H572"/>
  <c r="H571" s="1"/>
  <c r="F658"/>
  <c r="F644"/>
  <c r="H644"/>
  <c r="G538"/>
  <c r="G537" s="1"/>
  <c r="G522"/>
  <c r="G521" s="1"/>
  <c r="G520" s="1"/>
  <c r="F572"/>
  <c r="F571" s="1"/>
  <c r="G644"/>
  <c r="H522"/>
  <c r="H521" s="1"/>
  <c r="H520" s="1"/>
  <c r="E109" i="3" l="1"/>
  <c r="F109"/>
  <c r="D109"/>
  <c r="E70"/>
  <c r="F70"/>
  <c r="D70"/>
  <c r="E68"/>
  <c r="F68"/>
  <c r="D68"/>
  <c r="H641" i="2" l="1"/>
  <c r="H639"/>
  <c r="J174"/>
  <c r="J173" s="1"/>
  <c r="I174"/>
  <c r="I173" s="1"/>
  <c r="H174"/>
  <c r="H173" s="1"/>
  <c r="F403" i="3"/>
  <c r="E403"/>
  <c r="D403"/>
  <c r="H99" i="61" l="1"/>
  <c r="G99"/>
  <c r="F99"/>
  <c r="J97" i="2"/>
  <c r="I97"/>
  <c r="H97"/>
  <c r="F685" i="3"/>
  <c r="E685"/>
  <c r="D685"/>
  <c r="H621" i="2" l="1"/>
  <c r="I621"/>
  <c r="J621"/>
  <c r="D230" i="3"/>
  <c r="H290" i="2"/>
  <c r="E435" i="3" l="1"/>
  <c r="F435"/>
  <c r="D435"/>
  <c r="D467"/>
  <c r="D466" s="1"/>
  <c r="D465" s="1"/>
  <c r="F492"/>
  <c r="F491" s="1"/>
  <c r="F489"/>
  <c r="F488" s="1"/>
  <c r="F484"/>
  <c r="F482"/>
  <c r="F481" s="1"/>
  <c r="F478"/>
  <c r="F476"/>
  <c r="F474"/>
  <c r="F467"/>
  <c r="F463"/>
  <c r="F461"/>
  <c r="F459"/>
  <c r="F456"/>
  <c r="F454"/>
  <c r="F452"/>
  <c r="D492"/>
  <c r="D491" s="1"/>
  <c r="E492"/>
  <c r="E491" s="1"/>
  <c r="D452"/>
  <c r="F451" l="1"/>
  <c r="F473"/>
  <c r="F472" s="1"/>
  <c r="F458"/>
  <c r="F480"/>
  <c r="F466"/>
  <c r="F465" s="1"/>
  <c r="F450" l="1"/>
  <c r="F449" s="1"/>
  <c r="E107"/>
  <c r="F107"/>
  <c r="D107"/>
  <c r="F725" l="1"/>
  <c r="E725"/>
  <c r="D725"/>
  <c r="J897" i="2"/>
  <c r="I897"/>
  <c r="H897"/>
  <c r="G56" i="61" l="1"/>
  <c r="H56"/>
  <c r="F56"/>
  <c r="H402"/>
  <c r="H401" s="1"/>
  <c r="G402"/>
  <c r="G401" s="1"/>
  <c r="F401"/>
  <c r="J436" i="2"/>
  <c r="J435" s="1"/>
  <c r="J434" s="1"/>
  <c r="I436"/>
  <c r="I435" s="1"/>
  <c r="I434" s="1"/>
  <c r="H435"/>
  <c r="H434" s="1"/>
  <c r="H432"/>
  <c r="H431" s="1"/>
  <c r="I432"/>
  <c r="I431" s="1"/>
  <c r="J432"/>
  <c r="J431" s="1"/>
  <c r="F361" i="3"/>
  <c r="E361"/>
  <c r="F401" l="1"/>
  <c r="E401"/>
  <c r="D401"/>
  <c r="F399"/>
  <c r="E399"/>
  <c r="D399"/>
  <c r="F397"/>
  <c r="E397"/>
  <c r="D397"/>
  <c r="F395"/>
  <c r="E395"/>
  <c r="D395"/>
  <c r="F389"/>
  <c r="E389"/>
  <c r="D389"/>
  <c r="E387"/>
  <c r="D387"/>
  <c r="F387"/>
  <c r="F385"/>
  <c r="E385"/>
  <c r="D385"/>
  <c r="F415"/>
  <c r="E415"/>
  <c r="D415"/>
  <c r="F413"/>
  <c r="E413"/>
  <c r="D413"/>
  <c r="F411"/>
  <c r="E411"/>
  <c r="D411"/>
  <c r="E384" l="1"/>
  <c r="F384"/>
  <c r="D384"/>
  <c r="F410"/>
  <c r="E410"/>
  <c r="D410"/>
  <c r="H504" i="61"/>
  <c r="G504"/>
  <c r="F504"/>
  <c r="H502"/>
  <c r="G502"/>
  <c r="F502"/>
  <c r="F500"/>
  <c r="J548" i="2"/>
  <c r="I548"/>
  <c r="J546"/>
  <c r="I546"/>
  <c r="J167"/>
  <c r="I167"/>
  <c r="H167"/>
  <c r="J165"/>
  <c r="I165"/>
  <c r="H165"/>
  <c r="H163" i="61"/>
  <c r="G163"/>
  <c r="F163"/>
  <c r="H161"/>
  <c r="G161"/>
  <c r="F161"/>
  <c r="J545" i="2" l="1"/>
  <c r="J544" s="1"/>
  <c r="J543" s="1"/>
  <c r="I545"/>
  <c r="I544" s="1"/>
  <c r="I543" s="1"/>
  <c r="F499" i="61"/>
  <c r="G499"/>
  <c r="G498" s="1"/>
  <c r="H499"/>
  <c r="H498" s="1"/>
  <c r="I263" i="2"/>
  <c r="I262" s="1"/>
  <c r="J263"/>
  <c r="J262" s="1"/>
  <c r="H164"/>
  <c r="H163" s="1"/>
  <c r="J164"/>
  <c r="J163" s="1"/>
  <c r="F160" i="61"/>
  <c r="I164" i="2"/>
  <c r="I163" s="1"/>
  <c r="F360" i="3"/>
  <c r="F359" s="1"/>
  <c r="E360"/>
  <c r="E359" s="1"/>
  <c r="D360"/>
  <c r="D359" s="1"/>
  <c r="F354"/>
  <c r="F353" s="1"/>
  <c r="D354"/>
  <c r="D353" s="1"/>
  <c r="F321" l="1"/>
  <c r="E321"/>
  <c r="D321"/>
  <c r="F319"/>
  <c r="E319"/>
  <c r="D319"/>
  <c r="J417" i="2"/>
  <c r="I417"/>
  <c r="H417"/>
  <c r="G387" i="61"/>
  <c r="H387"/>
  <c r="F387"/>
  <c r="H345" l="1"/>
  <c r="H344" s="1"/>
  <c r="G345"/>
  <c r="G344" s="1"/>
  <c r="F345"/>
  <c r="F344" s="1"/>
  <c r="J365" i="2"/>
  <c r="J364" s="1"/>
  <c r="J363" s="1"/>
  <c r="I365"/>
  <c r="I364" s="1"/>
  <c r="I363" s="1"/>
  <c r="H365"/>
  <c r="H364" s="1"/>
  <c r="H363" s="1"/>
  <c r="F326" i="3"/>
  <c r="F325" s="1"/>
  <c r="E326"/>
  <c r="E325" s="1"/>
  <c r="D326"/>
  <c r="D325" s="1"/>
  <c r="G340" i="61" l="1"/>
  <c r="H340"/>
  <c r="F700" i="3"/>
  <c r="E700"/>
  <c r="D700"/>
  <c r="J65" i="2"/>
  <c r="I65"/>
  <c r="H65"/>
  <c r="F447" i="3" l="1"/>
  <c r="E447"/>
  <c r="D447"/>
  <c r="F445"/>
  <c r="E445"/>
  <c r="D445"/>
  <c r="F441"/>
  <c r="E441"/>
  <c r="D441"/>
  <c r="F439"/>
  <c r="E439"/>
  <c r="D439"/>
  <c r="F433"/>
  <c r="E433"/>
  <c r="D433"/>
  <c r="F429"/>
  <c r="E429"/>
  <c r="D429"/>
  <c r="F427"/>
  <c r="E427"/>
  <c r="D427"/>
  <c r="J147" i="2"/>
  <c r="I147"/>
  <c r="H147"/>
  <c r="J145"/>
  <c r="I145"/>
  <c r="H145"/>
  <c r="J141"/>
  <c r="I141"/>
  <c r="H141"/>
  <c r="J139"/>
  <c r="I139"/>
  <c r="H139"/>
  <c r="J135"/>
  <c r="I135"/>
  <c r="H135"/>
  <c r="J133"/>
  <c r="I133"/>
  <c r="H133"/>
  <c r="J129"/>
  <c r="I129"/>
  <c r="H129"/>
  <c r="J127"/>
  <c r="I127"/>
  <c r="H127"/>
  <c r="F422" i="3"/>
  <c r="E422"/>
  <c r="D422"/>
  <c r="F420"/>
  <c r="E420"/>
  <c r="D420"/>
  <c r="H157" i="61"/>
  <c r="G157"/>
  <c r="F157"/>
  <c r="H155"/>
  <c r="G155"/>
  <c r="F155"/>
  <c r="J307" i="2" l="1"/>
  <c r="I307"/>
  <c r="H307"/>
  <c r="J305"/>
  <c r="I305"/>
  <c r="H305"/>
  <c r="J303"/>
  <c r="I303"/>
  <c r="H303"/>
  <c r="J300"/>
  <c r="I300"/>
  <c r="H300"/>
  <c r="J298"/>
  <c r="I298"/>
  <c r="H298"/>
  <c r="J295"/>
  <c r="I295"/>
  <c r="H295"/>
  <c r="H299" i="61"/>
  <c r="G299"/>
  <c r="F299"/>
  <c r="H297"/>
  <c r="G297"/>
  <c r="F297"/>
  <c r="H302" i="2" l="1"/>
  <c r="I302"/>
  <c r="J302"/>
  <c r="F274" i="3"/>
  <c r="E274"/>
  <c r="D274"/>
  <c r="F272"/>
  <c r="E272"/>
  <c r="D272"/>
  <c r="F230" l="1"/>
  <c r="E230"/>
  <c r="F228"/>
  <c r="E228"/>
  <c r="D228"/>
  <c r="F225"/>
  <c r="F224" s="1"/>
  <c r="E225"/>
  <c r="E224" s="1"/>
  <c r="D225"/>
  <c r="D224" s="1"/>
  <c r="F216"/>
  <c r="E216"/>
  <c r="D216"/>
  <c r="F214"/>
  <c r="F213" s="1"/>
  <c r="E214"/>
  <c r="E213" s="1"/>
  <c r="D214"/>
  <c r="F211"/>
  <c r="F210" s="1"/>
  <c r="E211"/>
  <c r="E210" s="1"/>
  <c r="D211"/>
  <c r="D210" s="1"/>
  <c r="J290" i="2"/>
  <c r="I290"/>
  <c r="J288"/>
  <c r="I288"/>
  <c r="H288"/>
  <c r="H285"/>
  <c r="I285"/>
  <c r="J285"/>
  <c r="J76"/>
  <c r="I76"/>
  <c r="H76"/>
  <c r="J74"/>
  <c r="J73" s="1"/>
  <c r="I74"/>
  <c r="H74"/>
  <c r="J71"/>
  <c r="I71"/>
  <c r="H71"/>
  <c r="I64"/>
  <c r="I63" s="1"/>
  <c r="J64"/>
  <c r="J63" s="1"/>
  <c r="H64"/>
  <c r="H63" s="1"/>
  <c r="H66" i="61"/>
  <c r="H65" s="1"/>
  <c r="H64" s="1"/>
  <c r="G66"/>
  <c r="G65" s="1"/>
  <c r="G64" s="1"/>
  <c r="F66"/>
  <c r="F65" s="1"/>
  <c r="F64" s="1"/>
  <c r="H73" i="2" l="1"/>
  <c r="D213" i="3"/>
  <c r="I73" i="2"/>
  <c r="J287"/>
  <c r="I287"/>
  <c r="D227" i="3"/>
  <c r="F227"/>
  <c r="H287" i="2"/>
  <c r="E227" i="3"/>
  <c r="E702"/>
  <c r="F702"/>
  <c r="D702"/>
  <c r="J866" i="2"/>
  <c r="I866"/>
  <c r="H866"/>
  <c r="J864"/>
  <c r="I864"/>
  <c r="H864"/>
  <c r="H586"/>
  <c r="G698" i="61"/>
  <c r="H698"/>
  <c r="F698"/>
  <c r="J279" i="2"/>
  <c r="J278" s="1"/>
  <c r="I279"/>
  <c r="I278" s="1"/>
  <c r="H279"/>
  <c r="H278" s="1"/>
  <c r="J863" l="1"/>
  <c r="J862" s="1"/>
  <c r="I863"/>
  <c r="I862" s="1"/>
  <c r="H272" i="61"/>
  <c r="H271" s="1"/>
  <c r="G272"/>
  <c r="G271" s="1"/>
  <c r="F272"/>
  <c r="F271" s="1"/>
  <c r="J314" i="2" l="1"/>
  <c r="I314"/>
  <c r="J312"/>
  <c r="I312"/>
  <c r="H312"/>
  <c r="G285" i="61"/>
  <c r="H285"/>
  <c r="F285"/>
  <c r="H305"/>
  <c r="G305"/>
  <c r="F305"/>
  <c r="H303"/>
  <c r="G303"/>
  <c r="F303"/>
  <c r="I311" i="2" l="1"/>
  <c r="I310" s="1"/>
  <c r="I309" s="1"/>
  <c r="H311"/>
  <c r="H310" s="1"/>
  <c r="H309" s="1"/>
  <c r="J311"/>
  <c r="J310" s="1"/>
  <c r="J309" s="1"/>
  <c r="F302" i="61"/>
  <c r="F301" s="1"/>
  <c r="H302"/>
  <c r="H301" s="1"/>
  <c r="G302"/>
  <c r="G301" s="1"/>
  <c r="F92" i="3" l="1"/>
  <c r="E738"/>
  <c r="D738"/>
  <c r="E735"/>
  <c r="D735"/>
  <c r="E733"/>
  <c r="D733"/>
  <c r="E729"/>
  <c r="D729"/>
  <c r="E721"/>
  <c r="D721"/>
  <c r="E719"/>
  <c r="D719"/>
  <c r="E714"/>
  <c r="D714"/>
  <c r="E696"/>
  <c r="D696"/>
  <c r="E691"/>
  <c r="D691"/>
  <c r="E687"/>
  <c r="D687"/>
  <c r="E683"/>
  <c r="D683"/>
  <c r="E680"/>
  <c r="D680"/>
  <c r="E677"/>
  <c r="D677"/>
  <c r="E674"/>
  <c r="E673" s="1"/>
  <c r="D674"/>
  <c r="D673" s="1"/>
  <c r="E661"/>
  <c r="D661"/>
  <c r="E659"/>
  <c r="D659"/>
  <c r="E657"/>
  <c r="D657"/>
  <c r="D655"/>
  <c r="E643"/>
  <c r="D643"/>
  <c r="E641"/>
  <c r="D641"/>
  <c r="E638"/>
  <c r="D638"/>
  <c r="E636"/>
  <c r="D636"/>
  <c r="E631"/>
  <c r="E630" s="1"/>
  <c r="D631"/>
  <c r="D630" s="1"/>
  <c r="E628"/>
  <c r="E627" s="1"/>
  <c r="D628"/>
  <c r="D627" s="1"/>
  <c r="E625"/>
  <c r="E624" s="1"/>
  <c r="D625"/>
  <c r="D624" s="1"/>
  <c r="E621"/>
  <c r="E620" s="1"/>
  <c r="D621"/>
  <c r="D620" s="1"/>
  <c r="E618"/>
  <c r="D618"/>
  <c r="E617"/>
  <c r="E616" s="1"/>
  <c r="D616"/>
  <c r="E611"/>
  <c r="E610" s="1"/>
  <c r="D611"/>
  <c r="D610" s="1"/>
  <c r="E489"/>
  <c r="E488" s="1"/>
  <c r="D489"/>
  <c r="D488" s="1"/>
  <c r="E484"/>
  <c r="D484"/>
  <c r="E482"/>
  <c r="D482"/>
  <c r="E478"/>
  <c r="D478"/>
  <c r="E476"/>
  <c r="D476"/>
  <c r="E474"/>
  <c r="D474"/>
  <c r="E467"/>
  <c r="E463"/>
  <c r="E461"/>
  <c r="D461"/>
  <c r="E459"/>
  <c r="D459"/>
  <c r="E456"/>
  <c r="D456"/>
  <c r="E454"/>
  <c r="D454"/>
  <c r="E452"/>
  <c r="E444"/>
  <c r="E443" s="1"/>
  <c r="D444"/>
  <c r="D443" s="1"/>
  <c r="E438"/>
  <c r="E437" s="1"/>
  <c r="D438"/>
  <c r="D437" s="1"/>
  <c r="E432"/>
  <c r="E431" s="1"/>
  <c r="D432"/>
  <c r="D431" s="1"/>
  <c r="E426"/>
  <c r="D426"/>
  <c r="E425"/>
  <c r="D425"/>
  <c r="E419"/>
  <c r="E418" s="1"/>
  <c r="E417" s="1"/>
  <c r="D419"/>
  <c r="D418" s="1"/>
  <c r="D417" s="1"/>
  <c r="E409"/>
  <c r="D383"/>
  <c r="E383"/>
  <c r="E380"/>
  <c r="D380"/>
  <c r="E378"/>
  <c r="D378"/>
  <c r="E374"/>
  <c r="E373" s="1"/>
  <c r="D374"/>
  <c r="D373" s="1"/>
  <c r="E371"/>
  <c r="D371"/>
  <c r="D370" s="1"/>
  <c r="E367"/>
  <c r="E365"/>
  <c r="D365"/>
  <c r="E357"/>
  <c r="E356" s="1"/>
  <c r="D357"/>
  <c r="D356" s="1"/>
  <c r="D352" s="1"/>
  <c r="E354"/>
  <c r="E353" s="1"/>
  <c r="E348"/>
  <c r="E347" s="1"/>
  <c r="E346" s="1"/>
  <c r="D347"/>
  <c r="E342"/>
  <c r="E341" s="1"/>
  <c r="D342"/>
  <c r="D341" s="1"/>
  <c r="E337"/>
  <c r="D337"/>
  <c r="E317"/>
  <c r="D317"/>
  <c r="E313"/>
  <c r="E312" s="1"/>
  <c r="D313"/>
  <c r="D312" s="1"/>
  <c r="E310"/>
  <c r="E309" s="1"/>
  <c r="E308" s="1"/>
  <c r="D310"/>
  <c r="D309" s="1"/>
  <c r="E305"/>
  <c r="E304" s="1"/>
  <c r="E303" s="1"/>
  <c r="E302" s="1"/>
  <c r="D305"/>
  <c r="D304" s="1"/>
  <c r="D303" s="1"/>
  <c r="D302" s="1"/>
  <c r="E300"/>
  <c r="E299" s="1"/>
  <c r="D300"/>
  <c r="D299" s="1"/>
  <c r="E297"/>
  <c r="E296" s="1"/>
  <c r="D297"/>
  <c r="D296" s="1"/>
  <c r="E293"/>
  <c r="D293"/>
  <c r="E291"/>
  <c r="D291"/>
  <c r="E288"/>
  <c r="D288"/>
  <c r="E286"/>
  <c r="D286"/>
  <c r="E282"/>
  <c r="E281" s="1"/>
  <c r="D282"/>
  <c r="D281" s="1"/>
  <c r="E279"/>
  <c r="E278" s="1"/>
  <c r="D279"/>
  <c r="D278" s="1"/>
  <c r="E270"/>
  <c r="E269" s="1"/>
  <c r="D270"/>
  <c r="D269" s="1"/>
  <c r="E267"/>
  <c r="D267"/>
  <c r="E265"/>
  <c r="D265"/>
  <c r="E262"/>
  <c r="E261" s="1"/>
  <c r="D262"/>
  <c r="D261" s="1"/>
  <c r="E258"/>
  <c r="E257" s="1"/>
  <c r="D258"/>
  <c r="D257" s="1"/>
  <c r="E255"/>
  <c r="E254" s="1"/>
  <c r="D255"/>
  <c r="D254" s="1"/>
  <c r="E247"/>
  <c r="D247"/>
  <c r="E245"/>
  <c r="D245"/>
  <c r="E243"/>
  <c r="D243"/>
  <c r="E241"/>
  <c r="D241"/>
  <c r="E239"/>
  <c r="D239"/>
  <c r="E235"/>
  <c r="E234" s="1"/>
  <c r="D235"/>
  <c r="D223"/>
  <c r="E223"/>
  <c r="E209"/>
  <c r="E205"/>
  <c r="E204" s="1"/>
  <c r="D205"/>
  <c r="D204" s="1"/>
  <c r="E202"/>
  <c r="E201" s="1"/>
  <c r="E200" s="1"/>
  <c r="D202"/>
  <c r="D201" s="1"/>
  <c r="D200" s="1"/>
  <c r="E198"/>
  <c r="D198"/>
  <c r="E196"/>
  <c r="D196"/>
  <c r="E190"/>
  <c r="D190"/>
  <c r="E188"/>
  <c r="D188"/>
  <c r="E185"/>
  <c r="D185"/>
  <c r="E183"/>
  <c r="D183"/>
  <c r="E181"/>
  <c r="D181"/>
  <c r="E174"/>
  <c r="D174"/>
  <c r="E172"/>
  <c r="D172"/>
  <c r="E160"/>
  <c r="E159" s="1"/>
  <c r="D160"/>
  <c r="D159" s="1"/>
  <c r="E151"/>
  <c r="D151"/>
  <c r="E149"/>
  <c r="D149"/>
  <c r="E146"/>
  <c r="D146"/>
  <c r="E143"/>
  <c r="D143"/>
  <c r="E140"/>
  <c r="D140"/>
  <c r="E138"/>
  <c r="D138"/>
  <c r="E136"/>
  <c r="D136"/>
  <c r="E134"/>
  <c r="D134"/>
  <c r="E123"/>
  <c r="E122" s="1"/>
  <c r="D123"/>
  <c r="D122" s="1"/>
  <c r="E115"/>
  <c r="D115"/>
  <c r="E113"/>
  <c r="D113"/>
  <c r="E105"/>
  <c r="D105"/>
  <c r="E103"/>
  <c r="D103"/>
  <c r="E101"/>
  <c r="D101"/>
  <c r="E99"/>
  <c r="D99"/>
  <c r="E97"/>
  <c r="D97"/>
  <c r="E95"/>
  <c r="D95"/>
  <c r="E92"/>
  <c r="D92"/>
  <c r="E90"/>
  <c r="D90"/>
  <c r="E87"/>
  <c r="D87"/>
  <c r="E85"/>
  <c r="D85"/>
  <c r="E82"/>
  <c r="D82"/>
  <c r="E80"/>
  <c r="D80"/>
  <c r="E77"/>
  <c r="E76" s="1"/>
  <c r="D77"/>
  <c r="D76" s="1"/>
  <c r="E64"/>
  <c r="D64"/>
  <c r="E62"/>
  <c r="D62"/>
  <c r="E60"/>
  <c r="D60"/>
  <c r="E56"/>
  <c r="D56"/>
  <c r="E54"/>
  <c r="D54"/>
  <c r="E52"/>
  <c r="D52"/>
  <c r="E50"/>
  <c r="D50"/>
  <c r="E48"/>
  <c r="D48"/>
  <c r="E46"/>
  <c r="D46"/>
  <c r="E43"/>
  <c r="D43"/>
  <c r="E41"/>
  <c r="D41"/>
  <c r="E39"/>
  <c r="D39"/>
  <c r="E37"/>
  <c r="D37"/>
  <c r="E35"/>
  <c r="D35"/>
  <c r="E33"/>
  <c r="E32" s="1"/>
  <c r="D33"/>
  <c r="E30"/>
  <c r="D30"/>
  <c r="E28"/>
  <c r="D28"/>
  <c r="D171" l="1"/>
  <c r="D170" s="1"/>
  <c r="D32"/>
  <c r="D148"/>
  <c r="D238"/>
  <c r="E451"/>
  <c r="D451"/>
  <c r="D316"/>
  <c r="D315" s="1"/>
  <c r="E316"/>
  <c r="E315" s="1"/>
  <c r="E171"/>
  <c r="E170" s="1"/>
  <c r="D481"/>
  <c r="D480" s="1"/>
  <c r="E481"/>
  <c r="E480" s="1"/>
  <c r="D285"/>
  <c r="D290"/>
  <c r="D295"/>
  <c r="D732"/>
  <c r="E718"/>
  <c r="E277"/>
  <c r="D112"/>
  <c r="D111" s="1"/>
  <c r="E112"/>
  <c r="E111" s="1"/>
  <c r="E195"/>
  <c r="E194" s="1"/>
  <c r="E285"/>
  <c r="D264"/>
  <c r="D260" s="1"/>
  <c r="D705"/>
  <c r="D473"/>
  <c r="D472" s="1"/>
  <c r="E290"/>
  <c r="E295"/>
  <c r="D623"/>
  <c r="E654"/>
  <c r="E653" s="1"/>
  <c r="E652" s="1"/>
  <c r="E732"/>
  <c r="E473"/>
  <c r="E472" s="1"/>
  <c r="E623"/>
  <c r="E264"/>
  <c r="E260" s="1"/>
  <c r="D690"/>
  <c r="D277"/>
  <c r="D377"/>
  <c r="D376" s="1"/>
  <c r="E94"/>
  <c r="D458"/>
  <c r="E705"/>
  <c r="D718"/>
  <c r="E180"/>
  <c r="E238"/>
  <c r="E237" s="1"/>
  <c r="E377"/>
  <c r="E376" s="1"/>
  <c r="E615"/>
  <c r="E609" s="1"/>
  <c r="D79"/>
  <c r="D94"/>
  <c r="E148"/>
  <c r="E187"/>
  <c r="D308"/>
  <c r="D364"/>
  <c r="D363" s="1"/>
  <c r="D635"/>
  <c r="D640"/>
  <c r="E676"/>
  <c r="E690"/>
  <c r="D237"/>
  <c r="E352"/>
  <c r="E364"/>
  <c r="E363" s="1"/>
  <c r="E635"/>
  <c r="E640"/>
  <c r="E336"/>
  <c r="E328" s="1"/>
  <c r="D336"/>
  <c r="D328" s="1"/>
  <c r="D654"/>
  <c r="D653" s="1"/>
  <c r="D652" s="1"/>
  <c r="D129"/>
  <c r="E129"/>
  <c r="E458"/>
  <c r="E253"/>
  <c r="D253"/>
  <c r="D676"/>
  <c r="D615"/>
  <c r="D609" s="1"/>
  <c r="D187"/>
  <c r="E79"/>
  <c r="E27"/>
  <c r="D27"/>
  <c r="E466"/>
  <c r="E465" s="1"/>
  <c r="E424"/>
  <c r="D346"/>
  <c r="D234"/>
  <c r="D233" s="1"/>
  <c r="E233"/>
  <c r="E370"/>
  <c r="E369" s="1"/>
  <c r="E208"/>
  <c r="D195"/>
  <c r="D194" s="1"/>
  <c r="D209"/>
  <c r="D208" s="1"/>
  <c r="D180"/>
  <c r="D369"/>
  <c r="D424"/>
  <c r="E382"/>
  <c r="D409"/>
  <c r="D382" s="1"/>
  <c r="J613" i="2"/>
  <c r="I909"/>
  <c r="I908" s="1"/>
  <c r="I907" s="1"/>
  <c r="I906" s="1"/>
  <c r="I905" s="1"/>
  <c r="H909"/>
  <c r="H908" s="1"/>
  <c r="H907" s="1"/>
  <c r="H906" s="1"/>
  <c r="H905" s="1"/>
  <c r="I903"/>
  <c r="I902" s="1"/>
  <c r="I901" s="1"/>
  <c r="H903"/>
  <c r="H902" s="1"/>
  <c r="H901" s="1"/>
  <c r="I896"/>
  <c r="I895" s="1"/>
  <c r="I894" s="1"/>
  <c r="H896"/>
  <c r="H895" s="1"/>
  <c r="H894" s="1"/>
  <c r="I884"/>
  <c r="I883" s="1"/>
  <c r="I882" s="1"/>
  <c r="I881" s="1"/>
  <c r="I880" s="1"/>
  <c r="H884"/>
  <c r="H883" s="1"/>
  <c r="H882" s="1"/>
  <c r="H881" s="1"/>
  <c r="H880" s="1"/>
  <c r="I876"/>
  <c r="H876"/>
  <c r="I870"/>
  <c r="H870"/>
  <c r="H863"/>
  <c r="H862" s="1"/>
  <c r="I833"/>
  <c r="I832" s="1"/>
  <c r="I831" s="1"/>
  <c r="H833"/>
  <c r="H832" s="1"/>
  <c r="H831" s="1"/>
  <c r="I826"/>
  <c r="I825" s="1"/>
  <c r="H826"/>
  <c r="H825" s="1"/>
  <c r="I812"/>
  <c r="H812"/>
  <c r="I808"/>
  <c r="I807" s="1"/>
  <c r="I806" s="1"/>
  <c r="H808"/>
  <c r="H807" s="1"/>
  <c r="H806" s="1"/>
  <c r="I796"/>
  <c r="H796"/>
  <c r="I794"/>
  <c r="H794"/>
  <c r="I792"/>
  <c r="H792"/>
  <c r="I782"/>
  <c r="I781" s="1"/>
  <c r="H782"/>
  <c r="H781" s="1"/>
  <c r="I779"/>
  <c r="I778" s="1"/>
  <c r="H779"/>
  <c r="H778" s="1"/>
  <c r="I770"/>
  <c r="I769" s="1"/>
  <c r="I768" s="1"/>
  <c r="I767" s="1"/>
  <c r="I766" s="1"/>
  <c r="H770"/>
  <c r="H769" s="1"/>
  <c r="H768" s="1"/>
  <c r="H767" s="1"/>
  <c r="H766" s="1"/>
  <c r="I764"/>
  <c r="I763" s="1"/>
  <c r="I762" s="1"/>
  <c r="I761" s="1"/>
  <c r="I760" s="1"/>
  <c r="H764"/>
  <c r="H763" s="1"/>
  <c r="H762" s="1"/>
  <c r="H761" s="1"/>
  <c r="H760" s="1"/>
  <c r="I755"/>
  <c r="I754" s="1"/>
  <c r="H755"/>
  <c r="H754" s="1"/>
  <c r="I749"/>
  <c r="H749"/>
  <c r="I747"/>
  <c r="H747"/>
  <c r="I743"/>
  <c r="H743"/>
  <c r="I741"/>
  <c r="H741"/>
  <c r="I739"/>
  <c r="H739"/>
  <c r="I735"/>
  <c r="I734" s="1"/>
  <c r="H735"/>
  <c r="H734" s="1"/>
  <c r="I732"/>
  <c r="I731" s="1"/>
  <c r="H732"/>
  <c r="H731" s="1"/>
  <c r="I729"/>
  <c r="I728" s="1"/>
  <c r="H729"/>
  <c r="H728" s="1"/>
  <c r="H722"/>
  <c r="I720"/>
  <c r="I719" s="1"/>
  <c r="I718" s="1"/>
  <c r="I717" s="1"/>
  <c r="I716" s="1"/>
  <c r="H720"/>
  <c r="I714"/>
  <c r="I713" s="1"/>
  <c r="H714"/>
  <c r="H713" s="1"/>
  <c r="I708"/>
  <c r="I707" s="1"/>
  <c r="I706" s="1"/>
  <c r="H708"/>
  <c r="H707" s="1"/>
  <c r="H706" s="1"/>
  <c r="I696"/>
  <c r="H696"/>
  <c r="I694"/>
  <c r="H694"/>
  <c r="I692"/>
  <c r="H692"/>
  <c r="I689"/>
  <c r="H689"/>
  <c r="I687"/>
  <c r="H687"/>
  <c r="I681"/>
  <c r="I680" s="1"/>
  <c r="I679" s="1"/>
  <c r="H681"/>
  <c r="H680" s="1"/>
  <c r="H679" s="1"/>
  <c r="I677"/>
  <c r="I676" s="1"/>
  <c r="H677"/>
  <c r="H676" s="1"/>
  <c r="I666"/>
  <c r="H666"/>
  <c r="I664"/>
  <c r="H664"/>
  <c r="I662"/>
  <c r="H662"/>
  <c r="I660"/>
  <c r="H660"/>
  <c r="I658"/>
  <c r="H658"/>
  <c r="I656"/>
  <c r="H656"/>
  <c r="I654"/>
  <c r="H654"/>
  <c r="I651"/>
  <c r="I650" s="1"/>
  <c r="H651"/>
  <c r="H650" s="1"/>
  <c r="I641"/>
  <c r="I639"/>
  <c r="I637"/>
  <c r="H637"/>
  <c r="I635"/>
  <c r="H635"/>
  <c r="I633"/>
  <c r="H633"/>
  <c r="I619"/>
  <c r="I617"/>
  <c r="I615"/>
  <c r="I613"/>
  <c r="H613"/>
  <c r="H612" s="1"/>
  <c r="I606"/>
  <c r="I605" s="1"/>
  <c r="H606"/>
  <c r="H605" s="1"/>
  <c r="I600"/>
  <c r="H600"/>
  <c r="I596"/>
  <c r="I595" s="1"/>
  <c r="H596"/>
  <c r="H595" s="1"/>
  <c r="I586"/>
  <c r="I585" s="1"/>
  <c r="I584" s="1"/>
  <c r="I583" s="1"/>
  <c r="H585"/>
  <c r="H584" s="1"/>
  <c r="H583" s="1"/>
  <c r="I581"/>
  <c r="I580" s="1"/>
  <c r="H581"/>
  <c r="H580" s="1"/>
  <c r="I578"/>
  <c r="I577" s="1"/>
  <c r="H578"/>
  <c r="H577" s="1"/>
  <c r="I572"/>
  <c r="I571" s="1"/>
  <c r="H572"/>
  <c r="H571" s="1"/>
  <c r="I481"/>
  <c r="H481"/>
  <c r="I466"/>
  <c r="I465" s="1"/>
  <c r="H466"/>
  <c r="H465" s="1"/>
  <c r="I458"/>
  <c r="I451"/>
  <c r="I443" s="1"/>
  <c r="H451"/>
  <c r="H443" s="1"/>
  <c r="I429"/>
  <c r="I428" s="1"/>
  <c r="H429"/>
  <c r="H428" s="1"/>
  <c r="I415"/>
  <c r="H415"/>
  <c r="I410"/>
  <c r="I409" s="1"/>
  <c r="I408" s="1"/>
  <c r="I407" s="1"/>
  <c r="H410"/>
  <c r="H409" s="1"/>
  <c r="H408" s="1"/>
  <c r="H407" s="1"/>
  <c r="I399"/>
  <c r="I398" s="1"/>
  <c r="I397" s="1"/>
  <c r="H399"/>
  <c r="H398" s="1"/>
  <c r="H397" s="1"/>
  <c r="I395"/>
  <c r="I394" s="1"/>
  <c r="H395"/>
  <c r="H394" s="1"/>
  <c r="I392"/>
  <c r="H392"/>
  <c r="H391" s="1"/>
  <c r="I385"/>
  <c r="I384" s="1"/>
  <c r="I383" s="1"/>
  <c r="I381"/>
  <c r="I380" s="1"/>
  <c r="H381"/>
  <c r="H380" s="1"/>
  <c r="I376"/>
  <c r="I375" s="1"/>
  <c r="I369"/>
  <c r="I368" s="1"/>
  <c r="H369"/>
  <c r="H368" s="1"/>
  <c r="I361"/>
  <c r="I360" s="1"/>
  <c r="H361"/>
  <c r="H360" s="1"/>
  <c r="I358"/>
  <c r="I357" s="1"/>
  <c r="H358"/>
  <c r="H357" s="1"/>
  <c r="I353"/>
  <c r="I352" s="1"/>
  <c r="H353"/>
  <c r="H352" s="1"/>
  <c r="I342"/>
  <c r="I341" s="1"/>
  <c r="H342"/>
  <c r="H341" s="1"/>
  <c r="I339"/>
  <c r="I338" s="1"/>
  <c r="H339"/>
  <c r="H338" s="1"/>
  <c r="I335"/>
  <c r="H335"/>
  <c r="I333"/>
  <c r="H333"/>
  <c r="I330"/>
  <c r="H330"/>
  <c r="I328"/>
  <c r="H328"/>
  <c r="I324"/>
  <c r="I323" s="1"/>
  <c r="H324"/>
  <c r="H323" s="1"/>
  <c r="I321"/>
  <c r="I320" s="1"/>
  <c r="H321"/>
  <c r="H320" s="1"/>
  <c r="I297"/>
  <c r="H297"/>
  <c r="I294"/>
  <c r="H294"/>
  <c r="I284"/>
  <c r="I283" s="1"/>
  <c r="I282" s="1"/>
  <c r="H284"/>
  <c r="H283" s="1"/>
  <c r="H282" s="1"/>
  <c r="H265"/>
  <c r="H188"/>
  <c r="H187" s="1"/>
  <c r="I188"/>
  <c r="I187" s="1"/>
  <c r="I184"/>
  <c r="H184"/>
  <c r="I182"/>
  <c r="H182"/>
  <c r="I180"/>
  <c r="H180"/>
  <c r="H172"/>
  <c r="H171" s="1"/>
  <c r="H170" s="1"/>
  <c r="I172"/>
  <c r="I171" s="1"/>
  <c r="I170" s="1"/>
  <c r="I162"/>
  <c r="H162"/>
  <c r="I160"/>
  <c r="H160"/>
  <c r="I158"/>
  <c r="H158"/>
  <c r="H149"/>
  <c r="H144"/>
  <c r="I144"/>
  <c r="I143"/>
  <c r="I138"/>
  <c r="H138"/>
  <c r="I137"/>
  <c r="H137"/>
  <c r="H132"/>
  <c r="H131" s="1"/>
  <c r="I132"/>
  <c r="I131" s="1"/>
  <c r="I125"/>
  <c r="I126"/>
  <c r="H126"/>
  <c r="I121"/>
  <c r="I120" s="1"/>
  <c r="I119" s="1"/>
  <c r="H121"/>
  <c r="H118" s="1"/>
  <c r="I114"/>
  <c r="I113" s="1"/>
  <c r="H114"/>
  <c r="H113" s="1"/>
  <c r="I109"/>
  <c r="H109"/>
  <c r="I100"/>
  <c r="I99" s="1"/>
  <c r="H100"/>
  <c r="H99" s="1"/>
  <c r="I94"/>
  <c r="I93" s="1"/>
  <c r="H94"/>
  <c r="H93" s="1"/>
  <c r="H70"/>
  <c r="I70"/>
  <c r="I69" s="1"/>
  <c r="I68" s="1"/>
  <c r="I61"/>
  <c r="I60" s="1"/>
  <c r="I59" s="1"/>
  <c r="I58" s="1"/>
  <c r="H61"/>
  <c r="H60" s="1"/>
  <c r="H59" s="1"/>
  <c r="H58" s="1"/>
  <c r="I54"/>
  <c r="I53" s="1"/>
  <c r="H54"/>
  <c r="H53" s="1"/>
  <c r="I50"/>
  <c r="I49" s="1"/>
  <c r="H50"/>
  <c r="H49" s="1"/>
  <c r="I45"/>
  <c r="I43" s="1"/>
  <c r="I42" s="1"/>
  <c r="H45"/>
  <c r="H44" s="1"/>
  <c r="I37"/>
  <c r="I36" s="1"/>
  <c r="I35" s="1"/>
  <c r="I34" s="1"/>
  <c r="I33" s="1"/>
  <c r="H37"/>
  <c r="H36" s="1"/>
  <c r="H35" s="1"/>
  <c r="H34" s="1"/>
  <c r="H33" s="1"/>
  <c r="I26"/>
  <c r="I25" s="1"/>
  <c r="H320" i="61"/>
  <c r="H653" i="2" l="1"/>
  <c r="H649" s="1"/>
  <c r="H648" s="1"/>
  <c r="H647" s="1"/>
  <c r="I653"/>
  <c r="H414"/>
  <c r="H413" s="1"/>
  <c r="I414"/>
  <c r="I413" s="1"/>
  <c r="H632"/>
  <c r="H631" s="1"/>
  <c r="H630" s="1"/>
  <c r="H629" s="1"/>
  <c r="I632"/>
  <c r="D284" i="3"/>
  <c r="D276" s="1"/>
  <c r="E608"/>
  <c r="E284"/>
  <c r="E276" s="1"/>
  <c r="D608"/>
  <c r="D672"/>
  <c r="D128"/>
  <c r="E179"/>
  <c r="D450"/>
  <c r="D449" s="1"/>
  <c r="I570" i="2"/>
  <c r="I569" s="1"/>
  <c r="I568" s="1"/>
  <c r="I777"/>
  <c r="I776" s="1"/>
  <c r="I775" s="1"/>
  <c r="I774" s="1"/>
  <c r="I576"/>
  <c r="I575" s="1"/>
  <c r="I574" s="1"/>
  <c r="H719"/>
  <c r="H718" s="1"/>
  <c r="H717" s="1"/>
  <c r="H716" s="1"/>
  <c r="H356"/>
  <c r="H777"/>
  <c r="H776" s="1"/>
  <c r="H775" s="1"/>
  <c r="H774" s="1"/>
  <c r="E634" i="3"/>
  <c r="E633" s="1"/>
  <c r="E672"/>
  <c r="H120" i="2"/>
  <c r="H119" s="1"/>
  <c r="H293"/>
  <c r="H292" s="1"/>
  <c r="H281" s="1"/>
  <c r="H473"/>
  <c r="H442" s="1"/>
  <c r="I686"/>
  <c r="H869"/>
  <c r="H868" s="1"/>
  <c r="I104"/>
  <c r="I92" s="1"/>
  <c r="I67" s="1"/>
  <c r="H791"/>
  <c r="H790" s="1"/>
  <c r="H789" s="1"/>
  <c r="H788" s="1"/>
  <c r="I869"/>
  <c r="I868" s="1"/>
  <c r="E128" i="3"/>
  <c r="E307"/>
  <c r="I893" i="2"/>
  <c r="I892" s="1"/>
  <c r="H893"/>
  <c r="H892" s="1"/>
  <c r="H712"/>
  <c r="H711" s="1"/>
  <c r="H710" s="1"/>
  <c r="I157"/>
  <c r="I156" s="1"/>
  <c r="I155" s="1"/>
  <c r="I154" s="1"/>
  <c r="I179"/>
  <c r="I178" s="1"/>
  <c r="I177" s="1"/>
  <c r="I176" s="1"/>
  <c r="I293"/>
  <c r="I292" s="1"/>
  <c r="I281" s="1"/>
  <c r="I712"/>
  <c r="I711" s="1"/>
  <c r="I710" s="1"/>
  <c r="H738"/>
  <c r="H727" s="1"/>
  <c r="I327"/>
  <c r="I337"/>
  <c r="I473"/>
  <c r="I442" s="1"/>
  <c r="H570"/>
  <c r="H569" s="1"/>
  <c r="H568" s="1"/>
  <c r="H576"/>
  <c r="H575" s="1"/>
  <c r="H574" s="1"/>
  <c r="H686"/>
  <c r="H691"/>
  <c r="I738"/>
  <c r="I727" s="1"/>
  <c r="I759"/>
  <c r="I811"/>
  <c r="I810" s="1"/>
  <c r="H759"/>
  <c r="H811"/>
  <c r="H810" s="1"/>
  <c r="H319"/>
  <c r="H367"/>
  <c r="H746"/>
  <c r="I118"/>
  <c r="H327"/>
  <c r="H332"/>
  <c r="H337"/>
  <c r="H351"/>
  <c r="H350" s="1"/>
  <c r="I356"/>
  <c r="I367"/>
  <c r="I691"/>
  <c r="I685" s="1"/>
  <c r="I746"/>
  <c r="I745" s="1"/>
  <c r="D362" i="3"/>
  <c r="E450"/>
  <c r="E449" s="1"/>
  <c r="I351" i="2"/>
  <c r="I350" s="1"/>
  <c r="H264"/>
  <c r="H263" s="1"/>
  <c r="H262" s="1"/>
  <c r="H186" s="1"/>
  <c r="H611"/>
  <c r="D634" i="3"/>
  <c r="D633" s="1"/>
  <c r="I186" i="2"/>
  <c r="I649"/>
  <c r="I648" s="1"/>
  <c r="I647" s="1"/>
  <c r="H104"/>
  <c r="H92" s="1"/>
  <c r="D179" i="3"/>
  <c r="I791" i="2"/>
  <c r="I790" s="1"/>
  <c r="I789" s="1"/>
  <c r="I788" s="1"/>
  <c r="H384"/>
  <c r="H383" s="1"/>
  <c r="I612"/>
  <c r="I611" s="1"/>
  <c r="I609" s="1"/>
  <c r="I608" s="1"/>
  <c r="E26" i="3"/>
  <c r="E25" s="1"/>
  <c r="I631" i="2"/>
  <c r="I630" s="1"/>
  <c r="I629" s="1"/>
  <c r="I319"/>
  <c r="H390"/>
  <c r="H389" s="1"/>
  <c r="I44"/>
  <c r="I391"/>
  <c r="I390" s="1"/>
  <c r="I389" s="1"/>
  <c r="I48"/>
  <c r="I47" s="1"/>
  <c r="H43"/>
  <c r="H42" s="1"/>
  <c r="H48"/>
  <c r="H47" s="1"/>
  <c r="H179"/>
  <c r="H178" s="1"/>
  <c r="H177" s="1"/>
  <c r="H176" s="1"/>
  <c r="I332"/>
  <c r="H837"/>
  <c r="H836" s="1"/>
  <c r="I427"/>
  <c r="H427"/>
  <c r="D307" i="3"/>
  <c r="I837" i="2"/>
  <c r="I836" s="1"/>
  <c r="D232" i="3"/>
  <c r="H157" i="2"/>
  <c r="H156" s="1"/>
  <c r="H155" s="1"/>
  <c r="H154" s="1"/>
  <c r="E232" i="3"/>
  <c r="E362"/>
  <c r="I24" i="2"/>
  <c r="I23" s="1"/>
  <c r="D26" i="3"/>
  <c r="D25" s="1"/>
  <c r="I594" i="2"/>
  <c r="I593" s="1"/>
  <c r="I592" s="1"/>
  <c r="I124"/>
  <c r="I123" s="1"/>
  <c r="H143"/>
  <c r="H125"/>
  <c r="H69"/>
  <c r="H68" s="1"/>
  <c r="H26"/>
  <c r="H25" s="1"/>
  <c r="H24" s="1"/>
  <c r="H23" s="1"/>
  <c r="H594"/>
  <c r="H593" s="1"/>
  <c r="H592" s="1"/>
  <c r="G787" i="61"/>
  <c r="G786" s="1"/>
  <c r="G785" s="1"/>
  <c r="G784" s="1"/>
  <c r="G783" s="1"/>
  <c r="F787"/>
  <c r="F786" s="1"/>
  <c r="F785" s="1"/>
  <c r="F784" s="1"/>
  <c r="F783" s="1"/>
  <c r="G777"/>
  <c r="F777"/>
  <c r="G775"/>
  <c r="G773"/>
  <c r="G771"/>
  <c r="G769"/>
  <c r="F769"/>
  <c r="F757"/>
  <c r="F756" s="1"/>
  <c r="F755" s="1"/>
  <c r="F754" s="1"/>
  <c r="G752"/>
  <c r="F752"/>
  <c r="G744"/>
  <c r="F744"/>
  <c r="F738"/>
  <c r="F737" s="1"/>
  <c r="G738"/>
  <c r="G737" s="1"/>
  <c r="G730"/>
  <c r="G729" s="1"/>
  <c r="G728" s="1"/>
  <c r="F730"/>
  <c r="F729" s="1"/>
  <c r="F728" s="1"/>
  <c r="G726"/>
  <c r="F726"/>
  <c r="G724"/>
  <c r="F724"/>
  <c r="G719"/>
  <c r="G718" s="1"/>
  <c r="F719"/>
  <c r="F718" s="1"/>
  <c r="G714"/>
  <c r="G713" s="1"/>
  <c r="G712" s="1"/>
  <c r="F714"/>
  <c r="F713" s="1"/>
  <c r="F712" s="1"/>
  <c r="G707"/>
  <c r="G701" s="1"/>
  <c r="G700" s="1"/>
  <c r="F707"/>
  <c r="F701" s="1"/>
  <c r="F700" s="1"/>
  <c r="G696"/>
  <c r="G695" s="1"/>
  <c r="G694" s="1"/>
  <c r="F696"/>
  <c r="F695" s="1"/>
  <c r="F694" s="1"/>
  <c r="G665"/>
  <c r="F665"/>
  <c r="G640"/>
  <c r="G639" s="1"/>
  <c r="G638" s="1"/>
  <c r="F640"/>
  <c r="F639" s="1"/>
  <c r="F638" s="1"/>
  <c r="G633"/>
  <c r="G621" s="1"/>
  <c r="F633"/>
  <c r="F621" s="1"/>
  <c r="G615"/>
  <c r="G614" s="1"/>
  <c r="F615"/>
  <c r="F614" s="1"/>
  <c r="G611"/>
  <c r="G610" s="1"/>
  <c r="G609" s="1"/>
  <c r="G608" s="1"/>
  <c r="F611"/>
  <c r="F610" s="1"/>
  <c r="F609" s="1"/>
  <c r="F608" s="1"/>
  <c r="G606"/>
  <c r="G605" s="1"/>
  <c r="G604" s="1"/>
  <c r="F606"/>
  <c r="F605" s="1"/>
  <c r="F604" s="1"/>
  <c r="G590"/>
  <c r="F590"/>
  <c r="F498"/>
  <c r="G433"/>
  <c r="G426"/>
  <c r="F426"/>
  <c r="F421"/>
  <c r="G399"/>
  <c r="F399"/>
  <c r="G397"/>
  <c r="F397"/>
  <c r="G385"/>
  <c r="G384" s="1"/>
  <c r="F385"/>
  <c r="F384" s="1"/>
  <c r="G381"/>
  <c r="G380" s="1"/>
  <c r="G379" s="1"/>
  <c r="F381"/>
  <c r="F380" s="1"/>
  <c r="F379" s="1"/>
  <c r="G372"/>
  <c r="G371" s="1"/>
  <c r="F372"/>
  <c r="F371" s="1"/>
  <c r="G369"/>
  <c r="F369"/>
  <c r="G367"/>
  <c r="F367"/>
  <c r="G361"/>
  <c r="G360" s="1"/>
  <c r="F361"/>
  <c r="F360" s="1"/>
  <c r="G358"/>
  <c r="F358"/>
  <c r="G354"/>
  <c r="F354"/>
  <c r="G348"/>
  <c r="F348"/>
  <c r="G342"/>
  <c r="G339" s="1"/>
  <c r="F342"/>
  <c r="F340"/>
  <c r="G336"/>
  <c r="G335" s="1"/>
  <c r="G334" s="1"/>
  <c r="F336"/>
  <c r="F335" s="1"/>
  <c r="F334" s="1"/>
  <c r="G327"/>
  <c r="F327"/>
  <c r="G325"/>
  <c r="F325"/>
  <c r="G322"/>
  <c r="F322"/>
  <c r="G320"/>
  <c r="F320"/>
  <c r="G318"/>
  <c r="F318"/>
  <c r="G316"/>
  <c r="F316"/>
  <c r="G313"/>
  <c r="F313"/>
  <c r="G311"/>
  <c r="F311"/>
  <c r="G295"/>
  <c r="F295"/>
  <c r="G293"/>
  <c r="F293"/>
  <c r="G291"/>
  <c r="F291"/>
  <c r="G289"/>
  <c r="F289"/>
  <c r="G283"/>
  <c r="F283"/>
  <c r="G281"/>
  <c r="F281"/>
  <c r="G275"/>
  <c r="G259"/>
  <c r="F259"/>
  <c r="F258" s="1"/>
  <c r="G183"/>
  <c r="F183"/>
  <c r="G181"/>
  <c r="F181"/>
  <c r="G179"/>
  <c r="F179"/>
  <c r="G174"/>
  <c r="G173" s="1"/>
  <c r="G172" s="1"/>
  <c r="G171" s="1"/>
  <c r="F174"/>
  <c r="F173" s="1"/>
  <c r="F172" s="1"/>
  <c r="F171" s="1"/>
  <c r="G169"/>
  <c r="G168" s="1"/>
  <c r="G167" s="1"/>
  <c r="G166" s="1"/>
  <c r="F169"/>
  <c r="F168" s="1"/>
  <c r="F167" s="1"/>
  <c r="F166" s="1"/>
  <c r="G160"/>
  <c r="G159" s="1"/>
  <c r="F159"/>
  <c r="G154"/>
  <c r="G153" s="1"/>
  <c r="F154"/>
  <c r="F153" s="1"/>
  <c r="G147"/>
  <c r="F147"/>
  <c r="G145"/>
  <c r="F145"/>
  <c r="G143"/>
  <c r="F143"/>
  <c r="G140"/>
  <c r="F140"/>
  <c r="G138"/>
  <c r="F138"/>
  <c r="G135"/>
  <c r="F135"/>
  <c r="G133"/>
  <c r="F133"/>
  <c r="G130"/>
  <c r="F130"/>
  <c r="G128"/>
  <c r="F128"/>
  <c r="G123"/>
  <c r="G122" s="1"/>
  <c r="G121" s="1"/>
  <c r="F123"/>
  <c r="F122" s="1"/>
  <c r="F121" s="1"/>
  <c r="G115"/>
  <c r="F115"/>
  <c r="G111"/>
  <c r="G106" s="1"/>
  <c r="F106"/>
  <c r="G102"/>
  <c r="G101" s="1"/>
  <c r="F102"/>
  <c r="F101" s="1"/>
  <c r="G96"/>
  <c r="G95" s="1"/>
  <c r="F96"/>
  <c r="F95" s="1"/>
  <c r="F86" s="1"/>
  <c r="G81"/>
  <c r="G79"/>
  <c r="F79"/>
  <c r="G77"/>
  <c r="F77"/>
  <c r="G75"/>
  <c r="F75"/>
  <c r="G70"/>
  <c r="G69" s="1"/>
  <c r="G68" s="1"/>
  <c r="F70"/>
  <c r="F69" s="1"/>
  <c r="F68" s="1"/>
  <c r="G61"/>
  <c r="G60" s="1"/>
  <c r="F61"/>
  <c r="F60" s="1"/>
  <c r="G55"/>
  <c r="F55"/>
  <c r="G51"/>
  <c r="G50" s="1"/>
  <c r="G49" s="1"/>
  <c r="G48" s="1"/>
  <c r="F51"/>
  <c r="F50" s="1"/>
  <c r="F49" s="1"/>
  <c r="F48" s="1"/>
  <c r="G44"/>
  <c r="G43" s="1"/>
  <c r="F44"/>
  <c r="F43" s="1"/>
  <c r="G40"/>
  <c r="G39" s="1"/>
  <c r="F40"/>
  <c r="F39" s="1"/>
  <c r="F31"/>
  <c r="F30" s="1"/>
  <c r="G28"/>
  <c r="G27" s="1"/>
  <c r="G26" s="1"/>
  <c r="G25" s="1"/>
  <c r="F28"/>
  <c r="F27" s="1"/>
  <c r="F26" s="1"/>
  <c r="F25" s="1"/>
  <c r="H79"/>
  <c r="H135"/>
  <c r="H133"/>
  <c r="F74" l="1"/>
  <c r="G347"/>
  <c r="F768"/>
  <c r="I412" i="2"/>
  <c r="I406" s="1"/>
  <c r="H412"/>
  <c r="H406" s="1"/>
  <c r="F347" i="61"/>
  <c r="F743"/>
  <c r="F742" s="1"/>
  <c r="F736" s="1"/>
  <c r="G743"/>
  <c r="G742" s="1"/>
  <c r="G736" s="1"/>
  <c r="D127" i="3"/>
  <c r="D24" s="1"/>
  <c r="D23" s="1"/>
  <c r="H787" i="2"/>
  <c r="I684"/>
  <c r="I683" s="1"/>
  <c r="E127" i="3"/>
  <c r="E24" s="1"/>
  <c r="E23" s="1"/>
  <c r="I610" i="2"/>
  <c r="I355"/>
  <c r="I349" s="1"/>
  <c r="G127" i="61"/>
  <c r="G338"/>
  <c r="F366"/>
  <c r="F365" s="1"/>
  <c r="I117" i="2"/>
  <c r="I726"/>
  <c r="I725" s="1"/>
  <c r="F723" i="61"/>
  <c r="F722" s="1"/>
  <c r="F717" s="1"/>
  <c r="G723"/>
  <c r="G722" s="1"/>
  <c r="G717" s="1"/>
  <c r="I835" i="2"/>
  <c r="H835"/>
  <c r="I326"/>
  <c r="I318" s="1"/>
  <c r="I317" s="1"/>
  <c r="H745"/>
  <c r="H726" s="1"/>
  <c r="H725" s="1"/>
  <c r="H685"/>
  <c r="G152" i="61"/>
  <c r="G178"/>
  <c r="G177" s="1"/>
  <c r="G176" s="1"/>
  <c r="F310"/>
  <c r="F324"/>
  <c r="G137"/>
  <c r="G142"/>
  <c r="G280"/>
  <c r="G279" s="1"/>
  <c r="G310"/>
  <c r="G324"/>
  <c r="I787" i="2"/>
  <c r="F152" i="61"/>
  <c r="G366"/>
  <c r="G365" s="1"/>
  <c r="G396"/>
  <c r="G383" s="1"/>
  <c r="F127"/>
  <c r="H326" i="2"/>
  <c r="H318" s="1"/>
  <c r="H317" s="1"/>
  <c r="G132" i="61"/>
  <c r="F137"/>
  <c r="F280"/>
  <c r="F279" s="1"/>
  <c r="F288"/>
  <c r="F287" s="1"/>
  <c r="G288"/>
  <c r="G287" s="1"/>
  <c r="F396"/>
  <c r="F383" s="1"/>
  <c r="H355" i="2"/>
  <c r="H349" s="1"/>
  <c r="G768" i="61"/>
  <c r="G767" s="1"/>
  <c r="G766" s="1"/>
  <c r="G765" s="1"/>
  <c r="F767"/>
  <c r="F766" s="1"/>
  <c r="F765" s="1"/>
  <c r="H610" i="2"/>
  <c r="H609"/>
  <c r="H608" s="1"/>
  <c r="G258" i="61"/>
  <c r="G257" s="1"/>
  <c r="G74"/>
  <c r="G73" s="1"/>
  <c r="F407"/>
  <c r="H67" i="2"/>
  <c r="I41"/>
  <c r="G757" i="61"/>
  <c r="G756" s="1"/>
  <c r="G755" s="1"/>
  <c r="G754" s="1"/>
  <c r="G613"/>
  <c r="F613"/>
  <c r="F672"/>
  <c r="F671" s="1"/>
  <c r="F670" s="1"/>
  <c r="F570"/>
  <c r="H124" i="2"/>
  <c r="H123" s="1"/>
  <c r="H117" s="1"/>
  <c r="H169"/>
  <c r="G315" i="61"/>
  <c r="F315"/>
  <c r="I567" i="2"/>
  <c r="I169"/>
  <c r="F178" i="61"/>
  <c r="F177" s="1"/>
  <c r="F176" s="1"/>
  <c r="G186"/>
  <c r="F257"/>
  <c r="F186"/>
  <c r="F120"/>
  <c r="G421"/>
  <c r="G407" s="1"/>
  <c r="G120"/>
  <c r="F54"/>
  <c r="F53" s="1"/>
  <c r="G38"/>
  <c r="G37" s="1"/>
  <c r="G54"/>
  <c r="G53" s="1"/>
  <c r="F339"/>
  <c r="G672"/>
  <c r="H567" i="2"/>
  <c r="G658" i="61"/>
  <c r="G643" s="1"/>
  <c r="G642" s="1"/>
  <c r="G31"/>
  <c r="G30" s="1"/>
  <c r="G570"/>
  <c r="F643"/>
  <c r="F642" s="1"/>
  <c r="F132"/>
  <c r="F142"/>
  <c r="F73"/>
  <c r="F38"/>
  <c r="F37" s="1"/>
  <c r="J132" i="2"/>
  <c r="J131" s="1"/>
  <c r="H132" i="61"/>
  <c r="F94"/>
  <c r="G94"/>
  <c r="G333" l="1"/>
  <c r="H773" i="2"/>
  <c r="F274" i="61"/>
  <c r="F309"/>
  <c r="F308" s="1"/>
  <c r="G274"/>
  <c r="I628" i="2"/>
  <c r="I627" s="1"/>
  <c r="H684"/>
  <c r="H683" s="1"/>
  <c r="H628" s="1"/>
  <c r="H627" s="1"/>
  <c r="F338" i="61"/>
  <c r="F333" s="1"/>
  <c r="G126"/>
  <c r="G125" s="1"/>
  <c r="G119" s="1"/>
  <c r="I773" i="2"/>
  <c r="G711" i="61"/>
  <c r="G309"/>
  <c r="G308" s="1"/>
  <c r="F711"/>
  <c r="G378"/>
  <c r="F378"/>
  <c r="F72"/>
  <c r="F24" s="1"/>
  <c r="F185"/>
  <c r="G185"/>
  <c r="I316" i="2"/>
  <c r="I40" s="1"/>
  <c r="H316"/>
  <c r="G671" i="61"/>
  <c r="G670" s="1"/>
  <c r="F126"/>
  <c r="F125" s="1"/>
  <c r="F119" s="1"/>
  <c r="F519"/>
  <c r="H41" i="2"/>
  <c r="G519" i="61"/>
  <c r="G72"/>
  <c r="G24" s="1"/>
  <c r="F165" l="1"/>
  <c r="G165"/>
  <c r="F307"/>
  <c r="I22" i="2"/>
  <c r="G307" i="61"/>
  <c r="H40" i="2"/>
  <c r="H22" s="1"/>
  <c r="F23" i="61" l="1"/>
  <c r="G23"/>
  <c r="J619" i="2"/>
  <c r="F30" i="3" l="1"/>
  <c r="J651" i="2"/>
  <c r="J650" s="1"/>
  <c r="J677" l="1"/>
  <c r="J676" s="1"/>
  <c r="H81" i="61" l="1"/>
  <c r="F64" i="3" l="1"/>
  <c r="J641" i="2"/>
  <c r="J596" l="1"/>
  <c r="J595" s="1"/>
  <c r="H744" i="61"/>
  <c r="F674" i="3" l="1"/>
  <c r="F262" l="1"/>
  <c r="F261" s="1"/>
  <c r="J294" i="2"/>
  <c r="H289" i="61"/>
  <c r="F62" i="3" l="1"/>
  <c r="J639" i="2"/>
  <c r="F77" i="3" l="1"/>
  <c r="J714" i="2"/>
  <c r="H752" i="61" l="1"/>
  <c r="H743" s="1"/>
  <c r="J606" i="2"/>
  <c r="J605" s="1"/>
  <c r="F641" i="3" l="1"/>
  <c r="F638" l="1"/>
  <c r="F56" l="1"/>
  <c r="J666" i="2"/>
  <c r="F60" i="3"/>
  <c r="J637" i="2"/>
  <c r="F342" i="3" l="1"/>
  <c r="F341" s="1"/>
  <c r="J381" i="2"/>
  <c r="J380" s="1"/>
  <c r="H358" i="61"/>
  <c r="F317" i="3" l="1"/>
  <c r="F316" s="1"/>
  <c r="H385" i="61"/>
  <c r="H384" s="1"/>
  <c r="J415" i="2"/>
  <c r="J414" s="1"/>
  <c r="H354" i="61"/>
  <c r="J376" i="2"/>
  <c r="J375" s="1"/>
  <c r="F337" i="3"/>
  <c r="F336" l="1"/>
  <c r="F328" s="1"/>
  <c r="F315"/>
  <c r="J413" i="2"/>
  <c r="F35" i="3" l="1"/>
  <c r="J656" i="2"/>
  <c r="F636" i="3" l="1"/>
  <c r="F635" s="1"/>
  <c r="F151"/>
  <c r="F643" l="1"/>
  <c r="F640" s="1"/>
  <c r="F618" l="1"/>
  <c r="F616"/>
  <c r="F615" l="1"/>
  <c r="F657"/>
  <c r="J708" i="2" l="1"/>
  <c r="J884" l="1"/>
  <c r="H757" i="61"/>
  <c r="H756" s="1"/>
  <c r="J707" i="2"/>
  <c r="J706" s="1"/>
  <c r="H633" i="61"/>
  <c r="J812" i="2" l="1"/>
  <c r="F174" i="3" l="1"/>
  <c r="F149"/>
  <c r="F148" s="1"/>
  <c r="J184" i="2" l="1"/>
  <c r="J182"/>
  <c r="J180"/>
  <c r="J179" l="1"/>
  <c r="F409" i="3"/>
  <c r="J335" i="2" l="1"/>
  <c r="H322" i="61"/>
  <c r="F28" i="3"/>
  <c r="F27" s="1"/>
  <c r="F33"/>
  <c r="F37"/>
  <c r="F39"/>
  <c r="F41"/>
  <c r="F43"/>
  <c r="F46"/>
  <c r="F48"/>
  <c r="F50"/>
  <c r="F52"/>
  <c r="F54"/>
  <c r="F76"/>
  <c r="F80"/>
  <c r="F82"/>
  <c r="F85"/>
  <c r="F87"/>
  <c r="F90"/>
  <c r="F95"/>
  <c r="F97"/>
  <c r="F99"/>
  <c r="F101"/>
  <c r="F103"/>
  <c r="F105"/>
  <c r="F113"/>
  <c r="F115"/>
  <c r="F123"/>
  <c r="F122" s="1"/>
  <c r="F32" l="1"/>
  <c r="F112"/>
  <c r="F111" s="1"/>
  <c r="F94"/>
  <c r="F79"/>
  <c r="F26" l="1"/>
  <c r="F25" s="1"/>
  <c r="H665" i="61" l="1"/>
  <c r="J755" i="2"/>
  <c r="J754" s="1"/>
  <c r="J689"/>
  <c r="H615" i="61" l="1"/>
  <c r="H614" s="1"/>
  <c r="H658"/>
  <c r="H643" l="1"/>
  <c r="H642" s="1"/>
  <c r="F247" i="3"/>
  <c r="H777" i="61"/>
  <c r="J833" i="2" l="1"/>
  <c r="J832" s="1"/>
  <c r="J831" s="1"/>
  <c r="F661" i="3" l="1"/>
  <c r="F659"/>
  <c r="J162" i="2"/>
  <c r="F654" i="3" l="1"/>
  <c r="F653" s="1"/>
  <c r="F652" s="1"/>
  <c r="H160" i="61"/>
  <c r="H640" l="1"/>
  <c r="H639" s="1"/>
  <c r="H638" s="1"/>
  <c r="F357" i="3"/>
  <c r="F356" s="1"/>
  <c r="F352" s="1"/>
  <c r="F348"/>
  <c r="F347" s="1"/>
  <c r="H361" i="61"/>
  <c r="H360" s="1"/>
  <c r="J392" i="2" l="1"/>
  <c r="F380" i="3"/>
  <c r="F378"/>
  <c r="F374"/>
  <c r="F371"/>
  <c r="F367"/>
  <c r="F365"/>
  <c r="F364" l="1"/>
  <c r="J125" i="2"/>
  <c r="J143"/>
  <c r="J137"/>
  <c r="F377" i="3"/>
  <c r="J144" i="2"/>
  <c r="J138"/>
  <c r="J126"/>
  <c r="J124" l="1"/>
  <c r="F735" i="3"/>
  <c r="F733"/>
  <c r="H31" i="61" l="1"/>
  <c r="H61" l="1"/>
  <c r="H60" s="1"/>
  <c r="J109" i="2" l="1"/>
  <c r="J160" l="1"/>
  <c r="J158"/>
  <c r="J284" l="1"/>
  <c r="J283" l="1"/>
  <c r="F270" i="3" l="1"/>
  <c r="F269" s="1"/>
  <c r="F267"/>
  <c r="F265"/>
  <c r="H295" i="61"/>
  <c r="H293"/>
  <c r="H291"/>
  <c r="H336"/>
  <c r="J353" i="2"/>
  <c r="J586"/>
  <c r="H730" i="61"/>
  <c r="F245" i="3"/>
  <c r="F243"/>
  <c r="F241"/>
  <c r="F239"/>
  <c r="J617" i="2"/>
  <c r="J615"/>
  <c r="F235" i="3"/>
  <c r="F234" s="1"/>
  <c r="F238" l="1"/>
  <c r="F237" s="1"/>
  <c r="H288" i="61"/>
  <c r="H287" s="1"/>
  <c r="J612" i="2"/>
  <c r="F233" i="3"/>
  <c r="F264"/>
  <c r="F260" s="1"/>
  <c r="J660" i="2" l="1"/>
  <c r="F634" i="3" l="1"/>
  <c r="F633" s="1"/>
  <c r="J782" i="2" l="1"/>
  <c r="J781" s="1"/>
  <c r="H275" i="61"/>
  <c r="F143" i="3" l="1"/>
  <c r="J385" i="2" l="1"/>
  <c r="J384" s="1"/>
  <c r="H696" i="61" l="1"/>
  <c r="H695" s="1"/>
  <c r="H183" l="1"/>
  <c r="F687" i="3" l="1"/>
  <c r="J121" i="2"/>
  <c r="H123" i="61"/>
  <c r="J808" i="2" l="1"/>
  <c r="J807" s="1"/>
  <c r="J681"/>
  <c r="J680" s="1"/>
  <c r="H606" i="61"/>
  <c r="H605" s="1"/>
  <c r="J679" i="2" l="1"/>
  <c r="J806"/>
  <c r="H604" i="61"/>
  <c r="H694" l="1"/>
  <c r="J50" i="2" l="1"/>
  <c r="F432" i="3" l="1"/>
  <c r="F305" l="1"/>
  <c r="F304" s="1"/>
  <c r="F303" l="1"/>
  <c r="G26" i="62" l="1"/>
  <c r="F729" i="3" l="1"/>
  <c r="H55" i="61"/>
  <c r="H54" s="1"/>
  <c r="H707"/>
  <c r="F673" i="3"/>
  <c r="F738"/>
  <c r="F732" s="1"/>
  <c r="F134"/>
  <c r="F205"/>
  <c r="F204" s="1"/>
  <c r="F202"/>
  <c r="F201" s="1"/>
  <c r="F200" s="1"/>
  <c r="F198"/>
  <c r="F196"/>
  <c r="F146"/>
  <c r="F140"/>
  <c r="F138"/>
  <c r="H590" i="61" l="1"/>
  <c r="H570" s="1"/>
  <c r="H672"/>
  <c r="H671" s="1"/>
  <c r="H701"/>
  <c r="H700" s="1"/>
  <c r="F195" i="3"/>
  <c r="F194" s="1"/>
  <c r="H755" i="61"/>
  <c r="H670" l="1"/>
  <c r="H621"/>
  <c r="H613" s="1"/>
  <c r="H30" l="1"/>
  <c r="J114" i="2" l="1"/>
  <c r="H399" i="61" l="1"/>
  <c r="H397"/>
  <c r="J383" i="2"/>
  <c r="J429"/>
  <c r="J428" s="1"/>
  <c r="H396" i="61" l="1"/>
  <c r="H383" s="1"/>
  <c r="J427" i="2"/>
  <c r="J412" s="1"/>
  <c r="J369"/>
  <c r="J368" l="1"/>
  <c r="J367" s="1"/>
  <c r="F313" i="3"/>
  <c r="F312" s="1"/>
  <c r="J361" i="2"/>
  <c r="J360" s="1"/>
  <c r="J358"/>
  <c r="H342" i="61"/>
  <c r="H339" s="1"/>
  <c r="J749" i="2"/>
  <c r="J747"/>
  <c r="J696"/>
  <c r="J694"/>
  <c r="J743"/>
  <c r="J741"/>
  <c r="J739"/>
  <c r="J692"/>
  <c r="J687"/>
  <c r="J686" s="1"/>
  <c r="J735"/>
  <c r="J720"/>
  <c r="J664"/>
  <c r="J732"/>
  <c r="J731" s="1"/>
  <c r="J764"/>
  <c r="J763" s="1"/>
  <c r="J762" s="1"/>
  <c r="J770"/>
  <c r="J662"/>
  <c r="J635"/>
  <c r="J633"/>
  <c r="J658"/>
  <c r="J729"/>
  <c r="J728" s="1"/>
  <c r="J632" l="1"/>
  <c r="J691"/>
  <c r="J685" s="1"/>
  <c r="J631"/>
  <c r="J746"/>
  <c r="J745" s="1"/>
  <c r="J719"/>
  <c r="J718" s="1"/>
  <c r="J717" s="1"/>
  <c r="J716" s="1"/>
  <c r="J738"/>
  <c r="J684" l="1"/>
  <c r="J683" s="1"/>
  <c r="J630"/>
  <c r="J629" s="1"/>
  <c r="F714" i="3"/>
  <c r="J896" i="2"/>
  <c r="J895" s="1"/>
  <c r="J894" s="1"/>
  <c r="F621" i="3"/>
  <c r="F620" s="1"/>
  <c r="F376"/>
  <c r="H372" i="61"/>
  <c r="F373" i="3"/>
  <c r="H369" i="61"/>
  <c r="H327"/>
  <c r="F293" i="3"/>
  <c r="F291"/>
  <c r="J333" i="2"/>
  <c r="J332" s="1"/>
  <c r="F290" i="3" l="1"/>
  <c r="F383"/>
  <c r="F382" s="1"/>
  <c r="J451" i="2"/>
  <c r="H433" i="61"/>
  <c r="F370" i="3"/>
  <c r="F369" s="1"/>
  <c r="F363"/>
  <c r="H181" i="61" l="1"/>
  <c r="F258" i="3" l="1"/>
  <c r="F255"/>
  <c r="J157" i="2" l="1"/>
  <c r="J156" s="1"/>
  <c r="J155" s="1"/>
  <c r="J154" s="1"/>
  <c r="F419" i="3"/>
  <c r="F418" s="1"/>
  <c r="F297"/>
  <c r="E26" i="62" l="1"/>
  <c r="E25" s="1"/>
  <c r="D26"/>
  <c r="D25" s="1"/>
  <c r="G23"/>
  <c r="G22" s="1"/>
  <c r="F23"/>
  <c r="F22" s="1"/>
  <c r="F30" s="1"/>
  <c r="E23"/>
  <c r="E22" s="1"/>
  <c r="E30" s="1"/>
  <c r="D23"/>
  <c r="D22" s="1"/>
  <c r="D30" s="1"/>
  <c r="C23"/>
  <c r="C22" s="1"/>
  <c r="F721" i="3" l="1"/>
  <c r="F719"/>
  <c r="F696"/>
  <c r="F691"/>
  <c r="F683"/>
  <c r="F680"/>
  <c r="F677"/>
  <c r="F631"/>
  <c r="F630" s="1"/>
  <c r="F628"/>
  <c r="F627" s="1"/>
  <c r="F625"/>
  <c r="F624" s="1"/>
  <c r="F611"/>
  <c r="F431"/>
  <c r="F310"/>
  <c r="F309" s="1"/>
  <c r="F308" s="1"/>
  <c r="F300"/>
  <c r="F299" s="1"/>
  <c r="F296"/>
  <c r="F288"/>
  <c r="F286"/>
  <c r="F282"/>
  <c r="F281" s="1"/>
  <c r="F279"/>
  <c r="F278" s="1"/>
  <c r="F257"/>
  <c r="F254"/>
  <c r="F190"/>
  <c r="F188"/>
  <c r="F185"/>
  <c r="F183"/>
  <c r="F181"/>
  <c r="F172"/>
  <c r="F171" s="1"/>
  <c r="F170" s="1"/>
  <c r="F160"/>
  <c r="F159" s="1"/>
  <c r="F136"/>
  <c r="F129" s="1"/>
  <c r="J909" i="2"/>
  <c r="J908" s="1"/>
  <c r="J907" s="1"/>
  <c r="J906" s="1"/>
  <c r="J905" s="1"/>
  <c r="J903"/>
  <c r="J902" s="1"/>
  <c r="J901" s="1"/>
  <c r="J893" s="1"/>
  <c r="J883"/>
  <c r="J882" s="1"/>
  <c r="J881" s="1"/>
  <c r="J876"/>
  <c r="J796"/>
  <c r="J794"/>
  <c r="J792"/>
  <c r="J779"/>
  <c r="J778" s="1"/>
  <c r="J769"/>
  <c r="J768" s="1"/>
  <c r="J767" s="1"/>
  <c r="J766" s="1"/>
  <c r="J761"/>
  <c r="J760" s="1"/>
  <c r="J734"/>
  <c r="J713"/>
  <c r="J654"/>
  <c r="J653" s="1"/>
  <c r="J585"/>
  <c r="J584" s="1"/>
  <c r="J583" s="1"/>
  <c r="J581"/>
  <c r="J580" s="1"/>
  <c r="J578"/>
  <c r="J577" s="1"/>
  <c r="J572"/>
  <c r="J571" s="1"/>
  <c r="J443"/>
  <c r="J410"/>
  <c r="J409" s="1"/>
  <c r="J399"/>
  <c r="J398" s="1"/>
  <c r="J397" s="1"/>
  <c r="J395"/>
  <c r="J394" s="1"/>
  <c r="J357"/>
  <c r="J356" s="1"/>
  <c r="J355" s="1"/>
  <c r="J352"/>
  <c r="J342"/>
  <c r="J341" s="1"/>
  <c r="J339"/>
  <c r="J338" s="1"/>
  <c r="J330"/>
  <c r="J328"/>
  <c r="J324"/>
  <c r="J323" s="1"/>
  <c r="J321"/>
  <c r="J320" s="1"/>
  <c r="J123"/>
  <c r="J120"/>
  <c r="J119" s="1"/>
  <c r="J118"/>
  <c r="J113"/>
  <c r="J104"/>
  <c r="J100"/>
  <c r="J99" s="1"/>
  <c r="J94"/>
  <c r="J93" s="1"/>
  <c r="J70"/>
  <c r="J61"/>
  <c r="J60" s="1"/>
  <c r="J59" s="1"/>
  <c r="J58" s="1"/>
  <c r="J54"/>
  <c r="J53" s="1"/>
  <c r="J49"/>
  <c r="J45"/>
  <c r="J44" s="1"/>
  <c r="J37"/>
  <c r="J36" s="1"/>
  <c r="J35" s="1"/>
  <c r="J34" s="1"/>
  <c r="J33" s="1"/>
  <c r="J26"/>
  <c r="H787" i="61"/>
  <c r="H786" s="1"/>
  <c r="H785" s="1"/>
  <c r="H784" s="1"/>
  <c r="H783" s="1"/>
  <c r="H775"/>
  <c r="H773"/>
  <c r="H771"/>
  <c r="H769"/>
  <c r="H738"/>
  <c r="H737" s="1"/>
  <c r="H729"/>
  <c r="H728" s="1"/>
  <c r="H726"/>
  <c r="H724"/>
  <c r="H719"/>
  <c r="H718" s="1"/>
  <c r="H714"/>
  <c r="H713" s="1"/>
  <c r="H712" s="1"/>
  <c r="H611"/>
  <c r="H610" s="1"/>
  <c r="H609" s="1"/>
  <c r="H608" s="1"/>
  <c r="H421"/>
  <c r="H381"/>
  <c r="H380" s="1"/>
  <c r="H371"/>
  <c r="H367"/>
  <c r="H348"/>
  <c r="H347" s="1"/>
  <c r="H335"/>
  <c r="H334" s="1"/>
  <c r="H325"/>
  <c r="H324" s="1"/>
  <c r="H318"/>
  <c r="H316"/>
  <c r="H313"/>
  <c r="H311"/>
  <c r="H283"/>
  <c r="H281"/>
  <c r="H259"/>
  <c r="H179"/>
  <c r="H178" s="1"/>
  <c r="H174"/>
  <c r="H173" s="1"/>
  <c r="H169"/>
  <c r="H168" s="1"/>
  <c r="H167" s="1"/>
  <c r="H166" s="1"/>
  <c r="H147"/>
  <c r="H145"/>
  <c r="H143"/>
  <c r="H140"/>
  <c r="H138"/>
  <c r="H130"/>
  <c r="H128"/>
  <c r="H122"/>
  <c r="H121" s="1"/>
  <c r="H116"/>
  <c r="H115" s="1"/>
  <c r="H111"/>
  <c r="H106" s="1"/>
  <c r="H102"/>
  <c r="H101" s="1"/>
  <c r="H96"/>
  <c r="H95" s="1"/>
  <c r="H77"/>
  <c r="H75"/>
  <c r="H70"/>
  <c r="H69" s="1"/>
  <c r="H68" s="1"/>
  <c r="H53"/>
  <c r="H51"/>
  <c r="H50" s="1"/>
  <c r="H49" s="1"/>
  <c r="H48" s="1"/>
  <c r="H44"/>
  <c r="H40"/>
  <c r="H39" s="1"/>
  <c r="H28"/>
  <c r="H27" s="1"/>
  <c r="H26" s="1"/>
  <c r="H25" s="1"/>
  <c r="F610" i="3" l="1"/>
  <c r="F609" s="1"/>
  <c r="H74" i="61"/>
  <c r="H73" s="1"/>
  <c r="H768"/>
  <c r="H767" s="1"/>
  <c r="H766" s="1"/>
  <c r="H765" s="1"/>
  <c r="F690" i="3"/>
  <c r="H258" i="61"/>
  <c r="H257" s="1"/>
  <c r="F128" i="3"/>
  <c r="J791" i="2"/>
  <c r="J790" s="1"/>
  <c r="J789" s="1"/>
  <c r="J788" s="1"/>
  <c r="F623" i="3"/>
  <c r="F187"/>
  <c r="H315" i="61"/>
  <c r="F676" i="3"/>
  <c r="H186" i="61"/>
  <c r="J327" i="2"/>
  <c r="J326" s="1"/>
  <c r="F253" i="3"/>
  <c r="F232" s="1"/>
  <c r="J48" i="2"/>
  <c r="J47" s="1"/>
  <c r="J727"/>
  <c r="J726" s="1"/>
  <c r="J725" s="1"/>
  <c r="F285" i="3"/>
  <c r="F284" s="1"/>
  <c r="J837" i="2"/>
  <c r="J836" s="1"/>
  <c r="H338" i="61"/>
  <c r="H723"/>
  <c r="H722" s="1"/>
  <c r="H717" s="1"/>
  <c r="H94"/>
  <c r="H43"/>
  <c r="H38" s="1"/>
  <c r="H37" s="1"/>
  <c r="J649" i="2"/>
  <c r="J648" s="1"/>
  <c r="J647" s="1"/>
  <c r="H154" i="61"/>
  <c r="H153" s="1"/>
  <c r="J777" i="2"/>
  <c r="J776" s="1"/>
  <c r="J775" s="1"/>
  <c r="J774" s="1"/>
  <c r="F223" i="3"/>
  <c r="J319" i="2"/>
  <c r="J458"/>
  <c r="F180" i="3"/>
  <c r="F277"/>
  <c r="J408" i="2"/>
  <c r="J407" s="1"/>
  <c r="H379" i="61"/>
  <c r="J69" i="2"/>
  <c r="J68" s="1"/>
  <c r="F209" i="3"/>
  <c r="F718"/>
  <c r="J880" i="2"/>
  <c r="J481"/>
  <c r="J473" s="1"/>
  <c r="J712"/>
  <c r="J711" s="1"/>
  <c r="J710" s="1"/>
  <c r="F444" i="3"/>
  <c r="F443" s="1"/>
  <c r="F362"/>
  <c r="J297" i="2"/>
  <c r="J293" s="1"/>
  <c r="J292" s="1"/>
  <c r="H172" i="61"/>
  <c r="H171" s="1"/>
  <c r="H366"/>
  <c r="H365" s="1"/>
  <c r="J92" i="2"/>
  <c r="J178"/>
  <c r="J177" s="1"/>
  <c r="J176" s="1"/>
  <c r="H742" i="61"/>
  <c r="H736" s="1"/>
  <c r="F705" i="3"/>
  <c r="J282" i="2"/>
  <c r="J391"/>
  <c r="J390" s="1"/>
  <c r="J389" s="1"/>
  <c r="J826"/>
  <c r="J825" s="1"/>
  <c r="J811" s="1"/>
  <c r="J810" s="1"/>
  <c r="H127" i="61"/>
  <c r="F302" i="3"/>
  <c r="F346"/>
  <c r="F307" s="1"/>
  <c r="F426"/>
  <c r="F295"/>
  <c r="F438"/>
  <c r="F437" s="1"/>
  <c r="H177" i="61"/>
  <c r="H176" s="1"/>
  <c r="J466" i="2"/>
  <c r="J465" s="1"/>
  <c r="J570"/>
  <c r="J569" s="1"/>
  <c r="J568" s="1"/>
  <c r="J351"/>
  <c r="J350" s="1"/>
  <c r="J576"/>
  <c r="J575" s="1"/>
  <c r="J574" s="1"/>
  <c r="J611"/>
  <c r="J610" s="1"/>
  <c r="H280" i="61"/>
  <c r="H279" s="1"/>
  <c r="H274" s="1"/>
  <c r="J43" i="2"/>
  <c r="J42" s="1"/>
  <c r="J172"/>
  <c r="J171" s="1"/>
  <c r="J170" s="1"/>
  <c r="J188"/>
  <c r="J187" s="1"/>
  <c r="J186" s="1"/>
  <c r="J600"/>
  <c r="J594" s="1"/>
  <c r="J870"/>
  <c r="H142" i="61"/>
  <c r="H310"/>
  <c r="H120"/>
  <c r="H137"/>
  <c r="H426"/>
  <c r="J337" i="2"/>
  <c r="J759"/>
  <c r="J892"/>
  <c r="F417" i="3"/>
  <c r="F425"/>
  <c r="H333" i="61" l="1"/>
  <c r="F608" i="3"/>
  <c r="H185" i="61"/>
  <c r="H165" s="1"/>
  <c r="H407"/>
  <c r="H378" s="1"/>
  <c r="J442" i="2"/>
  <c r="J406" s="1"/>
  <c r="H72" i="61"/>
  <c r="J67" i="2"/>
  <c r="J41" s="1"/>
  <c r="J349"/>
  <c r="H126" i="61"/>
  <c r="H125" s="1"/>
  <c r="F672" i="3"/>
  <c r="J787" i="2"/>
  <c r="J593"/>
  <c r="J592" s="1"/>
  <c r="H159" i="61"/>
  <c r="H152" s="1"/>
  <c r="F208" i="3"/>
  <c r="J869" i="2"/>
  <c r="J868" s="1"/>
  <c r="F179" i="3"/>
  <c r="F127" s="1"/>
  <c r="H754" i="61"/>
  <c r="F276" i="3"/>
  <c r="J281" i="2"/>
  <c r="J25"/>
  <c r="J628"/>
  <c r="J627" s="1"/>
  <c r="H309" i="61"/>
  <c r="H308" s="1"/>
  <c r="H711"/>
  <c r="F424" i="3"/>
  <c r="J609" i="2"/>
  <c r="J608" s="1"/>
  <c r="J117"/>
  <c r="J318"/>
  <c r="J317" s="1"/>
  <c r="J24" l="1"/>
  <c r="J23" s="1"/>
  <c r="H119" i="61"/>
  <c r="J567" i="2"/>
  <c r="J169"/>
  <c r="J835"/>
  <c r="F24" i="3"/>
  <c r="F23" s="1"/>
  <c r="H519" i="61"/>
  <c r="H24"/>
  <c r="J316" i="2"/>
  <c r="H307" i="61"/>
  <c r="G65" i="1"/>
  <c r="F65"/>
  <c r="E65"/>
  <c r="G63"/>
  <c r="F63"/>
  <c r="E63"/>
  <c r="G61"/>
  <c r="F61"/>
  <c r="E61"/>
  <c r="G57"/>
  <c r="F57"/>
  <c r="E57"/>
  <c r="E54"/>
  <c r="G54"/>
  <c r="F54"/>
  <c r="G47"/>
  <c r="F47"/>
  <c r="E47"/>
  <c r="G43"/>
  <c r="F43"/>
  <c r="E43"/>
  <c r="G37"/>
  <c r="F37"/>
  <c r="E37"/>
  <c r="G33"/>
  <c r="F33"/>
  <c r="E33"/>
  <c r="G24"/>
  <c r="F24"/>
  <c r="E24"/>
  <c r="H23" i="61" l="1"/>
  <c r="G28" i="62" s="1"/>
  <c r="J40" i="2"/>
  <c r="J773"/>
  <c r="F23" i="1"/>
  <c r="G23"/>
  <c r="E23"/>
  <c r="C29" i="62" s="1"/>
  <c r="C28" s="1"/>
  <c r="C25" l="1"/>
  <c r="C30" s="1"/>
  <c r="G25"/>
  <c r="G30"/>
  <c r="J22" i="2"/>
</calcChain>
</file>

<file path=xl/sharedStrings.xml><?xml version="1.0" encoding="utf-8"?>
<sst xmlns="http://schemas.openxmlformats.org/spreadsheetml/2006/main" count="8884" uniqueCount="1006">
  <si>
    <t>Развитие деятельности муниципального бюджетного учреждения Городской молодежный центр "Звездный"</t>
  </si>
  <si>
    <t>Транспорт</t>
  </si>
  <si>
    <t>Профессиональная подготовка, переподготовка и повышение квалификации</t>
  </si>
  <si>
    <t>Предоставление субсидий общественным организациям ветеранов войны, труда, вооруженных сил и правоохранительных органов, инвалидов и т.д.</t>
  </si>
  <si>
    <t>Другие вопросы в области национальной экономики</t>
  </si>
  <si>
    <t>Резервные фонды</t>
  </si>
  <si>
    <t>Массовый спорт</t>
  </si>
  <si>
    <t xml:space="preserve">Другие вопросы в области культуры, кинематографии </t>
  </si>
  <si>
    <t>Средства массовой информации</t>
  </si>
  <si>
    <t>13</t>
  </si>
  <si>
    <t>Обеспечение деятельности финансовых, налоговых и таможенных органов и органов (финансово-бюджетного) надзора</t>
  </si>
  <si>
    <t>Обслуживание государственного и муниципального долга</t>
  </si>
  <si>
    <t>Процентные платежи по муниципальному долгу</t>
  </si>
  <si>
    <t>Резервные фонды  местных администраций</t>
  </si>
  <si>
    <t>Прочая закупка товаров, работ и услуг для государственных (муниципальных) нужд</t>
  </si>
  <si>
    <t>810</t>
  </si>
  <si>
    <t>Охрана семьи и детства</t>
  </si>
  <si>
    <t>730</t>
  </si>
  <si>
    <t>Обслуживание муниципального долга</t>
  </si>
  <si>
    <t>Другие вопросы в области средств массовой информации</t>
  </si>
  <si>
    <t>Реализация государственных полномочий по созданию, исполнению полномочий и обеспечению деятельности комиссий по делам несовершеннолетних и защите их прав</t>
  </si>
  <si>
    <t>Осуществление  государственных полномочий Тверской области по созданию административных комиссий</t>
  </si>
  <si>
    <t>Функционирование высшего должностного лица субъекта Российской Федерации и муниципального образования</t>
  </si>
  <si>
    <t>Органы юстиции</t>
  </si>
  <si>
    <t>630</t>
  </si>
  <si>
    <t xml:space="preserve">Культура и кинематография </t>
  </si>
  <si>
    <t>Р</t>
  </si>
  <si>
    <t>Другие вопросы в области национальной безопасности и правоохранительной деятельности</t>
  </si>
  <si>
    <t>Содержание и благоустройство видовых и памятных мест города Удомля</t>
  </si>
  <si>
    <t>Содержание и ремонт детских и спортивных площадок</t>
  </si>
  <si>
    <t>Доставка, установка и демонтаж новогодних елей</t>
  </si>
  <si>
    <t>Обустройство и ремонт контейнерных площадок</t>
  </si>
  <si>
    <t>9940000000</t>
  </si>
  <si>
    <t>Подпрограмма "Организация похоронного дела"</t>
  </si>
  <si>
    <t>П</t>
  </si>
  <si>
    <t>Сумма тыс.руб.</t>
  </si>
  <si>
    <t xml:space="preserve">Центральный аппарат </t>
  </si>
  <si>
    <t>Расходы на обеспечение деятельности представительного органа местного самоуправления</t>
  </si>
  <si>
    <t>Расходы на обеспечение деятельности исполнительного органа местного самоуправления</t>
  </si>
  <si>
    <t>0230000000</t>
  </si>
  <si>
    <t>023012001Б</t>
  </si>
  <si>
    <t>023012002Б</t>
  </si>
  <si>
    <t>023012003Б</t>
  </si>
  <si>
    <t>0290000000</t>
  </si>
  <si>
    <t>0700000000</t>
  </si>
  <si>
    <t>0710000000</t>
  </si>
  <si>
    <t>0730000000</t>
  </si>
  <si>
    <t>073012001Б</t>
  </si>
  <si>
    <t>1300000000</t>
  </si>
  <si>
    <t>1310000000</t>
  </si>
  <si>
    <t>1320000000</t>
  </si>
  <si>
    <t>999002401Ц</t>
  </si>
  <si>
    <t>999002402Ц</t>
  </si>
  <si>
    <t>998002404С</t>
  </si>
  <si>
    <t>992002001А</t>
  </si>
  <si>
    <t>998002406С</t>
  </si>
  <si>
    <t>Отдельные мероприятия, не включенные в муниципальные программы</t>
  </si>
  <si>
    <t>Реализация  функций, связанных с общегосударственным управлением</t>
  </si>
  <si>
    <t>Прочие выплаты по обязательствам муниципального образования</t>
  </si>
  <si>
    <t>Коммунальное хозяйство</t>
  </si>
  <si>
    <t>Жилищное хозяйство</t>
  </si>
  <si>
    <t>Финансовое обеспечение муниципального задания на оказание муниципальных услуг (выполнение работ) муниципальных бюджетных общеобразовательных учреждений дошкольного образования</t>
  </si>
  <si>
    <t>Подпрограмма "Модернизация дошкольного и общего образования"</t>
  </si>
  <si>
    <t>021012002Г</t>
  </si>
  <si>
    <t>Оплата услуг средствам массовой информации о деятельности органов местного самоуправления, размещение  объявлений о деятельности органов местного самоуправления в печатных изданиях</t>
  </si>
  <si>
    <t>0220000000</t>
  </si>
  <si>
    <t>022012001Б</t>
  </si>
  <si>
    <t>022012002Б</t>
  </si>
  <si>
    <t>Финансовое обеспечение повышения квалификации и профессиональной подготовки педагогических кадров</t>
  </si>
  <si>
    <t>Организация отдыха детей</t>
  </si>
  <si>
    <t>Обеспечивающая подпрограмма</t>
  </si>
  <si>
    <t>Финансовое обеспечение проведения муниципальных мероприятий с одаренными и высокомотивированными обучающимися, воспитанниками</t>
  </si>
  <si>
    <t>Жилищно-коммунальное хозяйство</t>
  </si>
  <si>
    <t>Благоустройство</t>
  </si>
  <si>
    <t>Организационное и методическое сопровождение государственной итоговой аттестации</t>
  </si>
  <si>
    <t>111012001Б</t>
  </si>
  <si>
    <t>1100000000</t>
  </si>
  <si>
    <t>1110000000</t>
  </si>
  <si>
    <t>111012002Б</t>
  </si>
  <si>
    <t>1120000000</t>
  </si>
  <si>
    <t>112012001Б</t>
  </si>
  <si>
    <t>1130000000</t>
  </si>
  <si>
    <t>113012001Б</t>
  </si>
  <si>
    <t>113012002Б</t>
  </si>
  <si>
    <t>1140000000</t>
  </si>
  <si>
    <t>114012001Б</t>
  </si>
  <si>
    <t>114012002Б</t>
  </si>
  <si>
    <t>1200000000</t>
  </si>
  <si>
    <t>1210000000</t>
  </si>
  <si>
    <t>121012001Б</t>
  </si>
  <si>
    <t>121012002Б</t>
  </si>
  <si>
    <t>121022001Б</t>
  </si>
  <si>
    <t>122012001Б</t>
  </si>
  <si>
    <t>1220000000</t>
  </si>
  <si>
    <t>1230000000</t>
  </si>
  <si>
    <t>123012001Б</t>
  </si>
  <si>
    <t>123012002Б</t>
  </si>
  <si>
    <t>123012003Б</t>
  </si>
  <si>
    <t>1240000000</t>
  </si>
  <si>
    <t>124012001Б</t>
  </si>
  <si>
    <t>124012002Б</t>
  </si>
  <si>
    <t>0200000000</t>
  </si>
  <si>
    <t>0210000000</t>
  </si>
  <si>
    <t>021012001Д</t>
  </si>
  <si>
    <t>Командирование спортсменов муниципального образования для участия в официальных областных спортивно-массовых мероприятиях и соревнованиях</t>
  </si>
  <si>
    <t>120</t>
  </si>
  <si>
    <t>Расходы на выплаты персоналу государственных (муниципальных) органов</t>
  </si>
  <si>
    <t>110</t>
  </si>
  <si>
    <t>Подпрограмма "Улучшение и сохранность состояния окружающей среды"</t>
  </si>
  <si>
    <t>0600000000</t>
  </si>
  <si>
    <t>0610000000</t>
  </si>
  <si>
    <t>0900000000</t>
  </si>
  <si>
    <t>0910000000</t>
  </si>
  <si>
    <t>091012001Б</t>
  </si>
  <si>
    <t>0300000000</t>
  </si>
  <si>
    <t>0310000000</t>
  </si>
  <si>
    <t>031022001Б</t>
  </si>
  <si>
    <t>031022002Б</t>
  </si>
  <si>
    <t>031022003Б</t>
  </si>
  <si>
    <t>1000000000</t>
  </si>
  <si>
    <t>1010000000</t>
  </si>
  <si>
    <t>0100000000</t>
  </si>
  <si>
    <t>0110000000</t>
  </si>
  <si>
    <t>0120000000</t>
  </si>
  <si>
    <t>0190000000</t>
  </si>
  <si>
    <t>012012002Б</t>
  </si>
  <si>
    <t>019002001С</t>
  </si>
  <si>
    <t>042012002Б</t>
  </si>
  <si>
    <t>Подпрограмма "Обеспечение инновационного характера образования"</t>
  </si>
  <si>
    <t>Организация выездов представителей молодежных общественных объединений на областные, межрегиональные, всероссийские мероприятия</t>
  </si>
  <si>
    <t>Расходы на выплату персоналу государственных (муниципальных) органов</t>
  </si>
  <si>
    <t xml:space="preserve">                                                        </t>
  </si>
  <si>
    <t>Подпрограмма "Реализация социальной политики"</t>
  </si>
  <si>
    <t>360</t>
  </si>
  <si>
    <t>Иные выплаты населению</t>
  </si>
  <si>
    <t>Подпрограмма "Обеспечение жильем отдельных категорий граждан"</t>
  </si>
  <si>
    <t>870</t>
  </si>
  <si>
    <t>Резервные средства</t>
  </si>
  <si>
    <t xml:space="preserve">к решению Собрания депутатов </t>
  </si>
  <si>
    <t>№ п/п</t>
  </si>
  <si>
    <t>01</t>
  </si>
  <si>
    <t>02</t>
  </si>
  <si>
    <t xml:space="preserve">                                 Наименование</t>
  </si>
  <si>
    <t>Общегосударственные вопросы</t>
  </si>
  <si>
    <t>В С Е Г О:</t>
  </si>
  <si>
    <t>03</t>
  </si>
  <si>
    <t>04</t>
  </si>
  <si>
    <t>05</t>
  </si>
  <si>
    <t>06</t>
  </si>
  <si>
    <t>Другие общегосударственные вопросы</t>
  </si>
  <si>
    <t>Национальная безопасность и правоохранительная деятельность</t>
  </si>
  <si>
    <t>09</t>
  </si>
  <si>
    <t>Национальная экономика</t>
  </si>
  <si>
    <t>08</t>
  </si>
  <si>
    <t>11</t>
  </si>
  <si>
    <t>Сельское хозяйство и рыболовство</t>
  </si>
  <si>
    <t>07</t>
  </si>
  <si>
    <t>Образование</t>
  </si>
  <si>
    <t>Культура</t>
  </si>
  <si>
    <t>Дошкольное образование</t>
  </si>
  <si>
    <t>Общее образование</t>
  </si>
  <si>
    <t>Другие вопросы в области образования</t>
  </si>
  <si>
    <t>10</t>
  </si>
  <si>
    <t>Социальная политика</t>
  </si>
  <si>
    <t>Пенсионное обеспечение</t>
  </si>
  <si>
    <t>КВР</t>
  </si>
  <si>
    <t>Глава муниципального образования</t>
  </si>
  <si>
    <t>Центральный аппарат</t>
  </si>
  <si>
    <t>Социальное обеспечение населения</t>
  </si>
  <si>
    <t xml:space="preserve"> Р</t>
  </si>
  <si>
    <t xml:space="preserve"> П</t>
  </si>
  <si>
    <t xml:space="preserve"> КЦСР</t>
  </si>
  <si>
    <t>Функционирование Правительства Российской Федерации, высших органов исполнительной власти субъектов Российской Федерации, местных администраций</t>
  </si>
  <si>
    <t>14</t>
  </si>
  <si>
    <t>12</t>
  </si>
  <si>
    <t>Физическая культура и спорт</t>
  </si>
  <si>
    <t>Функционирование Правительства Российской Федерации, высших  исполнительных органов государственной власти субъектов Российской Федерации, местных администраций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</si>
  <si>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</si>
  <si>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</si>
  <si>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ППП</t>
  </si>
  <si>
    <t>"О районном бюджете Удомельского района на 2016 год"</t>
  </si>
  <si>
    <t>Общеэкономические вопросы</t>
  </si>
  <si>
    <t>Расходы на выплаты персоналу казенных учреждений</t>
  </si>
  <si>
    <t>850</t>
  </si>
  <si>
    <t>Уплата налогов, сборов и иных платежей</t>
  </si>
  <si>
    <t>Финансовое обеспечение массовых мероприятий муниципального значения, способствующих духовно-нравственному воспитанию детей и формированию гражданской позиции</t>
  </si>
  <si>
    <t>Финансовое обеспечение мероприятий по формированию здорового образа жизни</t>
  </si>
  <si>
    <t>Финансовое обеспечение поощрения лучших педагогов, работающих в муниципальной сети профильных курсов</t>
  </si>
  <si>
    <t>Организационно-методическое сопровождение организации и обеспечения подвоза учащихся и воспитанников общеобразовательных, дошкольных образовательных учреждений</t>
  </si>
  <si>
    <t xml:space="preserve"> Удомельского района от 17.12.2015 № 256</t>
  </si>
  <si>
    <t xml:space="preserve"> Приложение 9</t>
  </si>
  <si>
    <t xml:space="preserve"> Приложение 1</t>
  </si>
  <si>
    <t>Удомельская городская Дума</t>
  </si>
  <si>
    <t>Председатель городской Думы</t>
  </si>
  <si>
    <t>999002501Ц</t>
  </si>
  <si>
    <t>998002300C</t>
  </si>
  <si>
    <t>к решению Удомельской городской</t>
  </si>
  <si>
    <t>плановый период</t>
  </si>
  <si>
    <t>2018 год</t>
  </si>
  <si>
    <t>2019 год</t>
  </si>
  <si>
    <t xml:space="preserve">"О  бюджете Удомельского городского округа </t>
  </si>
  <si>
    <t xml:space="preserve">Расходы, не включенные в муниципальные программы </t>
  </si>
  <si>
    <t>Расходы, не включенные в муниципальные программы</t>
  </si>
  <si>
    <t>0800000000</t>
  </si>
  <si>
    <t>0810000000</t>
  </si>
  <si>
    <t>Подпрограмма "Разработка и реализация Генерального плана и ПЗЗ на территории Удомельского городского округа "</t>
  </si>
  <si>
    <t>061012001Б</t>
  </si>
  <si>
    <t>Ликвидация несанкционированных мест размещения отходов производства и потребления</t>
  </si>
  <si>
    <t>051012001Б</t>
  </si>
  <si>
    <t>051022001Б</t>
  </si>
  <si>
    <t>Подпрограмма "Расселение аварийного жилищного фонда Удомельского городского округа"</t>
  </si>
  <si>
    <t>052012002Б</t>
  </si>
  <si>
    <t>Подпрограмма "Капитальный ремонт общего имущества в многоквартирных домах на территории Удомельского городского округа"</t>
  </si>
  <si>
    <t>0510000000</t>
  </si>
  <si>
    <t>0520000000</t>
  </si>
  <si>
    <t>0530000000</t>
  </si>
  <si>
    <t>Уплата взносов на проведение капитального ремонта общего имущества в многоквартирных домах, в части муниципального жилищного фонда Удомельского городского округа</t>
  </si>
  <si>
    <t>053012001Б</t>
  </si>
  <si>
    <t>053022001Б</t>
  </si>
  <si>
    <t>0500000000</t>
  </si>
  <si>
    <t>132032001Э</t>
  </si>
  <si>
    <t>132012001Б</t>
  </si>
  <si>
    <t>132022001Ж</t>
  </si>
  <si>
    <t xml:space="preserve"> Приложение 8</t>
  </si>
  <si>
    <t>Молодежная политика</t>
  </si>
  <si>
    <t>Дополнительное образование детей</t>
  </si>
  <si>
    <t>Подпрограмма "Управление имуществом Удомельского городского округа"</t>
  </si>
  <si>
    <t>Проведение инвентаризации муниципального имущества Удомельского городского округа</t>
  </si>
  <si>
    <t>031012003Б</t>
  </si>
  <si>
    <t xml:space="preserve">Оценка рыночной стоимости объектов недвижимости и рыночной стоимости арендной платы за объекты муниципального имущества </t>
  </si>
  <si>
    <t>Обеспечение учета муниципального имущества для поддержки полной и достоверной информации об объектах, находящихся в собственности муниципального образования Удомельский городской округ</t>
  </si>
  <si>
    <t>Содержание объектов нежилого фонда муниципальной казны Удомельского городского округа</t>
  </si>
  <si>
    <t>Подпрограмма "Управление земельными ресурсами Удомельского городского округа"</t>
  </si>
  <si>
    <t>0320000000</t>
  </si>
  <si>
    <t>Организация работ по формированию земельных участков, в том числе по объектам жилищно-коммунального хозяйства</t>
  </si>
  <si>
    <t>032012004Б</t>
  </si>
  <si>
    <t>Подпрограмма "Сохранность автомобильных дорог общего пользования местного значения на территории Удомельского городского округа"</t>
  </si>
  <si>
    <t>Подпрограмма "Содействие в развитии сельского хозяйства на территории  Удомельского городского округа"</t>
  </si>
  <si>
    <t>Подпрограмма "Поддержка средств массовой информации муниципального образования Удомельский городской округ"</t>
  </si>
  <si>
    <t>042012003Б</t>
  </si>
  <si>
    <t>042012004Б</t>
  </si>
  <si>
    <t>043012001Ж</t>
  </si>
  <si>
    <t>Формирование земельных участков для бесплатного предоставления многодетным гражданам</t>
  </si>
  <si>
    <t>043022001Ж</t>
  </si>
  <si>
    <t>Приобретение  жилых помещений для детей-сирот, детей, оставшихся без попечения родителей за счет средств областного бюджета Тверской области</t>
  </si>
  <si>
    <t>Оказание социальной материальной помощи  гражданам, находящимся в трудной жизненной ситуации</t>
  </si>
  <si>
    <t>Финансирование расходов на борьбу с борщевиком Сосновского</t>
  </si>
  <si>
    <t>Оплата услуг средствам массовой информации за размещение информации о деятельности органов местного самоуправления, объявлений о деятельности органов местного самоуправления в телевизионном эфире</t>
  </si>
  <si>
    <t>Предоставление субсидий муниципальным унитарным предприятиям коммунального хозяйства на возмещение нормативных затрат, связанных с оказанием ими услуг</t>
  </si>
  <si>
    <t>Сохранение и развитие библиотечного дела в Удомельском городском округе</t>
  </si>
  <si>
    <t>Подпрограмма "Культура Удомельского городского округа"</t>
  </si>
  <si>
    <t>Организация и проведение культурно-досуговых мероприятий и развитие народного творчества в Удомельском городском округе</t>
  </si>
  <si>
    <t>021012003Г</t>
  </si>
  <si>
    <t>Развитие дополнительного образования в сфере культуры и искусства</t>
  </si>
  <si>
    <t>Популяризация и пропаганда деятельности по сохранению объектов культурного наследия Удомельского городского округа</t>
  </si>
  <si>
    <t xml:space="preserve"> Управление культуры, спорта и молодежной политики Администрации Удомельского городского округа</t>
  </si>
  <si>
    <t>Проведение официальных муниципальных физкультурно-оздоровительных и спортивных мероприятий для всех возрастных групп и категорий населения муниципального образования Удомельского городского округа</t>
  </si>
  <si>
    <t xml:space="preserve">Подпрограмма "Молодежь Удомельского городского округа" </t>
  </si>
  <si>
    <t>Организация и проведение творческих  мероприятий для детей и молодежи</t>
  </si>
  <si>
    <t>Создание временных специализированных рабочих мест для несовершеннолетних граждан в возрасте от 14 до 18 лет, трудоустроенных в свободное от учебы время</t>
  </si>
  <si>
    <t xml:space="preserve">Подпрограмма "Противодействие незаконному обороту наркотиков, наркомании, алкоголизму, табакокурению и другим видам зависимости в Удомельском городском округе" </t>
  </si>
  <si>
    <t>025012001Б</t>
  </si>
  <si>
    <t>Проведение мероприятий для подростков и молодежи, направленных на формирование здорового образа жизни и  негативного отношения к наркомании, алкоголизму , табакокурению. Поддержка детского и молодежного самодеятельного творчества</t>
  </si>
  <si>
    <t>029002001С</t>
  </si>
  <si>
    <t>Социальная реклама</t>
  </si>
  <si>
    <t>Финансовое обеспечение компенсации расходов на оплату жилых помещений, отопления и освещения педагогическим работникам образовательных учреждений, проживающим и работающим в сельских населенных пунктах Удомельского городского округа</t>
  </si>
  <si>
    <t>Финансовое обеспечение деятельности муниципального центра тестирования ГТО</t>
  </si>
  <si>
    <t>Содержание автомобильных дорог общего пользования регионального и межмуниципального значения Тверской области 3 класса на территории Удомельского городского округа</t>
  </si>
  <si>
    <t>Содержание улично-дорожной сети в городе Удомля</t>
  </si>
  <si>
    <t>091012003Б</t>
  </si>
  <si>
    <t>Подпрограмма "Организации регулярных перевозок пассажиров и багажа автомобильным транспортом на территории Удомельского городского округа"</t>
  </si>
  <si>
    <t>Подпрограмма "Общественная безопасность и профилактика правонарушений на территории Удомельского городского округа"</t>
  </si>
  <si>
    <t>101012001Б</t>
  </si>
  <si>
    <t>Подпрограмма "Содержание газового хозяйства северной части города Удомля "</t>
  </si>
  <si>
    <t>Обслуживание газового хозяйства северной части города Удомля</t>
  </si>
  <si>
    <t>0740000000</t>
  </si>
  <si>
    <t>0750000000</t>
  </si>
  <si>
    <t>075012001Б</t>
  </si>
  <si>
    <t>Разработка и актуализация схем теплоснабжения, водоснабжения Удомельского городского округа</t>
  </si>
  <si>
    <t>074012001Б</t>
  </si>
  <si>
    <t>Подпрограмма "Содержание, озеленение и благоустройство территории города Удомля "</t>
  </si>
  <si>
    <t>121012003Б</t>
  </si>
  <si>
    <t>Организация и содержание мест захоронений (кладбищ)</t>
  </si>
  <si>
    <t>Оформление и обустройство новых мест под захоронения</t>
  </si>
  <si>
    <t>Подпрограмма "Улучшение состояния и содержание территории города Удомля"</t>
  </si>
  <si>
    <t>Содержание и благоустройство видовых и памятных мест сельских территорий Удомельского городского округа</t>
  </si>
  <si>
    <t>Ремонт и благоустройство территорий населенных пунктов, расположенных на сельских территориях Удомельского городского округа (ремонт покрытий, устройство пешеходных дорожек, мостиков и т.п.)</t>
  </si>
  <si>
    <t>Финансирование расходов по проведению субботников</t>
  </si>
  <si>
    <t xml:space="preserve"> Приложение 7</t>
  </si>
  <si>
    <t>995002001Д</t>
  </si>
  <si>
    <t>9950000000</t>
  </si>
  <si>
    <t>Казенные учреждения, не включенные в муниципальные программы</t>
  </si>
  <si>
    <t>995002002Д</t>
  </si>
  <si>
    <t>994002300Б</t>
  </si>
  <si>
    <t>995002003Д</t>
  </si>
  <si>
    <t>Обслуживание государственного внутреннего и муниципального долга</t>
  </si>
  <si>
    <t>Администрация Удомельского городского округа</t>
  </si>
  <si>
    <t>Финансовое Управление Администрации Удомельского городского округа</t>
  </si>
  <si>
    <t>Дорожное хозяйство (дорожные фонды)</t>
  </si>
  <si>
    <t>Подпрограмма "Повышение пожарной безопасности на территории Удомельского городского округа"</t>
  </si>
  <si>
    <t>071012001Б</t>
  </si>
  <si>
    <t>Подпрограмма "Содержание объектов коммунального хозяйства сельских территорий Удомельского городского округа"</t>
  </si>
  <si>
    <t>Контрольно-счетная комиссия Удомельского городского округа</t>
  </si>
  <si>
    <t>Подпрограмма "Физическая культура и спорт  Удомельского городского округа"</t>
  </si>
  <si>
    <t>Приобретение жилых помещений для малоимущих многодетных семей за счет местного бюджета</t>
  </si>
  <si>
    <t>Подпрограмма "Снижение рисков и смягчение последствий чрезвычайных ситуаций на территории Удомельского городского округа"</t>
  </si>
  <si>
    <t>Подпрограмма "Осуществление мероприятий по обеспечению безопасности людей на водных объектах Удомельского городского округа"</t>
  </si>
  <si>
    <t>Организация содержания мест захоронений (кладбищ)</t>
  </si>
  <si>
    <t>Оплата услуг средствам массовой информации  за размещение информации о деятельности органов местного самоуправления, объявлений о деятельности органов местного самоуправления в радиоэфире</t>
  </si>
  <si>
    <t>Подпрограмма "Профилактика терроризма и экстремизма на территории Удомельского городского округа"</t>
  </si>
  <si>
    <t>Оснащение и модернизация сил и средств для оповещения населения об угрозе возникновения или о возникновении чрезвычайных ситуаций</t>
  </si>
  <si>
    <t>Организация и проведение акций, посвященных памятным датам истории России, государственным символам Российской Федерации</t>
  </si>
  <si>
    <t>Управление образования  Администрации Удомельского городского округа</t>
  </si>
  <si>
    <t>023022001Г</t>
  </si>
  <si>
    <t>0210100000</t>
  </si>
  <si>
    <t>0230100000</t>
  </si>
  <si>
    <t>0810100000</t>
  </si>
  <si>
    <t>0820000000</t>
  </si>
  <si>
    <t>0820100000</t>
  </si>
  <si>
    <t>082012003Б</t>
  </si>
  <si>
    <t>Выполнение проектно-изыскательских работ по объекту "Строительство внешних инженерных коммуникаций к объектам жилой застройки в д.Выскодня Удомельского городского округа"</t>
  </si>
  <si>
    <t>0830000000</t>
  </si>
  <si>
    <t>Подпрограмма "Инвестиционная программа "Строительство внешних инженерных коммуникаций к объектам жилой застройки в д.Выскодня Удомельского городского округа"</t>
  </si>
  <si>
    <t>0830100000</t>
  </si>
  <si>
    <t>083012002Б</t>
  </si>
  <si>
    <t>240</t>
  </si>
  <si>
    <t>Иные закупки товаров, работ и услуг для обеспечения государственных (муниципальных) нужд</t>
  </si>
  <si>
    <t>Задача "Сохранение и развитие культурного потенциала Удомельского городского округа"</t>
  </si>
  <si>
    <t>023022002В</t>
  </si>
  <si>
    <t>0920000000</t>
  </si>
  <si>
    <t>Организация транспортного обслуживания населения на муниципальных маршрутах регулярных перевозок по регулируемым тарифам на территории Удомельского городского округа</t>
  </si>
  <si>
    <t>Создание и развитие школы малого и среднего предпринимательства</t>
  </si>
  <si>
    <t>121022002Б</t>
  </si>
  <si>
    <t>Подпрограмма "Создание условий для формирования современной городской среды и обустройства мест массового отдыха населения (общественной территории) на территории Удомельского городского округа"</t>
  </si>
  <si>
    <t>021032002Б</t>
  </si>
  <si>
    <t>Оснащение сил и средств гражданской обороны, создание материальных запасов</t>
  </si>
  <si>
    <t>1110100000</t>
  </si>
  <si>
    <t>Задача Создание необходимых условий по обеспечению пожарной безопасности на территории  Удомельского городского округа</t>
  </si>
  <si>
    <t>1120100000</t>
  </si>
  <si>
    <t>1130100000</t>
  </si>
  <si>
    <t>Информирование населения по противодействию терроризму и экстремизму</t>
  </si>
  <si>
    <t>Задача "Создание необходимых условий для обеспечения безопасности людей на водных объектах Удомельского городского округа</t>
  </si>
  <si>
    <t>Информирование населения по безопасному нахождению на водных объектах</t>
  </si>
  <si>
    <t>Субсидии бюджетным учреждениям</t>
  </si>
  <si>
    <t>610</t>
  </si>
  <si>
    <t>1010100000</t>
  </si>
  <si>
    <t>Задача "Профилактика совершения правонарушений и преступлений в общественных местах"</t>
  </si>
  <si>
    <t>1600000000</t>
  </si>
  <si>
    <t>1610000000</t>
  </si>
  <si>
    <t>Подпрограмма "Повышение безопасности дорожного движения на территории Удомельского городского округа"</t>
  </si>
  <si>
    <t>1610100000</t>
  </si>
  <si>
    <t>Задача "Профилактика дорожно-транспортных происшествий на территории Удомельского городского округа"</t>
  </si>
  <si>
    <t>161012001Б</t>
  </si>
  <si>
    <t>Задача "Поддержка предприятий агропромышленного комплекса"</t>
  </si>
  <si>
    <t>Подпрограмма "Поддержка средств массовой информации муниципального образования  Удомельского городского округа"</t>
  </si>
  <si>
    <t>Задача "Повышение качества, оперативности и обеспечение стабильности и регулярности информирования населения Удомельского городского округа о деятельности органов государственной власти Тверской области, местного самоуправления Удомельского городского округа"</t>
  </si>
  <si>
    <t>Задача "Создание эффективной системы обеспечения населения качественными и доступными услугами, поддержка отдельных категорий граждан"</t>
  </si>
  <si>
    <t>Задача "Инновационное развитие  предпринимательства (развитие инфраструктуры, вовлечение молодежи в инновационный процесс)"</t>
  </si>
  <si>
    <t>Задача  "Предотвращение недопустимого воздействия на окружающую среду"</t>
  </si>
  <si>
    <t>Задача "Обслуживание действующего емкостного газового хозяйства северной части города Удомля"</t>
  </si>
  <si>
    <t>0710100000</t>
  </si>
  <si>
    <t>0730100000</t>
  </si>
  <si>
    <t>Задача "Обеспечение бесперебойного функционирования объектов коммунального хозяйства сельских территорий Удомельского городского округа"</t>
  </si>
  <si>
    <t>0740100000</t>
  </si>
  <si>
    <t>0750100000</t>
  </si>
  <si>
    <t>1210100000</t>
  </si>
  <si>
    <t>Озеленение видовых и памятных мест на территории города, в том числе приобретение, посадка цветов, уход за ними, покос травы, стрижка кустов и спиливание деревьев</t>
  </si>
  <si>
    <t>Наружное оформление территорий города Удомля</t>
  </si>
  <si>
    <t>1220100000</t>
  </si>
  <si>
    <t>Задача "Содержание мест захоронений"</t>
  </si>
  <si>
    <t>1230100000</t>
  </si>
  <si>
    <t>1240100000</t>
  </si>
  <si>
    <t>Задача "Содержание сельских территорий Удомельского городского округа"</t>
  </si>
  <si>
    <t>Подпрограмма "Развитие  и поддержка субъектов малого и среднего предпринимательства"</t>
  </si>
  <si>
    <t>Задача "Предотвращение и ликвидация вредного воздействия отходов производства и потребления на окружающую среду"</t>
  </si>
  <si>
    <t>Санитарная очистка сельских территорий Удомельского городского округа (сбор, вывоз, утилизация ТБО и КГМ)</t>
  </si>
  <si>
    <t>0310100000</t>
  </si>
  <si>
    <t>Задача "Оптимизация состава муниципального имущества Удомельского городского округа"</t>
  </si>
  <si>
    <t>0310200000</t>
  </si>
  <si>
    <t>Задача "Повышение эффективности использования имущества, находящегося в собственности муниципального образования Удомельский городской округ"</t>
  </si>
  <si>
    <t>0320100000</t>
  </si>
  <si>
    <t>Бюджетные инвестиции</t>
  </si>
  <si>
    <t>410</t>
  </si>
  <si>
    <t>Социальные выплаты гражданам, кроме публичных нормативных социальных выплат</t>
  </si>
  <si>
    <t>Подпрограмма" Профилактика терроризма и экстремизма на территории Удомельского городского округа"</t>
  </si>
  <si>
    <t>Изготовление наглядной агитации: памятки, плакаты, рекламные щиты</t>
  </si>
  <si>
    <t>Задача "Содержание и озеленение территории города Удомля"</t>
  </si>
  <si>
    <t>Задача "Содержание мест захоронения, расположенных на сельских территориях Удомельского городского округа"</t>
  </si>
  <si>
    <t>0210200000</t>
  </si>
  <si>
    <t>Задача "Укрепление и модернизация материально-технической базы муниципальных учреждений культуры Удомельского городского округа"</t>
  </si>
  <si>
    <t>0210300000</t>
  </si>
  <si>
    <t>Задача "Сохранение культурного наследия Удомельского городского округа"</t>
  </si>
  <si>
    <t>0220100000</t>
  </si>
  <si>
    <t>Задача "Развитие массового спорта и физкультурно-оздоровительного движения среди всех возрастных групп и категорий населения Удомельского городского округа, включая лиц с ограниченными физическими возможностями и инвалидов"</t>
  </si>
  <si>
    <t>0230200000</t>
  </si>
  <si>
    <t>Задача "Создание условий для повышения качества и разнообразия услуг, предоставляемых в сфере молодежной политики, удовлетворения потребностей в развитии и реализации духовного потенциала молодежи"</t>
  </si>
  <si>
    <t>320</t>
  </si>
  <si>
    <t>Расходы на руководство и управление администратора программы (Управление культуры, спорта и молодежной политики Администрации Удомельского городского округа)</t>
  </si>
  <si>
    <t>0510100000</t>
  </si>
  <si>
    <t>Содержания муниципальных жилых помещений до момента их предоставления в пользование гражданам</t>
  </si>
  <si>
    <t>Задача  "Обеспечение содержания и сохранности муниципального жилищного фонда"</t>
  </si>
  <si>
    <t>Задача  "Проведение текущего ремонта жилых помещений муниципального жилищного фонда"</t>
  </si>
  <si>
    <t>0520100000</t>
  </si>
  <si>
    <t>Задача "Выявление аварийного жилищного фонда"</t>
  </si>
  <si>
    <t>Обследование многоквартирных домов, домов блокированной застройки, в которых находится муниципальная собственность Удомельского городского округа, для признания таких домов аварийными, подлежащими сносу или реконструкции, а также муниципальных жилых помещений для признания пригодными (не пригодными) для проживания граждан</t>
  </si>
  <si>
    <t>0520200000</t>
  </si>
  <si>
    <t>Задача "Переселение граждан из аварийного жилищного фонда"</t>
  </si>
  <si>
    <t>052022002Б</t>
  </si>
  <si>
    <t xml:space="preserve"> Наименование</t>
  </si>
  <si>
    <t>052022003Б</t>
  </si>
  <si>
    <t xml:space="preserve"> Бюджетные инвестиции</t>
  </si>
  <si>
    <t>Снос аварийных многоквартирных домов и домов блокированной застройки</t>
  </si>
  <si>
    <t>0530100000</t>
  </si>
  <si>
    <t>0530200000</t>
  </si>
  <si>
    <t>1310100000</t>
  </si>
  <si>
    <t>Задача "Содействие в решении жилищных проблем малоимущих многодетных семей"</t>
  </si>
  <si>
    <t>1310200000</t>
  </si>
  <si>
    <t>1320100000</t>
  </si>
  <si>
    <t>Задача "Социальная поддержка граждан, оказавшихся в трудной жизненной и экстремальной ситуации"</t>
  </si>
  <si>
    <t>1320200000</t>
  </si>
  <si>
    <t>310</t>
  </si>
  <si>
    <t>Публичные нормативные социальные выплаты гражданам</t>
  </si>
  <si>
    <t>1320300000</t>
  </si>
  <si>
    <t>Задача "Социальная поддержка старшего поколения"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</si>
  <si>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</si>
  <si>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Расходы на обеспечение деятельности казенного учреждения ГО и ЧС</t>
  </si>
  <si>
    <t>Задача "Достижение качества образовательных услуг"</t>
  </si>
  <si>
    <t>0110200000</t>
  </si>
  <si>
    <t>0110300000</t>
  </si>
  <si>
    <t>Задача "Обеспечение качества условий предоставления образовательных услуг"</t>
  </si>
  <si>
    <t>Финансовое обеспечение мероприятий капитального ремонта и укрепления материально-технической базы муниципальных общеобразовательных  учреждений</t>
  </si>
  <si>
    <t>Расходы на обеспечение муниципального задания на оказание муниципальных услуг (выполнение работ) муниципальных бюджетных образовательных учреждений дошкольного образования</t>
  </si>
  <si>
    <t>994002001Б</t>
  </si>
  <si>
    <t>Расходы на обеспечение деятельности казенного учреждения Централизованная бухгалтерия</t>
  </si>
  <si>
    <t xml:space="preserve">Расходы на обеспечение деятельности казенного учреждения </t>
  </si>
  <si>
    <t>Содержание казенных учреждений</t>
  </si>
  <si>
    <t>Центральный аппарат ЗАГС</t>
  </si>
  <si>
    <t>Финансовое обеспечение компенсационной части родительской платы за дошкольное образование детей</t>
  </si>
  <si>
    <t>Расходы на обеспечение муниципального задания на оказание муниципальных услуг (выполнение работ) муниципальных бюджетных общеобразовательных учреждений</t>
  </si>
  <si>
    <t>Финансовое обеспечение муниципального задания на оказание муниципальных услуг (выполнение работ) муниципальных бюджетных общеобразовательных учреждений</t>
  </si>
  <si>
    <t>Финансовое обеспечение материальной помощи педагогам-молодым специалистам</t>
  </si>
  <si>
    <t>Задача "Развитие муниципальной системы образования"</t>
  </si>
  <si>
    <t>Задача "Обеспечение комплексной деятельности по сохранению и укреплению здоровья школьников, формированию основ здорового образа жизни"</t>
  </si>
  <si>
    <t>0110400000</t>
  </si>
  <si>
    <t>0110500000</t>
  </si>
  <si>
    <t>Финансовое обеспечение муниципального задания на оказание муниципальных услуг (выполнение работ) муниципальных бюджетных  учреждений дополнительного образования детей</t>
  </si>
  <si>
    <t>0120100000</t>
  </si>
  <si>
    <t>Задача "Стимулирование творческой активности участников образовательного процесса"</t>
  </si>
  <si>
    <t>Расходы  на руководство и управление   главного администратора программы (Управления образования Администрации Удомельского городского округа</t>
  </si>
  <si>
    <t>Судебная система</t>
  </si>
  <si>
    <t>1210200000</t>
  </si>
  <si>
    <t>Задача "Благоустройство и наружное оформление территории города Удомля"</t>
  </si>
  <si>
    <t>1140100000</t>
  </si>
  <si>
    <t>Задача "Осуществление подготовки и содержания в готовности необходимых сил и средств для защиты населения и территории Удомельского городского округа от чрезвычайных ситуаций"</t>
  </si>
  <si>
    <t>Задача "Эффективное управление муниципальными унитарными предприятиями"</t>
  </si>
  <si>
    <t>Задача "Привлечение туристов в Удомельский городской округ"</t>
  </si>
  <si>
    <t>Изготовление туристско-информационных материалов об Удомельском городском округе</t>
  </si>
  <si>
    <t xml:space="preserve">Подпрограмма "Развитие туризма в Удомельском городском округе" </t>
  </si>
  <si>
    <t>Выполнение работ по содержанию автомобильных дорог общего пользования местного значения и сооружений на них, нацеленное на обеспечение их проезжаемости и безопасности до сельских населенных пунктов"</t>
  </si>
  <si>
    <t>0910100000</t>
  </si>
  <si>
    <t>0920100000</t>
  </si>
  <si>
    <t>Задача "Развитие автомобильного транспорта"</t>
  </si>
  <si>
    <t>Подпрограмма "Содержание и ремонт муниципального жилищного фонда Удомельского городского округа"</t>
  </si>
  <si>
    <t>0510200000</t>
  </si>
  <si>
    <t>Определение стоимости возмещения за жилое помещение в аварийном жилищном фонде Удомельского городского округа</t>
  </si>
  <si>
    <t>041012002Б</t>
  </si>
  <si>
    <t xml:space="preserve">Подпрограмма "Предоставление субсидий муниципальным унитарным предприятиям на возмещение нормативных затрат, связанных с оказанием ими услуг, юридическим лицам (за исключением субсидий государственным (муниципальным) учреждениям), индивидуальным предпринимателям, оказывающим услуги для граждан" </t>
  </si>
  <si>
    <t>1310300000</t>
  </si>
  <si>
    <t>Задача "Осуществление взаимодействия с общественными организациями по реализации социально значимых мероприятий"</t>
  </si>
  <si>
    <t>Задача "Создание условий для воспитания гармонично-развитой творческой личности в условиях современного социума"</t>
  </si>
  <si>
    <t>Задача "Получение положительного заключения государственной экспертизы на проектно-изыскательские работы по объекту "Строительство внешних инженерных коммуникаций к объектам жилой застройки в д.Выскодня Удомельского городского округа" с целью последующей реализации проекта</t>
  </si>
  <si>
    <t>Прохождение государственной экспертизы материалов проектно-изыскательских работ по объекту "Строительство внешних инженерных коммуникаций к объектам жилой застройки в д.Выскодня Удомельского городского округа"</t>
  </si>
  <si>
    <t>Задача "Приобретение жилых помещений для детей-сирот, детей оставшихся без попечения родителей, лиц их их числа для обеспечения их жилыми помещениями по договорам найма специализированных жилых помещений"</t>
  </si>
  <si>
    <t>Задача "Распределение объемов энергоресурсов на инженерных сетях Удомельского городского округа"</t>
  </si>
  <si>
    <t>Проведение капитального ремонта общего имущества в многоквартирных домах на территории Удомельского городского  округа, за счет средств  местного бюджета</t>
  </si>
  <si>
    <t>830</t>
  </si>
  <si>
    <t>Исполнение судебных актов</t>
  </si>
  <si>
    <t>Задача "Создание необходимых условий по обеспечению пожарной безопасности на территории  Удомельского городского округа"</t>
  </si>
  <si>
    <t>Санитарная очистка города (сбор, вывоз, утилизация ТКО и КГМ)</t>
  </si>
  <si>
    <t>09201S0300</t>
  </si>
  <si>
    <t>13101S0290</t>
  </si>
  <si>
    <t>04201S0320</t>
  </si>
  <si>
    <t>Задача "Содержание автомобильных дорог и сооружений на них в границах Удомельского городского округа"</t>
  </si>
  <si>
    <t>Финансовое обеспечение мероприятий по подвозу учащихся из средств областного бюджета</t>
  </si>
  <si>
    <t>092012003Б</t>
  </si>
  <si>
    <t>Задача "Организация и проведение патриотических и творческих мероприятий"</t>
  </si>
  <si>
    <t>Задача "Эффективное управление и распоряжение муниципальными земельными участками и земельными участками, государственная собственность на которые не разграничена"</t>
  </si>
  <si>
    <t>Задача "Реализация механизма проведения капитального ремонта общего имущества в многоквартирных домах, в соответствии с действующим законодательством Российской Федерации"</t>
  </si>
  <si>
    <t>Организация  транспортного обслуживания населения на муниципальных маршрутах регулярных перевозок сверх минимальных социальных требований, установленных Правительством Тверской области</t>
  </si>
  <si>
    <t>Задача "Проведение профилактических мероприятий по предупреждению террористических и экстремистских проявлений на территории Удомельского городского округа"</t>
  </si>
  <si>
    <t>Задача "Создание необходимых условий для обеспечения безопасности людей на водных объектах Удомельского городского округа"</t>
  </si>
  <si>
    <t>Приобретение  жилых помещений для детей-сирот, детей, оставшихся без попечения родителей</t>
  </si>
  <si>
    <t>Подпрограмма" Снижение рисков и смягчение последствий чрезвычайных ситуаций на территории Удомельского городского округа"</t>
  </si>
  <si>
    <t xml:space="preserve">Приобретение жилых помещений для предоставления гражданам, по договорам социального найма, проживающим в аварийном жилищном фонде </t>
  </si>
  <si>
    <t>Подпрограмма "Инвестиционная программа "Проектно-изыскательские работы по объекту "Строительство внешних инженерных коммуникаций к объектам жилой застройки в д.Выскодня Удомельского городского округа "</t>
  </si>
  <si>
    <t>Задача "Проведение работы по профилактике распространения наркомании, алкоголизма и связанных с ними правонарушений</t>
  </si>
  <si>
    <t>Подпрограмма "Инвестиционная программа "Проектно-изыскательские работы по объекту" Строительство внешних инженерных коммуникаций к объектам жилой застройки в д.Выскодня Удомельского городского округа "</t>
  </si>
  <si>
    <t xml:space="preserve"> Приложение 6</t>
  </si>
  <si>
    <t>Повышение заработной платы работникам муниципальных учреждений культуры  из бюджета Удомельского городского округа</t>
  </si>
  <si>
    <t>Повышение заработной платы из областного бюджета работникам учреждений дополнительного образования в сфере культуры и искусства Удомельского городского округа</t>
  </si>
  <si>
    <t>Повышение заработной платы работникам учреждений дополнительного образования в сфере культуры и искусства из бюджета Удомельского городского округа</t>
  </si>
  <si>
    <t>Финансовое обеспечение отдыха, оздоровления и занятости детей и подростков из областного бюджета Тверской области</t>
  </si>
  <si>
    <t>Финансовое  обеспечение муниципального задания на оказание муниципальных услуг (выполнение работ) муниципальных бюджетных  учреждений дополнительного образования  за счет средств областного бюджета Тверской области</t>
  </si>
  <si>
    <t>02101S0690</t>
  </si>
  <si>
    <t>02101S0680</t>
  </si>
  <si>
    <t>Реализация мероприятий приоритетного проекта "Формирование комфортной городской среды"</t>
  </si>
  <si>
    <t xml:space="preserve">Реализация мероприятий по благоустройству общественных территорий </t>
  </si>
  <si>
    <t xml:space="preserve">Предоставление молодым семьям Удомельского городского округа социальных выплат на приобретение (строительство) жилья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</si>
  <si>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товаров,работ,услуг</t>
  </si>
  <si>
    <t>Финансовое обеспечение мероприятий по выполнению Указа Президента РФ от 01.06.2012г. №761</t>
  </si>
  <si>
    <t>код</t>
  </si>
  <si>
    <t>000 01 03 00 00 00 0000 000</t>
  </si>
  <si>
    <t>Бюджетные кредиты от других бюджетов бюджетной системы  Российской Федерации</t>
  </si>
  <si>
    <t>000 01 03 00 00 00 0000 800</t>
  </si>
  <si>
    <t>Погашение бюджетных кредитов, полученных от других бюджетов бюджетной системы Российской Федерации в валюте Российской Федерации</t>
  </si>
  <si>
    <t>Погашение бюджетами городских округов кредитов от других бюджетов бюджетной системы Российской Федерации в валюте Российской Федерации</t>
  </si>
  <si>
    <t>000 01 05 00 00 00 0000 000</t>
  </si>
  <si>
    <t>Изменение остатков средств на счетах по учету средств бюджета</t>
  </si>
  <si>
    <t>000 01 05 00 00 00 0000 500</t>
  </si>
  <si>
    <t>Увеличение остатков средств бюджетов</t>
  </si>
  <si>
    <t>Увеличение прочих остатков денежных средств бюджетов городских округов</t>
  </si>
  <si>
    <t>000 01 05 00 00 00 0000 600</t>
  </si>
  <si>
    <t>Уменьшение остатков средств бюджетов</t>
  </si>
  <si>
    <t>Уменьшение прочих остатков денежных средств бюджетов городских округов</t>
  </si>
  <si>
    <t xml:space="preserve"> Итого источники финансирования дефицита бюджета </t>
  </si>
  <si>
    <t>2021 год</t>
  </si>
  <si>
    <t>Муниципальная программа "Социальная политика, поддержка и защита населения Удомельского городского округа на 2019-2021 годы"</t>
  </si>
  <si>
    <t>Муниципальная программа "Повышение безопасности дорожного движения на территории Удомельского городского округа на 2019-2021 годы"</t>
  </si>
  <si>
    <t>Муниципальная программа "Улучшение экологической обстановки Удомельского городского округа на 2019-2023 годы"</t>
  </si>
  <si>
    <t>Муниципальная программа "Повышение безопасности дорожного движения на территории Удомельского городского округа на 2019-2023 годы"</t>
  </si>
  <si>
    <t>161012005Б</t>
  </si>
  <si>
    <t>Содержание светофорного регулирования</t>
  </si>
  <si>
    <t>Муниципальная программа "Создание условий для экономического развития Удомельского городского округа на 2019-2023 годы"</t>
  </si>
  <si>
    <t>Предоставление субсидий юридическим лицам (за исключением субсидий государственным (муниципальным)учреждениям), индивидуальным предпринимателям, оказывающим банно-прачечные услуги для отдельной  категорий граждан в городе Удомля</t>
  </si>
  <si>
    <t>Муниципальная программа "Развитие транспортного комплекса и дорожного хозяйства  на территории Удомельского городского округа на 2019-2023 годы"</t>
  </si>
  <si>
    <t>Муниципальная программа "Управление жилищным фондом Удомельского городского округа на 2019-2023 годы"</t>
  </si>
  <si>
    <t>081012002Б</t>
  </si>
  <si>
    <t>081012004Б</t>
  </si>
  <si>
    <t>Задача "Реализация Генерального плана и Правил землепользования и застройки на территории Удомельского городского округа""</t>
  </si>
  <si>
    <t>082022002Б</t>
  </si>
  <si>
    <t>0820200000</t>
  </si>
  <si>
    <t>Задача "Выполнение проектно-изыскательских работ по объекту "Строительство внешних инженерных коммуникаций к объектам жилой застройки в д.Выскодня Удомельского городского округа"</t>
  </si>
  <si>
    <t>Муниципальная программа "Разработка документов по территориальному планированию Удомельского городского округа на 2019-2023 годы"</t>
  </si>
  <si>
    <t>Муниципальная программа "Комплекс мероприятий  по содержанию коммунального и газового хозяйства Удомельского городского округа на 2019-2023 годы"</t>
  </si>
  <si>
    <t>13103L4970</t>
  </si>
  <si>
    <t>Задача "Обеспечение жильем молодых семей Удомельского городского округа "</t>
  </si>
  <si>
    <t>124022001Б</t>
  </si>
  <si>
    <t>1240200000</t>
  </si>
  <si>
    <t>1240300000</t>
  </si>
  <si>
    <t>124032001Б</t>
  </si>
  <si>
    <t>Муниципальная программа "Содержание и благоустройство территории Удомельского городского округа  на 2019-2023 годы"</t>
  </si>
  <si>
    <t>Муниципальная программа "Социальная политика, поддержка и защита населения Удомельского городского округа на 2019-2023 годы"</t>
  </si>
  <si>
    <t>Муниципальная программа "Развитие образования Удомельского городского округа на 2019-2023 годы"</t>
  </si>
  <si>
    <t>Муниципальная программа "Управление имуществом и земельными ресурсами Удомельского городского округа на 2019-2023 годы"</t>
  </si>
  <si>
    <t>Муниципальная программа "Обеспечение  безопасности  жизнедеятельности населения Удомельского городского округа на 2019-2023 годы"</t>
  </si>
  <si>
    <t>Муниципальная программа "Профилактика правонарушений на территории Удомельского городского округа на 2019-2023 годы"</t>
  </si>
  <si>
    <t>Муниципальная программа "Развитие культуры, спорта и молодежной политики Удомельского городского округа на 2019-2023 годы"</t>
  </si>
  <si>
    <t>Муниципальная программа "Развитие образования Удомельского городского округа на 2018-2023 годы"</t>
  </si>
  <si>
    <t>0110100000</t>
  </si>
  <si>
    <t>011012001Б</t>
  </si>
  <si>
    <t>01102S0440</t>
  </si>
  <si>
    <t>01102S0250</t>
  </si>
  <si>
    <t>011022006Г</t>
  </si>
  <si>
    <t>011022003Г</t>
  </si>
  <si>
    <t>0110210740</t>
  </si>
  <si>
    <t>0110210500</t>
  </si>
  <si>
    <t>0110210750</t>
  </si>
  <si>
    <t>0110210560</t>
  </si>
  <si>
    <t>011022011Б</t>
  </si>
  <si>
    <t>0110210250</t>
  </si>
  <si>
    <t>011032001Б</t>
  </si>
  <si>
    <t>01104S0240</t>
  </si>
  <si>
    <t>0110410240</t>
  </si>
  <si>
    <t>011042003Б</t>
  </si>
  <si>
    <t>011042004В</t>
  </si>
  <si>
    <t>011052001Г</t>
  </si>
  <si>
    <t>011052002Б</t>
  </si>
  <si>
    <t>0110510690</t>
  </si>
  <si>
    <t>01105S0690</t>
  </si>
  <si>
    <t>012012001Б</t>
  </si>
  <si>
    <t>071022001Б</t>
  </si>
  <si>
    <t>Страхование газового хозяйства северной части города Удомля</t>
  </si>
  <si>
    <t>Задача "Содержание действующего емкостного газового хозяйства северной части города Удомля"</t>
  </si>
  <si>
    <t>0710200000</t>
  </si>
  <si>
    <t>Задача "Освещение городских территорий"</t>
  </si>
  <si>
    <t>0750200000</t>
  </si>
  <si>
    <t>Задача "Освещение территорий населенных пунктов, расположенных на сельских территориях Удомельского городского округа"</t>
  </si>
  <si>
    <t>075022001Б</t>
  </si>
  <si>
    <t>Строительство магистральных сетей водоснабжения, сетей электроснабжения ЛЭП-0,4кВ к объектам жилой застройки в д.Выскодня Удомельского городского округа</t>
  </si>
  <si>
    <t>052012001Б</t>
  </si>
  <si>
    <t>024012001Б</t>
  </si>
  <si>
    <t>024012002Б</t>
  </si>
  <si>
    <t>994002900Б</t>
  </si>
  <si>
    <t>Расходы на реализацию предложений по обращениям, поступающим к депутатам Удомельской городской Думы</t>
  </si>
  <si>
    <t>Задача "Поддержка субъектов малого и среднего предпринимательства"</t>
  </si>
  <si>
    <t>122022001Б</t>
  </si>
  <si>
    <t>Проведение текущего ремонта муниципального жилого фонда</t>
  </si>
  <si>
    <t>Задача "Реализация Генерального плана и Правил землепользования и застройки на территории Удомельского городского округа"</t>
  </si>
  <si>
    <t>Разработка материалов по описанию границ сельских населенных пунктов на основании Генерального плана Удомельского городского округа</t>
  </si>
  <si>
    <t>Разработка материалов по описанию границ функциональных зон территории Удомельского городского округа на основании Правил землепользования ми застройки Удомельского городского округа</t>
  </si>
  <si>
    <t>Обеспечение уличного освещения территорий Удомельского городского округа</t>
  </si>
  <si>
    <t>Обеспечение уличного освещения города Удомля</t>
  </si>
  <si>
    <t>Задача "Выполнение строительно-монтажных работ по объекту "Строительство внешних инженерных коммуникаций к объектам жилой застройки в д.Выскодня Удомельского городского округа"</t>
  </si>
  <si>
    <t>Обеспечение уличного освещения населенных пунктов, расположенных на сельских территориях Удомельского городского округа</t>
  </si>
  <si>
    <t>Подпрограмма "Содержание  и благоустройство сельских территорий Удомельского городского округа"</t>
  </si>
  <si>
    <t>13102R0820</t>
  </si>
  <si>
    <t>112012002Б</t>
  </si>
  <si>
    <t>Обеспечение первичных мер пожарной безопасности в границах населенных пунктов Удомельского городского округа</t>
  </si>
  <si>
    <t>Обеспечение первичных мер пожарной безопасности в границах населенных пунктов Удомельского городского округа в части содержания имущества</t>
  </si>
  <si>
    <t>Содержание объектов теплоэнергетического комплекса в сельских населенных пунктах Удомельского городского округа</t>
  </si>
  <si>
    <t>Подпрограмма "Инвестиционная программа " Строительство внешних инженерных коммуникаций к объектам жилой застройки в д.Выскодня Удомельского городского округа "</t>
  </si>
  <si>
    <t>032022001Б</t>
  </si>
  <si>
    <t>Задача "Вовлечение земельных участков в хозяйственный оборот"</t>
  </si>
  <si>
    <t>Задача "Профилактика  совершения правонарушений и преступлений в общественных местах"</t>
  </si>
  <si>
    <t>Предоставление компенсаций членам добровольной народной дружины Удомельского городского округа, участвовавшим в охране общественного порядка</t>
  </si>
  <si>
    <t>Нанесение осевой горизонтальной разметки  на территории  Удомельского городского округа</t>
  </si>
  <si>
    <t>0320200000</t>
  </si>
  <si>
    <t>01105S1080</t>
  </si>
  <si>
    <t>Финансовое обеспечение  участия детей и подростков в социально-значимых региональных проектах из бюджета Удомельского городского округа</t>
  </si>
  <si>
    <t>0110511080</t>
  </si>
  <si>
    <t>Организация участия детей и подростков в социально-значимых региональных проектах</t>
  </si>
  <si>
    <t>Подпрограмма "Развитие инженерных сетей округа"</t>
  </si>
  <si>
    <t>09101S1050</t>
  </si>
  <si>
    <t>Выполнение работ по ремонту дорог общего пользования</t>
  </si>
  <si>
    <t>Ремонт автомобильных дорог за счет средств областного бюджета</t>
  </si>
  <si>
    <t>Организация  транспортного обслуживания населения на муниципальных маршрутах регулярных перевозок по регулируемым тарифам в границах Удомельского городского округа  за счет средств областного бюджета</t>
  </si>
  <si>
    <t>Ремонт дворовых территорий многоквартирных домов, проездов к дворовым территориям многоквартирных домов</t>
  </si>
  <si>
    <t>09101S1020</t>
  </si>
  <si>
    <t>Ремонт дворовых территорий многоквартирных домов, проездов к дворовым территориям многоквартирных домов за счет средств областного бюджета</t>
  </si>
  <si>
    <t>Обеспечение безопасности дорожного движения на автомобильных дорогах общего пользования местного значения за счет средств областного бюджета</t>
  </si>
  <si>
    <t>141F255551</t>
  </si>
  <si>
    <t>141F255552</t>
  </si>
  <si>
    <t xml:space="preserve">Обеспечение безопасности дорожного движения на автомобильных дорогах общего пользования местного значения </t>
  </si>
  <si>
    <t>994002900В</t>
  </si>
  <si>
    <t>Повышение заработной платы из областного бюджета работникам муниципальных учреждений культуры Удомельского городского округа</t>
  </si>
  <si>
    <t xml:space="preserve">Предоставление субсидии  из бюджета Удомельского  городского округа на поддержку некоммерческих организаций </t>
  </si>
  <si>
    <t>161R3S1090</t>
  </si>
  <si>
    <t>161R311090</t>
  </si>
  <si>
    <t>121022003Б</t>
  </si>
  <si>
    <t>Реализация проекта "Праздник нашего двора"</t>
  </si>
  <si>
    <t>350</t>
  </si>
  <si>
    <t>Премии и гранты</t>
  </si>
  <si>
    <t>2022 год</t>
  </si>
  <si>
    <t>044022001Б</t>
  </si>
  <si>
    <t>044022002Ж</t>
  </si>
  <si>
    <t>044032006Ж</t>
  </si>
  <si>
    <t>083012003Б</t>
  </si>
  <si>
    <t>161012008Б</t>
  </si>
  <si>
    <t>161012009Б</t>
  </si>
  <si>
    <t>Размещение социальной рекламы по безопасности дорожного движения</t>
  </si>
  <si>
    <t>011042007В</t>
  </si>
  <si>
    <t>Муниципальные программы</t>
  </si>
  <si>
    <t>02102L5191</t>
  </si>
  <si>
    <t>Комплектование книжных фондов муниципальных библиотек Удомельского городского округа</t>
  </si>
  <si>
    <t xml:space="preserve"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
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</si>
  <si>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</si>
  <si>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Пенсии за выслугу лет муниципальным служащим</t>
  </si>
  <si>
    <t>Задача "Повышение уровня благоустройства дворовых территорий муниципального образования Удомельский городской округ в соответствии с едиными требованиями и внедрение цифровых сервисов и современных технологий, направленных на создание благоприятной (комфортной) городской среды"</t>
  </si>
  <si>
    <t>Задача "Повышение уровня благоустройства общественных территорий  в соответствии с едиными требованиями и внедрение цифровых сервисов и современных технологий, направленных на создание благоприятной (комфортной) городской среды"</t>
  </si>
  <si>
    <t>141022005Б</t>
  </si>
  <si>
    <t>Благоустройство парковой зоны ул.Венецианова</t>
  </si>
  <si>
    <t>Осуществление переданных полномочий Российской Федерации на государственную регистрацию актов гражданского состояния</t>
  </si>
  <si>
    <t xml:space="preserve">Приобретение информационно-пропагандистской продукции по безопасности дорожного движения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</si>
  <si>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</si>
  <si>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Строительство улично-дорожной сети и сетей уличного освещения земельных участков, выделенных многодетным гражданам в д.Выскодня Удомельского городского округа</t>
  </si>
  <si>
    <t>Финансовое обеспечение участия в спортивных мероприятиях регионального, всероссийского, международного уровней</t>
  </si>
  <si>
    <t>Предоставление субсидии  из областного бюджета на поддержку  некоммерческих организаций</t>
  </si>
  <si>
    <t>02102L4670</t>
  </si>
  <si>
    <t>Обеспечение развития и укрепления материально-технической базы домов культуры в населенных пунктах с числом жителей до 50 тысяч человек</t>
  </si>
  <si>
    <t>141012004Б</t>
  </si>
  <si>
    <t>Разработка проектно - сметной документации</t>
  </si>
  <si>
    <t>0110210440</t>
  </si>
  <si>
    <t>Укрепление материально-технической базы муниципальных общеобразовательных  учреждений за счет средств областного бюджета</t>
  </si>
  <si>
    <t>0730200000</t>
  </si>
  <si>
    <t>Задача "Проведение капитального ремонта объектов теплоэнергетических комплексов"</t>
  </si>
  <si>
    <t>07302S0700</t>
  </si>
  <si>
    <t>Проведение капитального ремонта объектов теплоэнергетических комплексов</t>
  </si>
  <si>
    <t>0720000000</t>
  </si>
  <si>
    <t>Подпрограмма "Энергосбережение и повышение энергетической эффективности"</t>
  </si>
  <si>
    <t>072012001Б</t>
  </si>
  <si>
    <t>Задача "Сокращение расходов на оплату энергоресурсов из бюджета Удомельского городского округа"</t>
  </si>
  <si>
    <t>Замена светильников на современные энергосберегающие</t>
  </si>
  <si>
    <t>073042001Б</t>
  </si>
  <si>
    <t>Строительство объектов водоснабжения и водоотведения</t>
  </si>
  <si>
    <t>0730400000</t>
  </si>
  <si>
    <t>Задача "Строительство инженерных систем округа"</t>
  </si>
  <si>
    <t>011022019В</t>
  </si>
  <si>
    <t>Обеспечение комплексной безопасности зданий и помещений дошкольных образовательных учреждений, находящихся в муниципальной собственности</t>
  </si>
  <si>
    <t>011022016В</t>
  </si>
  <si>
    <t>Обеспечение комплексной безопасности зданий и помещений общеобразовательных учреждений, находящихся в муниципальной собственности</t>
  </si>
  <si>
    <t>к решению Удомельской городской Думы</t>
  </si>
  <si>
    <t>902 01 03 01 00 04 0000 810</t>
  </si>
  <si>
    <t>902 01 05 02 01 04 0000 510</t>
  </si>
  <si>
    <t>902 01 05 02 01 04 0000 610</t>
  </si>
  <si>
    <t>14101S5550</t>
  </si>
  <si>
    <t>Реализация мероприятий приоритетного проекта "Формирование комфортной городской среды" из средств собственников МКД</t>
  </si>
  <si>
    <t>141022002Б</t>
  </si>
  <si>
    <t>Предоставление гранта в форме субсидии начинающим субъектам  предпринимательства на создание собственного дела</t>
  </si>
  <si>
    <t>01102S1040</t>
  </si>
  <si>
    <t>Финансовое обеспечение мероприятий по  укреплению материально-технической базы муниципальных дошкольных учреждений</t>
  </si>
  <si>
    <t>044012001Б</t>
  </si>
  <si>
    <t>Задача "Пропаганда и популяризация предпринимательской деятельности"</t>
  </si>
  <si>
    <t>Привлечение субъектов малого и среднего предпринимательства к участию в выставках,ярмарках, конкурсах, мероприятиях, проводимых на территории Удомельского городского округа</t>
  </si>
  <si>
    <t>Привлечение субъектов малого и среднего предпринимательства к участию в выставках ,ярмарках, конкурсах, мероприятиях, проводимых на территории Удомельского городского округа</t>
  </si>
  <si>
    <t>0110211040</t>
  </si>
  <si>
    <t>Укрепление материально-технической базы муниципальных дошкольных образовательных  учреждений за счет средств областного бюджета</t>
  </si>
  <si>
    <t>Муниципальная программа "Формирование комфортной городской среды на территории Удомельского городского округа  на 2018-2024 годы"</t>
  </si>
  <si>
    <t>01104L3040</t>
  </si>
  <si>
    <t>Организация бесплатного горячего питания обучающихся, получающих начальное общее образование в муниципальных образовательных учреждениях</t>
  </si>
  <si>
    <t>0110153031</t>
  </si>
  <si>
    <t>Ежемесячное денежное вознаграждение за классное руководство педагогическим работникам муниципальных образовательных учреждений</t>
  </si>
  <si>
    <t>на 2021 год и на плановый период 2022 и 2023 годов"</t>
  </si>
  <si>
    <t>Источники финансирования дефицита бюджета Удомельского городского округа  на 2021 год  и на плановый период 2022 и 2023 годов</t>
  </si>
  <si>
    <t>2023 год</t>
  </si>
  <si>
    <t>Распределение бюджетных ассигнований  бюджета  Удомельского городского округа по разделам и подразделам классификации расходов бюджета на 2021 год  и на плановый период 2022 и 2023 годов</t>
  </si>
  <si>
    <t>Защита населения и территории от чрезвычайных ситуаций природного и техногенного характера,  пожарная безопасность</t>
  </si>
  <si>
    <t xml:space="preserve">Ведомственная структура расходов  бюджета Удомельского городского округа по главным распорядителям бюджетных средств, разделам, подразделам, целевым статьям (муниципальным программам и непрограммным направлениям деятельности), группам  видов расходов классификации  расходов бюджетов на  2021 год и на плановый период 2022 и 2023 годов                                                  </t>
  </si>
  <si>
    <t>994002500Б</t>
  </si>
  <si>
    <t>Обеспечение проведения выборов и референдумов</t>
  </si>
  <si>
    <t>2022год</t>
  </si>
  <si>
    <t>03202L5110</t>
  </si>
  <si>
    <t>Организация проведения комплексных кадастровых работ на территории Удомельского городского округа</t>
  </si>
  <si>
    <t>Распределение бюджетных ассигнований по целевым статьям  (муниципальным программам и непрограммным направлениям деятельности), 
группам видов расходов, классификации расходов бюджета на 2021 год и на плановый период 2022 и 2023 годов</t>
  </si>
  <si>
    <t>880</t>
  </si>
  <si>
    <t>Специальные расходы</t>
  </si>
  <si>
    <t>Предоставление гранта в форме субсидии начинающим субъектам  предпринимательства и самозанятым на создание собственного дела</t>
  </si>
  <si>
    <t>044032007Ж</t>
  </si>
  <si>
    <t>044032008Ж</t>
  </si>
  <si>
    <t>Предоставление  субсидий субъектам  малого и среднего предпринимательства - сельскохозяйственным кооперативам и крестьянским (фермерским) хозяйствам на оказание поддержки  по сохранению поголовья сельскохозяйственных животных</t>
  </si>
  <si>
    <t>101012004Б</t>
  </si>
  <si>
    <t>Организация видео-фото наблюдения на территории Удомельского городского округа</t>
  </si>
  <si>
    <t>072022001Б</t>
  </si>
  <si>
    <t>Задача "Реконструкция внутридомовых и внешних сетей электроснабжения многоквартирных домов"</t>
  </si>
  <si>
    <t>Выполнение работ по реконструкции внутридомовых сетей электроснабжения многоквартирных домов и выполнение работ, связанных с увеличением объема максимальной мощности внешних объектов электросетевого хозяйства</t>
  </si>
  <si>
    <t>072012003Б</t>
  </si>
  <si>
    <t>072012004Б</t>
  </si>
  <si>
    <t>075032001Б</t>
  </si>
  <si>
    <t>0750300000</t>
  </si>
  <si>
    <t>Задача "Содержание сетей уличного освещения на территории Удомельского городского округа"</t>
  </si>
  <si>
    <t>Обеспечение безопасности дорожного движения при проведении культурно-массовых мероприятий</t>
  </si>
  <si>
    <t xml:space="preserve">Содержание сетей уличного освещения </t>
  </si>
  <si>
    <t>011052010В</t>
  </si>
  <si>
    <t>Подготовка и проведение Всероссийской переписи населения в 2020 году</t>
  </si>
  <si>
    <t>091012010Б</t>
  </si>
  <si>
    <t>Ремонт автомобильных дорог на территории г.Удомля</t>
  </si>
  <si>
    <t>011022023В</t>
  </si>
  <si>
    <t>011022024В</t>
  </si>
  <si>
    <t>011052011В</t>
  </si>
  <si>
    <t>Проектирование и строительство сетей наружного освещения на территории Удомельского городского округа</t>
  </si>
  <si>
    <t>074012002Б</t>
  </si>
  <si>
    <t>Содержание объектов коммунального хозяйства</t>
  </si>
  <si>
    <t>023022003Б</t>
  </si>
  <si>
    <t>Поддержка волонтерского движения</t>
  </si>
  <si>
    <t>091012004Б</t>
  </si>
  <si>
    <t>091012005Б</t>
  </si>
  <si>
    <t>Ремонт (капитальный ремонт) тротуаров на территории г.Удомля</t>
  </si>
  <si>
    <t>091012012Б</t>
  </si>
  <si>
    <t>Выполнение работ по очистке ливнево-дренажной канализации и водопропускных труб</t>
  </si>
  <si>
    <t>073042002Б</t>
  </si>
  <si>
    <t>Обеспечение комплексной безопасности зданий и помещений учреждений дополнительного образования, находящихся в муниципальной собственности</t>
  </si>
  <si>
    <t xml:space="preserve"> от 22.12.2020 № 514</t>
  </si>
  <si>
    <t>от 22.12.2020 № 514</t>
  </si>
  <si>
    <t>Организация системы управления уличным освещением</t>
  </si>
  <si>
    <t>1220200000</t>
  </si>
  <si>
    <t>Задача "Определение потребности в обустройстве новых мест под захоронения на территории города Удомля</t>
  </si>
  <si>
    <t>Приобретение, ремонт и содержание спортивных и игровых площадок муниципальных общеобразовательных учреждений</t>
  </si>
  <si>
    <t>Приобретение, ремонт и содержание спортивных и игровых площадок муниципальных дошкольных образовательных учреждений</t>
  </si>
  <si>
    <t>Приобретение, ремонт и содержание спортивных и игровых площадок учреждений дополнительного образования</t>
  </si>
  <si>
    <t>Реализация мероприятий поддержки общественных и гражданских инициатив "Ремонт дворовых территорий МКД"</t>
  </si>
  <si>
    <t>1260000000</t>
  </si>
  <si>
    <t>Подпрограмма  "Реализация мероприятий поддержки общественных и гражданских инициатив на территории Удомельского городского округа"</t>
  </si>
  <si>
    <t>1260200000</t>
  </si>
  <si>
    <t>Задача "Ремонт дворовых территорий многоквартирных домов в рамках реализации мероприятий поддержки общественных и гражданских инициатив на территории Удомельского городского округа"</t>
  </si>
  <si>
    <t>"О внесении изменений в решение  Удомельской</t>
  </si>
  <si>
    <t>городской Думы от 22.12.2020  № 514</t>
  </si>
  <si>
    <t xml:space="preserve"> Приложение 3</t>
  </si>
  <si>
    <t xml:space="preserve"> Приложение 4</t>
  </si>
  <si>
    <t xml:space="preserve"> Приложение 5</t>
  </si>
  <si>
    <t>1250000000</t>
  </si>
  <si>
    <t>Подпрограмма "Реализация Программы поддержки местных инициатив Тверской области на территории Удомельского городского округа"</t>
  </si>
  <si>
    <t>Расходы на реализацию программ по поддержке местных инициатив за счет средств местного бюджета, поступлений от юридических лиц и вкладов граждан</t>
  </si>
  <si>
    <t>1250100000</t>
  </si>
  <si>
    <t>Задача "Капитальный ремонт объектов нежилого фонда муниципальной казны Удомельского городского округа в рамках реализации программы поддержки местных инициатив"</t>
  </si>
  <si>
    <t>1250300000</t>
  </si>
  <si>
    <t>Задача "Благоустройство территории Удомельского городского округа в рамках реализации программы поддержки местных инициатив"</t>
  </si>
  <si>
    <t>12503S9000</t>
  </si>
  <si>
    <t>Финансовое обеспечение мероприятия капитального и текущего ремонтов муниципальных общеобразовательных учреждений</t>
  </si>
  <si>
    <t>011022025В</t>
  </si>
  <si>
    <t>021022005В</t>
  </si>
  <si>
    <t xml:space="preserve">Финансовое обеспечение мероприятий по ремонту зданий </t>
  </si>
  <si>
    <t>021022007В</t>
  </si>
  <si>
    <t>Выполнение работ по ремонту линий электропередач</t>
  </si>
  <si>
    <t>Финансовое обеспечение по ремонту помещений и зданий дополнительного образования в сфере культуры и искусства</t>
  </si>
  <si>
    <t>073012002Б</t>
  </si>
  <si>
    <t>Выполнение работ по разработке проектно-сметной документации</t>
  </si>
  <si>
    <t>Реализация мероприятий поддержки общественных и гражданских инициатив "Капитальный ремонт дорог на дворовых территориях МКД"</t>
  </si>
  <si>
    <t>1260100000</t>
  </si>
  <si>
    <t>Задача "Капитальный ремонт дорог на дворовых территориях многоквартирных домов в рамках реализации мероприятий поддержки общественных и гражданских инициатив на территории Удомельского городского округа"</t>
  </si>
  <si>
    <t>Установка дорожных знаков</t>
  </si>
  <si>
    <t>021А300000</t>
  </si>
  <si>
    <t>021А354530</t>
  </si>
  <si>
    <t>Создание виртуального концертного зала</t>
  </si>
  <si>
    <t>Реализация мероприятий по благоустройству общественных территорий города Удомля</t>
  </si>
  <si>
    <t>141F200000</t>
  </si>
  <si>
    <t>161R300000</t>
  </si>
  <si>
    <t>021А200000</t>
  </si>
  <si>
    <t>021А255193</t>
  </si>
  <si>
    <t>Задача "Реализация проекта "Цифровая культура» в рамках национального проекта "Культура"</t>
  </si>
  <si>
    <t>Задача "Реализация  проекта "Творческие люди" в рамках национального проекта "Культура"</t>
  </si>
  <si>
    <t>Задача "Реализация  проекта "Безопасность дорожного движения" в рамках национального проекта "Безопасные и качественные автомобильные дороги"</t>
  </si>
  <si>
    <t>Задача "Реализация  проекта "Формирование комфортной городской среды" в рамках национального проекта "Жилье и городская среда"</t>
  </si>
  <si>
    <t>141022006Б</t>
  </si>
  <si>
    <t>161012011Б</t>
  </si>
  <si>
    <t>161012012Б</t>
  </si>
  <si>
    <t xml:space="preserve"> Распределение бюджетных ассигнований  бюджета Удомельского городского округа по разделам, подразделам, целевым статьям (муниципальным программам и непрограммным направлениям деятельности), группам и подгруппам видов расходов классификации  расходов бюджета на 2021 год и на плановый период 2022 и 2023 годов</t>
  </si>
  <si>
    <t>04201S0490</t>
  </si>
  <si>
    <t>Предоставление субсидий на развитие материально-технической базы редакций районных и городских газет</t>
  </si>
  <si>
    <t xml:space="preserve"> от 22.12.2020 №514</t>
  </si>
  <si>
    <t>Задача "Проведение капитального ремонта общего имущества в многоквартирных домах на территории Удомельского городского округа за счет средств местного бюджета"</t>
  </si>
  <si>
    <t>0730210700</t>
  </si>
  <si>
    <t>Проведение капитального ремонта объектов теплоэнергетических комплексов за счет средств областного бюджета</t>
  </si>
  <si>
    <t>0720200000</t>
  </si>
  <si>
    <t>Предоставление гранта в форме субсидии субъектам малого и среднего предпринимательства на  создание и развитие крестьянского (фермерского) хозяйства</t>
  </si>
  <si>
    <t>Расходы не включенные в муниципальные программы</t>
  </si>
  <si>
    <t>994002200Б</t>
  </si>
  <si>
    <t>Исполнительные листы казенных учреждений</t>
  </si>
  <si>
    <t xml:space="preserve">Думы от    № </t>
  </si>
  <si>
    <t>0120210920</t>
  </si>
  <si>
    <t>Средства депутатов Законодательного Собрания Тверской области на финансовое обеспечение информационного сопровождения развития образования Удомельского городского округа</t>
  </si>
  <si>
    <t>0120200000</t>
  </si>
  <si>
    <t>0210310920</t>
  </si>
  <si>
    <t>Средства депутатов Законодательного Собрания Тверской области на выпуск книг</t>
  </si>
  <si>
    <t>Монтаж уличного освещения на существующих опорах в Тверской области, Удомельском городском округе, д.Городище</t>
  </si>
  <si>
    <t>Устройство контейнерных площадок в Тверской области, Удомельском городском округе, д.Ряд</t>
  </si>
  <si>
    <t>Устройство контейнерных площадок в Тверской области, Удомельском городском округе, Мстинском территориальном отделе</t>
  </si>
  <si>
    <t>Расходы на реализацию программ по поддержке местных инициатив за счет  субсидий из областного бюджета</t>
  </si>
  <si>
    <t>Расходы на реализацию программ по поддержке местных инициатив за счет мероприятий по обращениям, поступающим к депутатам Законодательного Собрания Тверской области</t>
  </si>
  <si>
    <t>Подпрограмма "Содержание газового хозяйства северной части города Удомля"</t>
  </si>
  <si>
    <t>1250319000</t>
  </si>
  <si>
    <t>1250319300</t>
  </si>
  <si>
    <t>12501S9001</t>
  </si>
  <si>
    <t>1250119001</t>
  </si>
  <si>
    <t>1250119301</t>
  </si>
  <si>
    <t>Капитальный ремонт кровли здания Дома культуры по адресу: Тверская область, Удомельский городской округ, д. Порожки д.65 за счет мероприятий по обращениям, поступающим к депутатам Законодательного Собрания Тверской области</t>
  </si>
  <si>
    <t>12503S9002</t>
  </si>
  <si>
    <t>Капитальный ремонт кровли здания Дома культуры по адресу: Тверская область, Удомельский городской округ, д. Порожки д.65 за счет средств местного бюджета, поступлений от юридических лиц и вкладов граждан</t>
  </si>
  <si>
    <t xml:space="preserve">Монтаж уличного освещения на существующих опорах в Тверской области, Удомельском городском округе, д.Казикино </t>
  </si>
  <si>
    <t>Капитальный ремонт кровли здания Дома культуры по адресу: Тверская область, Удомельский городской округ, д. Порожки д.65 за счет субсидий из областного бюджета</t>
  </si>
  <si>
    <t>1250319002</t>
  </si>
  <si>
    <t>12503S9003</t>
  </si>
  <si>
    <t>1250319003</t>
  </si>
  <si>
    <t>12503S9004</t>
  </si>
  <si>
    <t>1250319004</t>
  </si>
  <si>
    <t>1250319303</t>
  </si>
  <si>
    <t>1250319304</t>
  </si>
  <si>
    <t>1250319005</t>
  </si>
  <si>
    <t>1250319006</t>
  </si>
  <si>
    <t>12503S9005</t>
  </si>
  <si>
    <t>12503S9006</t>
  </si>
  <si>
    <t>1250319305</t>
  </si>
  <si>
    <t>1250319306</t>
  </si>
  <si>
    <t>Финансовое обеспечение участия педагогов и обучающихся в региональных и межрегиональных мероприятиях в рамках регионального проекта "Цифровая образовательная среда"</t>
  </si>
  <si>
    <t xml:space="preserve">Благоустройство дворовой территории по адресу: Тверская область, г.Удомля, ул.Александрова, д.8 </t>
  </si>
  <si>
    <t>Задача "Обеспечение безопасности многоквартирных домов"</t>
  </si>
  <si>
    <t>Устройство автоматической пожарной сигнализации многоквартирного дома, расположенного по адресу: Тверская область, г.Удомля, пр.Курчатова д.14</t>
  </si>
  <si>
    <t>1260324012</t>
  </si>
  <si>
    <t>Капитальный ремонт  дороги на  дворовой территории многоквартирного дома  ул.Весенняя д.1 блок 2</t>
  </si>
  <si>
    <t>Ремонт пешеходных тротуаров, дороги и устройство парковочных мест на дворовой территории ул.Весенняя д.3</t>
  </si>
  <si>
    <t>Ремонт дворовой территории по ул.Попова д.19</t>
  </si>
  <si>
    <t>Ремонт дворовой территории по ул.Мичурина д.1</t>
  </si>
  <si>
    <t>1260124002</t>
  </si>
  <si>
    <t>1260124003</t>
  </si>
  <si>
    <t>1260124010</t>
  </si>
  <si>
    <t>1260124011</t>
  </si>
  <si>
    <t>1260124000</t>
  </si>
  <si>
    <t>1260224000</t>
  </si>
  <si>
    <t>1260224004</t>
  </si>
  <si>
    <t>1260224005</t>
  </si>
  <si>
    <t>1260224006</t>
  </si>
  <si>
    <t>Благоустройство дворовой территории пр.Курчатова д.6</t>
  </si>
  <si>
    <t>1260224007</t>
  </si>
  <si>
    <t>Благоустройство дворовой территории пр.Курчатова д.8</t>
  </si>
  <si>
    <t>Благоустройство дворовой территории пр.Курчатова д.10</t>
  </si>
  <si>
    <t>1260224008</t>
  </si>
  <si>
    <t>Благоустройство дворовой территории пр.Александрова д.12</t>
  </si>
  <si>
    <t>1260224009</t>
  </si>
  <si>
    <t>126022001Б</t>
  </si>
  <si>
    <t>126022002Б</t>
  </si>
  <si>
    <t>Реализация мероприятий поддержки общественных и гражданских инициатив "Ремонт дворовых территорий МКД за счет средств внебюджетных источников"</t>
  </si>
  <si>
    <t>Приобретение жилых помещений для малоимущих многодетных семей за счет средств областного бюджета</t>
  </si>
  <si>
    <t>1310110290</t>
  </si>
  <si>
    <t>Благоустройство дворовой территории по адресу: Тверская область, г.Удомля, ул.Александрова, д.8</t>
  </si>
  <si>
    <t>Благоустройство дворовой территории пр.Курчатова д.12</t>
  </si>
  <si>
    <t>Благоустройство дворовой территории пр.Курчатова д.10а, 10б</t>
  </si>
  <si>
    <t>012012003В</t>
  </si>
  <si>
    <t>Средства депутатов Законодательного Собрания Тверской области на благоустройство</t>
  </si>
  <si>
    <t>011022022В</t>
  </si>
  <si>
    <t>Финансовое обеспечение мероприятий капитального и (или) текущего ремонтов муниципальных дошкольных образовательных учреждений</t>
  </si>
  <si>
    <t>1250200000</t>
  </si>
  <si>
    <t>Задача "Капитальный ремонт автомобильных дорог  на территории Удомельского городского округа в рамках реализации программы поддержки местных инициатив"</t>
  </si>
  <si>
    <t>12502S9000</t>
  </si>
  <si>
    <t>Ремонт пешеходных тротуаров и дороги на дворовой территории многоквартирного дома по адресу: улица Попова, д.20</t>
  </si>
  <si>
    <t>Ремонт пешеходных тротуаров и дороги, устройство парковочных мест на дворовой территории многоквартирного дома по адресу: улица Венецианова, д.5</t>
  </si>
  <si>
    <t>Устройство парковочных мест на дворовой территории многоквартирного дома по адресу: улица Венецианова, д.7</t>
  </si>
  <si>
    <t>12502S9010</t>
  </si>
  <si>
    <t>Капитальный ремонт асфальтового покрытия дороги на дворовой территории многоквартирного дома по адресу: улица Левитана, д.11</t>
  </si>
  <si>
    <t>12502S9011</t>
  </si>
  <si>
    <t>Капитальный ремонт дороги и пешеходных дорожек на дворовой территории  по адресу: улица Энтузиастов, д.26</t>
  </si>
  <si>
    <t>1250219000</t>
  </si>
  <si>
    <t>1250219010</t>
  </si>
  <si>
    <t>1250219011</t>
  </si>
  <si>
    <t>022012003Б</t>
  </si>
  <si>
    <t>Подготовка площадки и установка на ней оборудования для сдачи норм ГТО</t>
  </si>
  <si>
    <t>1260124014</t>
  </si>
  <si>
    <t>Ремонт пешеходных тротуаров на придомовой территории ул.Курчатова д.26</t>
  </si>
  <si>
    <t>Задача  "Подключение к сетям водоотведения объектов жилого фонда, расположенных на территории Удомельского городского округа"</t>
  </si>
  <si>
    <t>1260400000</t>
  </si>
  <si>
    <t>1260424013</t>
  </si>
  <si>
    <t>091012011Б</t>
  </si>
  <si>
    <t>Выполнение работ по ремонту мостовых сооружений на территории Удомельского городского округа</t>
  </si>
  <si>
    <t>073012003Б</t>
  </si>
  <si>
    <t>1250400000</t>
  </si>
  <si>
    <t>Задача "Ремонт дворовых территорий МКД на территории Удомельского городского округа в рамках реализации программы поддержки местных инициатив"</t>
  </si>
  <si>
    <t>12504S9000</t>
  </si>
  <si>
    <t>12504S9007</t>
  </si>
  <si>
    <t>12504S9008</t>
  </si>
  <si>
    <t>12504S9009</t>
  </si>
  <si>
    <t>1250419000</t>
  </si>
  <si>
    <t>1250419007</t>
  </si>
  <si>
    <t>1250419008</t>
  </si>
  <si>
    <t>1250419009</t>
  </si>
  <si>
    <t>Выполнение работ по подключению к сетям водоотведения  ул.Вышневолоцкое шоссе д.3,5</t>
  </si>
  <si>
    <t>Выполнение работ по разработке проектно-сметной документации на реконструкцию и ремонт автомобильных дорог, дворовых территорий многоквартирных домов, проездов к дворовым территориям, в т.ч.. парковок и проведение лабораторных исследований</t>
  </si>
  <si>
    <t>Привлечение субъектов малого и среднего предпринимательства к участию в выставках, ярмарках, конкурсах, мероприятиях, проводимых на территории Удомельского городского округа</t>
  </si>
  <si>
    <t>Предоставление  субсидий субъектам  малого и среднего предпринимательства - сельскохозяйственным кооперативам и крестьянским (фермерским) хозяйствам на проведение профилактических, противоэпизодических, противоинфекционных мероприятий</t>
  </si>
  <si>
    <t>Содержание объектов инженерной инфраструктуры (тепло, водоснабжения, водоотведение), расположенных на территории Удомельского городского округа</t>
  </si>
  <si>
    <t>Ремонт пешеходных тротуаров, дороги и устройство парковочных мест на дворовой территории ул. Весенняя д.3</t>
  </si>
  <si>
    <t>Ремонт дворовой территории по ул. Попова д.19</t>
  </si>
  <si>
    <t>Ремонт дворовой территории по ул. Мичурина д.1</t>
  </si>
  <si>
    <t>Ремонт пешеходных тротуаров на придомовой территории ул. Курчатова д.26</t>
  </si>
  <si>
    <t>Устройство автоматической пожарной сигнализации многоквартирного дома, расположенного по адресу: Тверская область, г.Удомля, пр. Курчатова д.14</t>
  </si>
  <si>
    <t xml:space="preserve">Благоустройство дворовой территории по адресу: Тверская область, г. Удомля, ул. Александрова, д.8 </t>
  </si>
  <si>
    <t>Благоустройство дворовой территории по адресу: Тверская область, г.Удомля, ул. Александрова, д.8</t>
  </si>
  <si>
    <t>Благоустройство дворовой территории пр. Курчатова д.12</t>
  </si>
  <si>
    <t>Благоустройство дворовой территории пр. Курчатова д.10а, 10б</t>
  </si>
  <si>
    <t>Благоустройство дворовой территории пр. Курчатова д.6</t>
  </si>
  <si>
    <t>Благоустройство дворовой территории пр. Курчатова д.8</t>
  </si>
  <si>
    <t>Благоустройство дворовой территории пр. Курчатова д.10</t>
  </si>
  <si>
    <t>Благоустройство дворовой территории пр. Александрова д.12</t>
  </si>
  <si>
    <t>Благоустройство парковой зоны ул. Венецианова</t>
  </si>
  <si>
    <t>Задача "Система информирования граждан о деятельности в сфере муниципального образования"</t>
  </si>
  <si>
    <t>Сумма тыс.руб..</t>
  </si>
  <si>
    <t>Ремонт (капитальный ремонт) тротуаров на территории г. Удомля</t>
  </si>
  <si>
    <t>Ремонт автомобильных дорог на территории г. Удомля</t>
  </si>
  <si>
    <t>Благоустройство дворовой территории по адресу: Тверская область, г. Удомля, ул. Александрова, д.8</t>
  </si>
  <si>
    <t>Капитальный ремонт  дороги на  дворовой территории многоквартирного дома  ул. Весенняя д.1 блок 2</t>
  </si>
  <si>
    <t>Устройство автоматической пожарной сигнализации многоквартирного дома, расположенного по адресу: Тверская область, г. Удомля, пр. Курчатова д.14</t>
  </si>
  <si>
    <t>Выполнение работ по подключению к сетям водоотведения  ул. Вышневолоцкое шоссе д.3,5</t>
  </si>
  <si>
    <t>Предоставление субсидий на развитие материально-технической базы редакций районных и городских газет за счет средств областного бюджета</t>
  </si>
  <si>
    <t>Государственная поддержка отрасли культуры (в части оказания государственной поддержки лучшим сельским учреждениям культуры)</t>
  </si>
  <si>
    <t>Благоустройство зданий муниципальных общеобразовательных организаций в целях соблюдения требований к воздушно-тепловому режиму, водоснабжению и канализации</t>
  </si>
  <si>
    <t>01102L2550</t>
  </si>
  <si>
    <t>031022013Б</t>
  </si>
  <si>
    <t>Увеличение уставного фонда МУП в целях финансовой устойчивости и недопущения неплатежеспособности</t>
  </si>
  <si>
    <t>072012005Б</t>
  </si>
  <si>
    <t>Устройство комплектных трансформаторных станций</t>
  </si>
  <si>
    <t>0720100000</t>
  </si>
  <si>
    <t>021022008В</t>
  </si>
  <si>
    <t>Выполнение работ по содержанию автомобильных дорог общего пользования местного значения и сооружений на них, нацеленное на обеспечение их проезжаемости и безопасности до сельских населенных пунктов</t>
  </si>
  <si>
    <t>1260124015</t>
  </si>
  <si>
    <t>Ремонт асфальтобетонного покрытия пр.Курчатова д.22</t>
  </si>
  <si>
    <t>011022017В</t>
  </si>
  <si>
    <t>Оснащение автобусов, осуществляющих подвоз обучающихся, проживающих в сельской местности, к месту обучения и обратно, необходимыми техническими средствами</t>
  </si>
  <si>
    <t>Обеспечение комплексной безопасности зданий и помещений учреждений дополнительного образования в сфере культуры и искусства, находящихся в муниципальной собственности</t>
  </si>
  <si>
    <t>Приложение 10</t>
  </si>
  <si>
    <t>к решению Удомельского городской Думы</t>
  </si>
  <si>
    <t xml:space="preserve">"О бюджете Удомельского городского округа </t>
  </si>
  <si>
    <t>на 2021 год и плановый период 2022 и 2023 годов"</t>
  </si>
  <si>
    <t xml:space="preserve">     Общий объем бюджетных ассигнований, направляемых на исполнение публичных нормативных обязательств  Удомельского городского округа на 2021 год и на плановый период 2022 и 2023 годов</t>
  </si>
  <si>
    <t>Наименование публичного нормативного обязательства</t>
  </si>
  <si>
    <t>Код строки</t>
  </si>
  <si>
    <t>Реквизиты нормативного правового акта</t>
  </si>
  <si>
    <t>Наименование</t>
  </si>
  <si>
    <t>Код расходов                       по БК</t>
  </si>
  <si>
    <t>Вид</t>
  </si>
  <si>
    <t>Дата</t>
  </si>
  <si>
    <t>Номер</t>
  </si>
  <si>
    <t>РП</t>
  </si>
  <si>
    <t>ЦСР</t>
  </si>
  <si>
    <t>1.Публичные нормативные обязательства, исполняемые за счет средств областного бюджета</t>
  </si>
  <si>
    <t>Финансовое обеспечение компенсации расходов на оплату жилых помещений, отопления и освещения педагогическим работникам образовательных учреждений Удомельского района, проживающим и работающим в сельских населенных пунктах</t>
  </si>
  <si>
    <t>Закон Тверской области</t>
  </si>
  <si>
    <t>82-ЗО</t>
  </si>
  <si>
    <t>"О компенсации расходов на оплату жилых помещений, отопления и освещения педагогическим работникам, проживающим и работающим в сельских населенных пунктах, рабочих поселках (поселках городского типа)"</t>
  </si>
  <si>
    <t>10 03</t>
  </si>
  <si>
    <t>2.Публичные нормативные обязательства, исполняемые за счет средств  бюджета Удомельского городского округа</t>
  </si>
  <si>
    <t>Решение  Удомельской городской Думы</t>
  </si>
  <si>
    <t>"Об утверждении Положения о муниципальной службе муниципального образования Удомельский городской округ"</t>
  </si>
  <si>
    <t>10 01</t>
  </si>
  <si>
    <t>от  22.12.2020  №514</t>
  </si>
  <si>
    <t>Думы от  21.10.2021  № 6</t>
  </si>
  <si>
    <t>Думы от 21.10.2021   № 6</t>
  </si>
  <si>
    <t>Думы от 21.10.2021 № 6</t>
  </si>
  <si>
    <t>Думы от  21.10.2021 №6</t>
  </si>
  <si>
    <t>Думы от 21.10.2021  № 6</t>
  </si>
  <si>
    <t>21.10.2021 №6</t>
  </si>
</sst>
</file>

<file path=xl/styles.xml><?xml version="1.0" encoding="utf-8"?>
<styleSheet xmlns="http://schemas.openxmlformats.org/spreadsheetml/2006/main">
  <numFmts count="4">
    <numFmt numFmtId="164" formatCode="_-* #,##0.00_р_._-;\-* #,##0.00_р_._-;_-* &quot;-&quot;??_р_._-;_-@_-"/>
    <numFmt numFmtId="165" formatCode="0.0"/>
    <numFmt numFmtId="166" formatCode="0000000000"/>
    <numFmt numFmtId="167" formatCode="#,##0.0"/>
  </numFmts>
  <fonts count="45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b/>
      <sz val="10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b/>
      <sz val="14"/>
      <name val="Arial Cyr"/>
      <charset val="204"/>
    </font>
    <font>
      <sz val="14"/>
      <name val="Arial Cyr"/>
      <charset val="204"/>
    </font>
    <font>
      <sz val="11"/>
      <name val="Arial Cyr"/>
      <charset val="204"/>
    </font>
    <font>
      <b/>
      <sz val="11"/>
      <name val="Arial Cyr"/>
      <charset val="204"/>
    </font>
    <font>
      <sz val="11"/>
      <name val="Bookman Old Style"/>
      <family val="1"/>
      <charset val="204"/>
    </font>
    <font>
      <sz val="10"/>
      <name val="Arial"/>
      <family val="2"/>
      <charset val="204"/>
    </font>
    <font>
      <b/>
      <sz val="9"/>
      <name val="Arial Cyr"/>
      <charset val="204"/>
    </font>
    <font>
      <sz val="9"/>
      <name val="Arial Cyr"/>
      <charset val="204"/>
    </font>
    <font>
      <i/>
      <sz val="10"/>
      <name val="Arial Cyr"/>
      <charset val="204"/>
    </font>
    <font>
      <i/>
      <sz val="9"/>
      <name val="Arial Cyr"/>
      <charset val="204"/>
    </font>
    <font>
      <i/>
      <sz val="11"/>
      <name val="Arial"/>
      <family val="2"/>
      <charset val="204"/>
    </font>
    <font>
      <i/>
      <sz val="11"/>
      <name val="Bookman Old Style"/>
      <family val="1"/>
      <charset val="204"/>
    </font>
    <font>
      <i/>
      <sz val="11"/>
      <name val="Arial Cyr"/>
      <charset val="204"/>
    </font>
    <font>
      <b/>
      <i/>
      <sz val="11"/>
      <name val="Arial Cyr"/>
      <charset val="204"/>
    </font>
    <font>
      <b/>
      <i/>
      <sz val="10"/>
      <name val="Arial Cyr"/>
      <charset val="204"/>
    </font>
    <font>
      <b/>
      <i/>
      <sz val="11"/>
      <name val="Bookman Old Style"/>
      <family val="1"/>
      <charset val="204"/>
    </font>
    <font>
      <i/>
      <sz val="10"/>
      <name val="Arial"/>
      <family val="2"/>
      <charset val="204"/>
    </font>
    <font>
      <b/>
      <i/>
      <sz val="11"/>
      <name val="Arial"/>
      <family val="2"/>
      <charset val="204"/>
    </font>
    <font>
      <b/>
      <sz val="13"/>
      <name val="Arial Cyr"/>
      <charset val="204"/>
    </font>
    <font>
      <sz val="10"/>
      <color indexed="8"/>
      <name val="Arial"/>
      <family val="2"/>
      <charset val="204"/>
    </font>
    <font>
      <b/>
      <sz val="18"/>
      <color indexed="56"/>
      <name val="Cambria"/>
      <family val="2"/>
      <charset val="204"/>
    </font>
    <font>
      <i/>
      <sz val="10"/>
      <color indexed="8"/>
      <name val="Arial"/>
      <family val="2"/>
      <charset val="204"/>
    </font>
    <font>
      <b/>
      <i/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sz val="11"/>
      <name val="Arial"/>
      <family val="2"/>
      <charset val="204"/>
    </font>
    <font>
      <i/>
      <sz val="9"/>
      <name val="Arial"/>
      <family val="2"/>
      <charset val="204"/>
    </font>
    <font>
      <sz val="9"/>
      <name val="Bookman Old Style"/>
      <family val="1"/>
      <charset val="204"/>
    </font>
    <font>
      <sz val="10"/>
      <color indexed="8"/>
      <name val="Arial"/>
      <family val="2"/>
    </font>
    <font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64"/>
      <name val="Arial"/>
      <family val="2"/>
      <charset val="204"/>
    </font>
    <font>
      <i/>
      <sz val="12"/>
      <name val="Arial Cyr"/>
      <charset val="204"/>
    </font>
    <font>
      <i/>
      <sz val="10"/>
      <color indexed="64"/>
      <name val="Arial"/>
      <family val="2"/>
      <charset val="204"/>
    </font>
    <font>
      <b/>
      <i/>
      <sz val="9"/>
      <name val="Arial Cyr"/>
      <charset val="204"/>
    </font>
    <font>
      <sz val="9"/>
      <name val="Arial"/>
      <family val="2"/>
      <charset val="204"/>
    </font>
    <font>
      <sz val="10"/>
      <color rgb="FF000000"/>
      <name val="Arial"/>
      <family val="2"/>
      <charset val="204"/>
    </font>
    <font>
      <i/>
      <sz val="10"/>
      <color rgb="FF000000"/>
      <name val="Arial"/>
      <family val="2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4" fillId="0" borderId="0"/>
    <xf numFmtId="0" fontId="26" fillId="0" borderId="0" applyNumberFormat="0" applyFill="0" applyBorder="0" applyAlignment="0" applyProtection="0"/>
    <xf numFmtId="0" fontId="34" fillId="0" borderId="0"/>
  </cellStyleXfs>
  <cellXfs count="251">
    <xf numFmtId="0" fontId="0" fillId="0" borderId="0" xfId="0"/>
    <xf numFmtId="0" fontId="0" fillId="0" borderId="1" xfId="0" applyBorder="1"/>
    <xf numFmtId="0" fontId="2" fillId="0" borderId="1" xfId="0" applyFont="1" applyBorder="1" applyAlignment="1">
      <alignment horizontal="center"/>
    </xf>
    <xf numFmtId="0" fontId="4" fillId="0" borderId="1" xfId="0" applyFont="1" applyBorder="1"/>
    <xf numFmtId="49" fontId="4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right"/>
    </xf>
    <xf numFmtId="0" fontId="5" fillId="0" borderId="0" xfId="0" applyFont="1"/>
    <xf numFmtId="0" fontId="6" fillId="0" borderId="1" xfId="0" applyFont="1" applyBorder="1"/>
    <xf numFmtId="0" fontId="4" fillId="0" borderId="1" xfId="0" applyFont="1" applyBorder="1" applyAlignment="1">
      <alignment wrapText="1"/>
    </xf>
    <xf numFmtId="49" fontId="5" fillId="0" borderId="1" xfId="0" applyNumberFormat="1" applyFont="1" applyBorder="1" applyAlignment="1">
      <alignment horizontal="center"/>
    </xf>
    <xf numFmtId="0" fontId="7" fillId="0" borderId="1" xfId="0" applyFont="1" applyBorder="1"/>
    <xf numFmtId="0" fontId="5" fillId="0" borderId="1" xfId="0" applyFont="1" applyBorder="1"/>
    <xf numFmtId="0" fontId="6" fillId="0" borderId="1" xfId="0" applyFont="1" applyBorder="1" applyAlignment="1">
      <alignment wrapText="1"/>
    </xf>
    <xf numFmtId="0" fontId="9" fillId="0" borderId="1" xfId="0" applyFont="1" applyBorder="1"/>
    <xf numFmtId="49" fontId="1" fillId="0" borderId="1" xfId="0" applyNumberFormat="1" applyFont="1" applyBorder="1" applyAlignment="1">
      <alignment horizontal="center"/>
    </xf>
    <xf numFmtId="49" fontId="8" fillId="0" borderId="1" xfId="0" applyNumberFormat="1" applyFont="1" applyBorder="1" applyAlignment="1">
      <alignment horizontal="center"/>
    </xf>
    <xf numFmtId="0" fontId="10" fillId="0" borderId="1" xfId="0" applyFont="1" applyBorder="1"/>
    <xf numFmtId="0" fontId="8" fillId="0" borderId="0" xfId="0" applyFont="1"/>
    <xf numFmtId="0" fontId="10" fillId="0" borderId="0" xfId="0" applyFont="1"/>
    <xf numFmtId="49" fontId="1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4" fillId="0" borderId="1" xfId="0" applyFont="1" applyBorder="1"/>
    <xf numFmtId="0" fontId="15" fillId="0" borderId="1" xfId="0" applyFont="1" applyBorder="1"/>
    <xf numFmtId="0" fontId="13" fillId="0" borderId="1" xfId="0" applyFont="1" applyBorder="1"/>
    <xf numFmtId="0" fontId="14" fillId="0" borderId="0" xfId="0" applyFont="1"/>
    <xf numFmtId="0" fontId="16" fillId="0" borderId="1" xfId="0" applyFont="1" applyBorder="1"/>
    <xf numFmtId="49" fontId="17" fillId="0" borderId="1" xfId="0" applyNumberFormat="1" applyFont="1" applyBorder="1" applyAlignment="1">
      <alignment horizontal="center"/>
    </xf>
    <xf numFmtId="0" fontId="18" fillId="0" borderId="1" xfId="0" applyFont="1" applyBorder="1"/>
    <xf numFmtId="49" fontId="18" fillId="0" borderId="1" xfId="0" applyNumberFormat="1" applyFont="1" applyBorder="1" applyAlignment="1">
      <alignment horizontal="center"/>
    </xf>
    <xf numFmtId="49" fontId="19" fillId="0" borderId="1" xfId="0" applyNumberFormat="1" applyFont="1" applyBorder="1" applyAlignment="1">
      <alignment horizontal="center"/>
    </xf>
    <xf numFmtId="0" fontId="18" fillId="0" borderId="0" xfId="0" applyFont="1"/>
    <xf numFmtId="49" fontId="20" fillId="0" borderId="1" xfId="0" applyNumberFormat="1" applyFont="1" applyBorder="1" applyAlignment="1">
      <alignment horizontal="center"/>
    </xf>
    <xf numFmtId="49" fontId="21" fillId="0" borderId="1" xfId="0" applyNumberFormat="1" applyFont="1" applyBorder="1" applyAlignment="1">
      <alignment horizontal="center"/>
    </xf>
    <xf numFmtId="49" fontId="16" fillId="0" borderId="1" xfId="0" applyNumberFormat="1" applyFont="1" applyBorder="1" applyAlignment="1">
      <alignment horizontal="center"/>
    </xf>
    <xf numFmtId="0" fontId="22" fillId="0" borderId="0" xfId="0" applyFont="1"/>
    <xf numFmtId="0" fontId="16" fillId="0" borderId="0" xfId="0" applyFont="1"/>
    <xf numFmtId="49" fontId="23" fillId="0" borderId="1" xfId="0" applyNumberFormat="1" applyFont="1" applyBorder="1" applyAlignment="1">
      <alignment horizontal="center"/>
    </xf>
    <xf numFmtId="165" fontId="0" fillId="0" borderId="1" xfId="0" applyNumberFormat="1" applyBorder="1"/>
    <xf numFmtId="165" fontId="18" fillId="0" borderId="1" xfId="0" applyNumberFormat="1" applyFont="1" applyBorder="1"/>
    <xf numFmtId="165" fontId="1" fillId="0" borderId="1" xfId="0" applyNumberFormat="1" applyFont="1" applyBorder="1"/>
    <xf numFmtId="165" fontId="16" fillId="0" borderId="1" xfId="0" applyNumberFormat="1" applyFont="1" applyBorder="1"/>
    <xf numFmtId="165" fontId="17" fillId="0" borderId="1" xfId="0" applyNumberFormat="1" applyFont="1" applyBorder="1"/>
    <xf numFmtId="0" fontId="1" fillId="0" borderId="0" xfId="0" applyFont="1" applyAlignment="1">
      <alignment horizontal="right"/>
    </xf>
    <xf numFmtId="0" fontId="22" fillId="0" borderId="1" xfId="0" applyFont="1" applyBorder="1"/>
    <xf numFmtId="0" fontId="22" fillId="0" borderId="1" xfId="0" applyFont="1" applyBorder="1" applyAlignment="1">
      <alignment wrapText="1"/>
    </xf>
    <xf numFmtId="49" fontId="14" fillId="0" borderId="1" xfId="0" applyNumberFormat="1" applyFont="1" applyBorder="1" applyAlignment="1">
      <alignment horizontal="center"/>
    </xf>
    <xf numFmtId="0" fontId="14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16" fillId="0" borderId="1" xfId="0" applyFont="1" applyBorder="1" applyAlignment="1">
      <alignment wrapText="1"/>
    </xf>
    <xf numFmtId="0" fontId="11" fillId="0" borderId="1" xfId="0" applyFont="1" applyBorder="1"/>
    <xf numFmtId="49" fontId="22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wrapText="1"/>
    </xf>
    <xf numFmtId="0" fontId="25" fillId="0" borderId="0" xfId="0" applyFont="1" applyFill="1" applyBorder="1" applyAlignment="1">
      <alignment horizontal="left" vertical="center" wrapText="1"/>
    </xf>
    <xf numFmtId="0" fontId="25" fillId="0" borderId="3" xfId="0" applyFont="1" applyFill="1" applyBorder="1" applyAlignment="1">
      <alignment horizontal="left" vertical="center" wrapText="1"/>
    </xf>
    <xf numFmtId="49" fontId="1" fillId="0" borderId="2" xfId="0" applyNumberFormat="1" applyFont="1" applyBorder="1" applyAlignment="1">
      <alignment horizontal="center"/>
    </xf>
    <xf numFmtId="49" fontId="11" fillId="0" borderId="2" xfId="0" applyNumberFormat="1" applyFont="1" applyBorder="1" applyAlignment="1">
      <alignment horizontal="center"/>
    </xf>
    <xf numFmtId="165" fontId="22" fillId="0" borderId="1" xfId="0" applyNumberFormat="1" applyFont="1" applyBorder="1"/>
    <xf numFmtId="165" fontId="9" fillId="0" borderId="1" xfId="0" applyNumberFormat="1" applyFont="1" applyBorder="1"/>
    <xf numFmtId="0" fontId="27" fillId="0" borderId="1" xfId="0" applyFont="1" applyFill="1" applyBorder="1" applyAlignment="1">
      <alignment horizontal="left" vertical="center" wrapText="1"/>
    </xf>
    <xf numFmtId="165" fontId="20" fillId="0" borderId="1" xfId="0" applyNumberFormat="1" applyFont="1" applyBorder="1"/>
    <xf numFmtId="165" fontId="29" fillId="0" borderId="1" xfId="0" applyNumberFormat="1" applyFont="1" applyBorder="1"/>
    <xf numFmtId="0" fontId="30" fillId="0" borderId="1" xfId="0" applyFont="1" applyFill="1" applyBorder="1" applyAlignment="1">
      <alignment horizontal="left" vertical="center" wrapText="1"/>
    </xf>
    <xf numFmtId="0" fontId="29" fillId="0" borderId="1" xfId="0" applyFont="1" applyBorder="1" applyAlignment="1">
      <alignment wrapText="1"/>
    </xf>
    <xf numFmtId="165" fontId="31" fillId="0" borderId="1" xfId="0" applyNumberFormat="1" applyFont="1" applyBorder="1"/>
    <xf numFmtId="0" fontId="27" fillId="0" borderId="0" xfId="0" applyFont="1" applyFill="1" applyBorder="1" applyAlignment="1">
      <alignment horizontal="left" vertical="center" wrapText="1"/>
    </xf>
    <xf numFmtId="0" fontId="8" fillId="0" borderId="1" xfId="0" applyFont="1" applyBorder="1"/>
    <xf numFmtId="0" fontId="13" fillId="0" borderId="0" xfId="0" applyFont="1"/>
    <xf numFmtId="0" fontId="13" fillId="0" borderId="1" xfId="0" applyFont="1" applyBorder="1" applyAlignment="1">
      <alignment horizontal="center"/>
    </xf>
    <xf numFmtId="0" fontId="32" fillId="0" borderId="1" xfId="0" applyFont="1" applyBorder="1"/>
    <xf numFmtId="0" fontId="33" fillId="0" borderId="1" xfId="0" applyFont="1" applyBorder="1"/>
    <xf numFmtId="49" fontId="11" fillId="0" borderId="4" xfId="0" applyNumberFormat="1" applyFont="1" applyBorder="1" applyAlignment="1">
      <alignment horizontal="center"/>
    </xf>
    <xf numFmtId="49" fontId="29" fillId="0" borderId="1" xfId="0" applyNumberFormat="1" applyFont="1" applyBorder="1" applyAlignment="1">
      <alignment horizontal="center"/>
    </xf>
    <xf numFmtId="166" fontId="11" fillId="0" borderId="1" xfId="1" applyNumberFormat="1" applyFont="1" applyBorder="1" applyAlignment="1">
      <alignment horizontal="center"/>
    </xf>
    <xf numFmtId="166" fontId="22" fillId="0" borderId="1" xfId="1" applyNumberFormat="1" applyFont="1" applyBorder="1" applyAlignment="1">
      <alignment horizontal="center"/>
    </xf>
    <xf numFmtId="166" fontId="29" fillId="0" borderId="1" xfId="1" applyNumberFormat="1" applyFont="1" applyBorder="1" applyAlignment="1">
      <alignment horizontal="center"/>
    </xf>
    <xf numFmtId="49" fontId="35" fillId="0" borderId="1" xfId="0" applyNumberFormat="1" applyFont="1" applyBorder="1" applyAlignment="1">
      <alignment horizontal="center"/>
    </xf>
    <xf numFmtId="49" fontId="36" fillId="0" borderId="1" xfId="0" applyNumberFormat="1" applyFont="1" applyBorder="1" applyAlignment="1">
      <alignment horizontal="center"/>
    </xf>
    <xf numFmtId="166" fontId="11" fillId="0" borderId="1" xfId="1" applyNumberFormat="1" applyFont="1" applyFill="1" applyBorder="1" applyAlignment="1">
      <alignment horizontal="center"/>
    </xf>
    <xf numFmtId="166" fontId="25" fillId="0" borderId="1" xfId="3" applyNumberFormat="1" applyFont="1" applyBorder="1" applyAlignment="1">
      <alignment horizontal="center"/>
    </xf>
    <xf numFmtId="164" fontId="11" fillId="0" borderId="1" xfId="1" applyNumberFormat="1" applyFont="1" applyBorder="1" applyAlignment="1">
      <alignment horizontal="center"/>
    </xf>
    <xf numFmtId="166" fontId="37" fillId="0" borderId="1" xfId="1" applyNumberFormat="1" applyFont="1" applyBorder="1" applyAlignment="1">
      <alignment horizontal="center"/>
    </xf>
    <xf numFmtId="49" fontId="28" fillId="0" borderId="1" xfId="0" applyNumberFormat="1" applyFont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49" fontId="0" fillId="0" borderId="1" xfId="0" applyNumberFormat="1" applyFont="1" applyBorder="1" applyAlignment="1">
      <alignment horizontal="center"/>
    </xf>
    <xf numFmtId="165" fontId="38" fillId="0" borderId="1" xfId="0" applyNumberFormat="1" applyFont="1" applyBorder="1"/>
    <xf numFmtId="166" fontId="30" fillId="0" borderId="1" xfId="3" applyNumberFormat="1" applyFont="1" applyBorder="1" applyAlignment="1">
      <alignment horizontal="center"/>
    </xf>
    <xf numFmtId="0" fontId="30" fillId="0" borderId="3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 indent="16"/>
    </xf>
    <xf numFmtId="0" fontId="0" fillId="0" borderId="0" xfId="0" applyAlignment="1">
      <alignment horizontal="left" indent="16"/>
    </xf>
    <xf numFmtId="0" fontId="2" fillId="0" borderId="0" xfId="0" applyFont="1" applyAlignment="1">
      <alignment horizontal="left" indent="22"/>
    </xf>
    <xf numFmtId="0" fontId="2" fillId="0" borderId="0" xfId="0" applyFont="1" applyAlignment="1">
      <alignment horizontal="left" indent="19"/>
    </xf>
    <xf numFmtId="0" fontId="0" fillId="0" borderId="0" xfId="0" applyAlignment="1">
      <alignment horizontal="left" indent="19"/>
    </xf>
    <xf numFmtId="49" fontId="0" fillId="0" borderId="2" xfId="0" applyNumberFormat="1" applyFont="1" applyBorder="1" applyAlignment="1">
      <alignment horizontal="center"/>
    </xf>
    <xf numFmtId="0" fontId="0" fillId="0" borderId="0" xfId="0"/>
    <xf numFmtId="0" fontId="12" fillId="0" borderId="1" xfId="0" applyFont="1" applyBorder="1"/>
    <xf numFmtId="165" fontId="4" fillId="0" borderId="1" xfId="0" applyNumberFormat="1" applyFont="1" applyBorder="1"/>
    <xf numFmtId="165" fontId="14" fillId="0" borderId="1" xfId="0" applyNumberFormat="1" applyFont="1" applyBorder="1"/>
    <xf numFmtId="165" fontId="11" fillId="0" borderId="1" xfId="0" applyNumberFormat="1" applyFont="1" applyBorder="1"/>
    <xf numFmtId="165" fontId="24" fillId="0" borderId="1" xfId="0" applyNumberFormat="1" applyFont="1" applyBorder="1"/>
    <xf numFmtId="165" fontId="3" fillId="0" borderId="1" xfId="0" applyNumberFormat="1" applyFont="1" applyBorder="1"/>
    <xf numFmtId="0" fontId="11" fillId="0" borderId="1" xfId="0" applyFont="1" applyBorder="1" applyAlignment="1">
      <alignment wrapText="1"/>
    </xf>
    <xf numFmtId="0" fontId="25" fillId="0" borderId="1" xfId="0" applyFont="1" applyFill="1" applyBorder="1" applyAlignment="1">
      <alignment horizontal="left" vertical="center" wrapText="1"/>
    </xf>
    <xf numFmtId="165" fontId="0" fillId="0" borderId="1" xfId="0" applyNumberFormat="1" applyFont="1" applyBorder="1"/>
    <xf numFmtId="0" fontId="0" fillId="0" borderId="1" xfId="0" applyFont="1" applyBorder="1" applyAlignment="1">
      <alignment wrapText="1"/>
    </xf>
    <xf numFmtId="49" fontId="0" fillId="0" borderId="1" xfId="0" applyNumberFormat="1" applyFont="1" applyBorder="1" applyAlignment="1">
      <alignment horizontal="left" wrapText="1"/>
    </xf>
    <xf numFmtId="0" fontId="25" fillId="0" borderId="9" xfId="0" applyFont="1" applyFill="1" applyBorder="1" applyAlignment="1">
      <alignment horizontal="left" vertical="center" wrapText="1"/>
    </xf>
    <xf numFmtId="0" fontId="25" fillId="0" borderId="10" xfId="0" applyFont="1" applyFill="1" applyBorder="1" applyAlignment="1">
      <alignment horizontal="left" vertical="center" wrapText="1"/>
    </xf>
    <xf numFmtId="165" fontId="0" fillId="0" borderId="0" xfId="0" applyNumberFormat="1"/>
    <xf numFmtId="0" fontId="25" fillId="0" borderId="8" xfId="0" applyFont="1" applyFill="1" applyBorder="1" applyAlignment="1">
      <alignment horizontal="left" vertical="center" wrapText="1"/>
    </xf>
    <xf numFmtId="0" fontId="0" fillId="0" borderId="0" xfId="0" applyFont="1"/>
    <xf numFmtId="0" fontId="0" fillId="0" borderId="1" xfId="0" applyFont="1" applyFill="1" applyBorder="1" applyAlignment="1">
      <alignment wrapText="1"/>
    </xf>
    <xf numFmtId="165" fontId="1" fillId="0" borderId="1" xfId="0" applyNumberFormat="1" applyFont="1" applyFill="1" applyBorder="1"/>
    <xf numFmtId="165" fontId="0" fillId="0" borderId="1" xfId="0" applyNumberFormat="1" applyFill="1" applyBorder="1"/>
    <xf numFmtId="49" fontId="0" fillId="0" borderId="1" xfId="0" applyNumberFormat="1" applyFont="1" applyFill="1" applyBorder="1" applyAlignment="1">
      <alignment horizontal="center"/>
    </xf>
    <xf numFmtId="0" fontId="11" fillId="0" borderId="8" xfId="0" applyFont="1" applyBorder="1" applyAlignment="1">
      <alignment wrapText="1"/>
    </xf>
    <xf numFmtId="166" fontId="25" fillId="0" borderId="4" xfId="3" applyNumberFormat="1" applyFont="1" applyBorder="1" applyAlignment="1">
      <alignment horizontal="center"/>
    </xf>
    <xf numFmtId="49" fontId="1" fillId="0" borderId="4" xfId="0" applyNumberFormat="1" applyFont="1" applyBorder="1" applyAlignment="1">
      <alignment horizontal="center"/>
    </xf>
    <xf numFmtId="165" fontId="1" fillId="0" borderId="4" xfId="0" applyNumberFormat="1" applyFont="1" applyBorder="1"/>
    <xf numFmtId="0" fontId="11" fillId="0" borderId="1" xfId="0" applyFont="1" applyFill="1" applyBorder="1" applyAlignment="1">
      <alignment wrapText="1"/>
    </xf>
    <xf numFmtId="166" fontId="39" fillId="0" borderId="1" xfId="1" applyNumberFormat="1" applyFont="1" applyBorder="1" applyAlignment="1">
      <alignment horizontal="center"/>
    </xf>
    <xf numFmtId="49" fontId="29" fillId="0" borderId="1" xfId="0" applyNumberFormat="1" applyFont="1" applyFill="1" applyBorder="1" applyAlignment="1">
      <alignment horizontal="center"/>
    </xf>
    <xf numFmtId="49" fontId="18" fillId="0" borderId="1" xfId="0" applyNumberFormat="1" applyFont="1" applyFill="1" applyBorder="1" applyAlignment="1">
      <alignment horizontal="center"/>
    </xf>
    <xf numFmtId="0" fontId="29" fillId="0" borderId="1" xfId="0" applyFont="1" applyFill="1" applyBorder="1" applyAlignment="1">
      <alignment wrapText="1"/>
    </xf>
    <xf numFmtId="165" fontId="3" fillId="0" borderId="1" xfId="0" applyNumberFormat="1" applyFont="1" applyFill="1" applyBorder="1"/>
    <xf numFmtId="49" fontId="22" fillId="0" borderId="1" xfId="0" applyNumberFormat="1" applyFont="1" applyFill="1" applyBorder="1" applyAlignment="1">
      <alignment horizontal="center"/>
    </xf>
    <xf numFmtId="0" fontId="22" fillId="0" borderId="1" xfId="0" applyFont="1" applyFill="1" applyBorder="1" applyAlignment="1">
      <alignment wrapText="1"/>
    </xf>
    <xf numFmtId="165" fontId="14" fillId="0" borderId="1" xfId="0" applyNumberFormat="1" applyFont="1" applyFill="1" applyBorder="1"/>
    <xf numFmtId="49" fontId="1" fillId="0" borderId="1" xfId="0" applyNumberFormat="1" applyFont="1" applyFill="1" applyBorder="1" applyAlignment="1">
      <alignment horizontal="center"/>
    </xf>
    <xf numFmtId="49" fontId="11" fillId="0" borderId="1" xfId="0" applyNumberFormat="1" applyFont="1" applyFill="1" applyBorder="1" applyAlignment="1">
      <alignment horizontal="center"/>
    </xf>
    <xf numFmtId="0" fontId="11" fillId="0" borderId="0" xfId="0" applyFont="1" applyAlignment="1">
      <alignment wrapText="1"/>
    </xf>
    <xf numFmtId="49" fontId="11" fillId="0" borderId="2" xfId="0" applyNumberFormat="1" applyFont="1" applyFill="1" applyBorder="1" applyAlignment="1">
      <alignment horizontal="center"/>
    </xf>
    <xf numFmtId="0" fontId="5" fillId="0" borderId="0" xfId="0" applyFont="1" applyAlignment="1">
      <alignment horizontal="center" wrapText="1"/>
    </xf>
    <xf numFmtId="0" fontId="0" fillId="0" borderId="1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0" xfId="0" applyAlignment="1">
      <alignment horizontal="center" wrapText="1"/>
    </xf>
    <xf numFmtId="0" fontId="0" fillId="0" borderId="0" xfId="0" applyAlignment="1"/>
    <xf numFmtId="0" fontId="0" fillId="0" borderId="0" xfId="0" applyAlignment="1">
      <alignment horizontal="left" indent="14"/>
    </xf>
    <xf numFmtId="0" fontId="2" fillId="0" borderId="0" xfId="0" applyFont="1" applyAlignment="1">
      <alignment horizontal="center"/>
    </xf>
    <xf numFmtId="49" fontId="12" fillId="0" borderId="1" xfId="0" applyNumberFormat="1" applyFont="1" applyBorder="1" applyAlignment="1">
      <alignment horizontal="center"/>
    </xf>
    <xf numFmtId="0" fontId="40" fillId="0" borderId="1" xfId="0" applyFont="1" applyBorder="1" applyAlignment="1">
      <alignment wrapText="1"/>
    </xf>
    <xf numFmtId="167" fontId="1" fillId="0" borderId="1" xfId="0" applyNumberFormat="1" applyFont="1" applyBorder="1"/>
    <xf numFmtId="0" fontId="1" fillId="0" borderId="0" xfId="0" applyFont="1"/>
    <xf numFmtId="49" fontId="15" fillId="0" borderId="1" xfId="0" applyNumberFormat="1" applyFont="1" applyBorder="1" applyAlignment="1">
      <alignment horizontal="center"/>
    </xf>
    <xf numFmtId="0" fontId="15" fillId="0" borderId="1" xfId="0" applyFont="1" applyBorder="1" applyAlignment="1">
      <alignment wrapText="1"/>
    </xf>
    <xf numFmtId="49" fontId="13" fillId="0" borderId="1" xfId="0" applyNumberFormat="1" applyFont="1" applyBorder="1" applyAlignment="1">
      <alignment horizontal="center"/>
    </xf>
    <xf numFmtId="0" fontId="41" fillId="0" borderId="0" xfId="0" applyFont="1" applyAlignment="1">
      <alignment wrapText="1"/>
    </xf>
    <xf numFmtId="167" fontId="3" fillId="0" borderId="1" xfId="0" applyNumberFormat="1" applyFont="1" applyBorder="1"/>
    <xf numFmtId="0" fontId="12" fillId="0" borderId="1" xfId="0" applyFont="1" applyBorder="1" applyAlignment="1">
      <alignment wrapText="1"/>
    </xf>
    <xf numFmtId="167" fontId="14" fillId="0" borderId="1" xfId="0" applyNumberFormat="1" applyFont="1" applyBorder="1"/>
    <xf numFmtId="0" fontId="13" fillId="0" borderId="2" xfId="0" applyFont="1" applyBorder="1"/>
    <xf numFmtId="0" fontId="41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30" fillId="0" borderId="10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 indent="14"/>
    </xf>
    <xf numFmtId="0" fontId="0" fillId="0" borderId="1" xfId="0" applyBorder="1" applyAlignment="1">
      <alignment wrapText="1"/>
    </xf>
    <xf numFmtId="0" fontId="42" fillId="0" borderId="0" xfId="0" applyFont="1" applyAlignment="1">
      <alignment vertical="justify" wrapText="1"/>
    </xf>
    <xf numFmtId="0" fontId="0" fillId="0" borderId="1" xfId="0" applyBorder="1"/>
    <xf numFmtId="0" fontId="0" fillId="0" borderId="0" xfId="0" applyFill="1" applyBorder="1"/>
    <xf numFmtId="0" fontId="0" fillId="0" borderId="1" xfId="0" applyBorder="1" applyAlignment="1">
      <alignment wrapText="1"/>
    </xf>
    <xf numFmtId="165" fontId="4" fillId="0" borderId="1" xfId="0" applyNumberFormat="1" applyFont="1" applyBorder="1" applyAlignment="1">
      <alignment horizontal="center"/>
    </xf>
    <xf numFmtId="0" fontId="0" fillId="0" borderId="1" xfId="0" applyBorder="1" applyAlignment="1">
      <alignment wrapText="1"/>
    </xf>
    <xf numFmtId="0" fontId="0" fillId="0" borderId="1" xfId="0" applyBorder="1" applyAlignment="1">
      <alignment wrapText="1"/>
    </xf>
    <xf numFmtId="0" fontId="11" fillId="0" borderId="0" xfId="0" applyFont="1" applyAlignment="1">
      <alignment horizontal="center"/>
    </xf>
    <xf numFmtId="0" fontId="42" fillId="0" borderId="0" xfId="0" applyFont="1" applyAlignment="1">
      <alignment wrapText="1"/>
    </xf>
    <xf numFmtId="0" fontId="11" fillId="0" borderId="1" xfId="0" applyFont="1" applyBorder="1" applyAlignment="1">
      <alignment horizontal="center"/>
    </xf>
    <xf numFmtId="0" fontId="11" fillId="0" borderId="0" xfId="0" applyFont="1" applyAlignment="1">
      <alignment horizontal="justify" vertical="center"/>
    </xf>
    <xf numFmtId="0" fontId="11" fillId="0" borderId="0" xfId="0" applyFont="1"/>
    <xf numFmtId="0" fontId="2" fillId="0" borderId="0" xfId="0" applyFont="1" applyAlignment="1">
      <alignment horizontal="left" indent="14"/>
    </xf>
    <xf numFmtId="0" fontId="2" fillId="0" borderId="0" xfId="0" applyFont="1" applyAlignment="1">
      <alignment horizontal="left" indent="18"/>
    </xf>
    <xf numFmtId="0" fontId="0" fillId="0" borderId="1" xfId="0" applyFont="1" applyBorder="1" applyAlignment="1">
      <alignment horizontal="left" vertical="top" wrapText="1"/>
    </xf>
    <xf numFmtId="0" fontId="0" fillId="0" borderId="8" xfId="0" applyBorder="1" applyAlignment="1">
      <alignment wrapText="1"/>
    </xf>
    <xf numFmtId="0" fontId="43" fillId="0" borderId="0" xfId="0" applyFont="1" applyAlignment="1">
      <alignment wrapText="1"/>
    </xf>
    <xf numFmtId="165" fontId="11" fillId="0" borderId="0" xfId="0" applyNumberFormat="1" applyFont="1" applyBorder="1"/>
    <xf numFmtId="0" fontId="0" fillId="0" borderId="1" xfId="0" applyBorder="1" applyAlignment="1">
      <alignment wrapText="1"/>
    </xf>
    <xf numFmtId="0" fontId="2" fillId="0" borderId="0" xfId="0" applyFont="1" applyAlignment="1">
      <alignment horizontal="left" indent="14"/>
    </xf>
    <xf numFmtId="0" fontId="2" fillId="0" borderId="0" xfId="0" applyFont="1" applyAlignment="1">
      <alignment horizontal="left" indent="14"/>
    </xf>
    <xf numFmtId="0" fontId="11" fillId="0" borderId="1" xfId="0" applyFont="1" applyFill="1" applyBorder="1"/>
    <xf numFmtId="0" fontId="25" fillId="0" borderId="1" xfId="0" applyFont="1" applyFill="1" applyBorder="1" applyAlignment="1">
      <alignment horizontal="left" wrapText="1"/>
    </xf>
    <xf numFmtId="49" fontId="0" fillId="0" borderId="4" xfId="0" applyNumberFormat="1" applyFont="1" applyBorder="1" applyAlignment="1">
      <alignment horizontal="center"/>
    </xf>
    <xf numFmtId="166" fontId="11" fillId="0" borderId="4" xfId="1" applyNumberFormat="1" applyFont="1" applyBorder="1" applyAlignment="1">
      <alignment horizontal="center"/>
    </xf>
    <xf numFmtId="165" fontId="0" fillId="0" borderId="4" xfId="0" applyNumberFormat="1" applyBorder="1"/>
    <xf numFmtId="0" fontId="25" fillId="0" borderId="0" xfId="0" applyFont="1" applyAlignment="1">
      <alignment horizontal="left" vertical="center" wrapText="1"/>
    </xf>
    <xf numFmtId="0" fontId="25" fillId="0" borderId="1" xfId="0" applyFont="1" applyBorder="1" applyAlignment="1">
      <alignment horizontal="left" vertical="center" wrapText="1"/>
    </xf>
    <xf numFmtId="49" fontId="14" fillId="0" borderId="4" xfId="0" applyNumberFormat="1" applyFont="1" applyBorder="1" applyAlignment="1">
      <alignment horizontal="center"/>
    </xf>
    <xf numFmtId="49" fontId="22" fillId="0" borderId="4" xfId="0" applyNumberFormat="1" applyFont="1" applyBorder="1" applyAlignment="1">
      <alignment horizontal="center"/>
    </xf>
    <xf numFmtId="165" fontId="22" fillId="0" borderId="4" xfId="0" applyNumberFormat="1" applyFont="1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wrapText="1"/>
    </xf>
    <xf numFmtId="0" fontId="27" fillId="0" borderId="1" xfId="0" applyFont="1" applyBorder="1" applyAlignment="1">
      <alignment horizontal="left" vertical="center" wrapText="1"/>
    </xf>
    <xf numFmtId="165" fontId="0" fillId="0" borderId="1" xfId="0" applyNumberFormat="1" applyFont="1" applyFill="1" applyBorder="1"/>
    <xf numFmtId="0" fontId="44" fillId="0" borderId="1" xfId="0" applyFont="1" applyBorder="1" applyAlignment="1">
      <alignment wrapText="1"/>
    </xf>
    <xf numFmtId="167" fontId="3" fillId="0" borderId="1" xfId="0" applyNumberFormat="1" applyFont="1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Alignment="1"/>
    <xf numFmtId="0" fontId="2" fillId="0" borderId="0" xfId="0" applyFont="1" applyAlignment="1">
      <alignment horizontal="left" indent="14"/>
    </xf>
    <xf numFmtId="0" fontId="2" fillId="0" borderId="0" xfId="0" applyFont="1" applyAlignment="1">
      <alignment horizontal="left" indent="21"/>
    </xf>
    <xf numFmtId="0" fontId="0" fillId="0" borderId="0" xfId="0" applyAlignment="1">
      <alignment horizontal="left" indent="21"/>
    </xf>
    <xf numFmtId="0" fontId="6" fillId="0" borderId="0" xfId="0" applyFont="1" applyAlignment="1">
      <alignment horizontal="center" wrapText="1"/>
    </xf>
    <xf numFmtId="0" fontId="6" fillId="0" borderId="0" xfId="0" applyFont="1"/>
    <xf numFmtId="0" fontId="0" fillId="0" borderId="6" xfId="0" applyBorder="1" applyAlignment="1">
      <alignment horizontal="center" wrapText="1"/>
    </xf>
    <xf numFmtId="14" fontId="0" fillId="0" borderId="1" xfId="0" applyNumberFormat="1" applyFont="1" applyBorder="1" applyAlignment="1">
      <alignment horizontal="right" wrapText="1"/>
    </xf>
    <xf numFmtId="0" fontId="3" fillId="0" borderId="0" xfId="0" applyFont="1" applyBorder="1"/>
    <xf numFmtId="49" fontId="3" fillId="0" borderId="0" xfId="0" applyNumberFormat="1" applyFont="1" applyBorder="1" applyAlignment="1">
      <alignment horizontal="center"/>
    </xf>
    <xf numFmtId="0" fontId="11" fillId="0" borderId="0" xfId="0" applyFont="1" applyBorder="1" applyAlignment="1">
      <alignment wrapText="1"/>
    </xf>
    <xf numFmtId="165" fontId="1" fillId="0" borderId="0" xfId="0" applyNumberFormat="1" applyFont="1" applyBorder="1"/>
    <xf numFmtId="49" fontId="1" fillId="0" borderId="0" xfId="0" applyNumberFormat="1" applyFont="1" applyBorder="1" applyAlignment="1">
      <alignment horizontal="center"/>
    </xf>
    <xf numFmtId="165" fontId="1" fillId="0" borderId="0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 wrapText="1"/>
    </xf>
    <xf numFmtId="0" fontId="0" fillId="0" borderId="1" xfId="0" applyBorder="1" applyAlignment="1">
      <alignment wrapText="1"/>
    </xf>
    <xf numFmtId="0" fontId="5" fillId="0" borderId="0" xfId="0" applyFont="1" applyAlignment="1">
      <alignment horizontal="center" wrapText="1"/>
    </xf>
    <xf numFmtId="0" fontId="1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3" fillId="0" borderId="2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0" fillId="0" borderId="2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11" xfId="0" applyBorder="1" applyAlignment="1">
      <alignment horizontal="center" wrapText="1"/>
    </xf>
    <xf numFmtId="0" fontId="0" fillId="0" borderId="12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1" xfId="0" applyBorder="1" applyAlignment="1">
      <alignment horizontal="center" wrapText="1"/>
    </xf>
    <xf numFmtId="0" fontId="8" fillId="0" borderId="2" xfId="0" applyFont="1" applyBorder="1" applyAlignment="1">
      <alignment wrapText="1"/>
    </xf>
    <xf numFmtId="0" fontId="8" fillId="0" borderId="5" xfId="0" applyFont="1" applyBorder="1" applyAlignment="1">
      <alignment wrapText="1"/>
    </xf>
    <xf numFmtId="0" fontId="8" fillId="0" borderId="4" xfId="0" applyFont="1" applyBorder="1" applyAlignment="1">
      <alignment wrapText="1"/>
    </xf>
    <xf numFmtId="0" fontId="0" fillId="0" borderId="2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Alignment="1"/>
    <xf numFmtId="0" fontId="2" fillId="0" borderId="0" xfId="0" applyFont="1" applyAlignment="1">
      <alignment horizontal="left" indent="14"/>
    </xf>
    <xf numFmtId="0" fontId="2" fillId="0" borderId="0" xfId="0" applyFont="1" applyAlignment="1">
      <alignment horizontal="left" wrapText="1" indent="14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13" fillId="0" borderId="1" xfId="0" applyFont="1" applyBorder="1" applyAlignment="1">
      <alignment wrapText="1"/>
    </xf>
    <xf numFmtId="0" fontId="1" fillId="0" borderId="4" xfId="0" applyFont="1" applyBorder="1" applyAlignment="1">
      <alignment wrapText="1"/>
    </xf>
    <xf numFmtId="0" fontId="0" fillId="0" borderId="13" xfId="0" applyBorder="1" applyAlignment="1">
      <alignment wrapText="1"/>
    </xf>
    <xf numFmtId="0" fontId="0" fillId="0" borderId="14" xfId="0" applyBorder="1" applyAlignment="1">
      <alignment wrapText="1"/>
    </xf>
    <xf numFmtId="0" fontId="0" fillId="0" borderId="15" xfId="0" applyBorder="1" applyAlignment="1">
      <alignment wrapText="1"/>
    </xf>
    <xf numFmtId="0" fontId="0" fillId="0" borderId="16" xfId="0" applyBorder="1" applyAlignment="1">
      <alignment wrapText="1"/>
    </xf>
    <xf numFmtId="0" fontId="0" fillId="0" borderId="6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16" xfId="0" applyBorder="1" applyAlignment="1">
      <alignment horizontal="center" wrapText="1"/>
    </xf>
  </cellXfs>
  <cellStyles count="4">
    <cellStyle name="Normal" xfId="1"/>
    <cellStyle name="Название" xfId="2" builtinId="15" customBuiltin="1"/>
    <cellStyle name="Обычный" xfId="0" builtinId="0"/>
    <cellStyle name="Обычный 2" xf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003063"/>
      <rgbColor rgb="00EAEAEA"/>
      <rgbColor rgb="00333333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31"/>
  <sheetViews>
    <sheetView view="pageBreakPreview" zoomScale="60" zoomScaleNormal="100" workbookViewId="0">
      <selection activeCell="B5" sqref="B5"/>
    </sheetView>
  </sheetViews>
  <sheetFormatPr defaultColWidth="9.140625" defaultRowHeight="12.75"/>
  <cols>
    <col min="1" max="1" width="24" style="95" customWidth="1"/>
    <col min="2" max="2" width="33.85546875" style="95" customWidth="1"/>
    <col min="3" max="3" width="12" style="95" bestFit="1" customWidth="1"/>
    <col min="4" max="4" width="10" style="95" hidden="1" customWidth="1"/>
    <col min="5" max="5" width="1.85546875" style="95" hidden="1" customWidth="1"/>
    <col min="6" max="6" width="10.28515625" style="95" customWidth="1"/>
    <col min="7" max="7" width="10.140625" style="95" customWidth="1"/>
    <col min="8" max="16384" width="9.140625" style="95"/>
  </cols>
  <sheetData>
    <row r="1" spans="1:7">
      <c r="B1" s="177" t="s">
        <v>191</v>
      </c>
    </row>
    <row r="2" spans="1:7">
      <c r="B2" s="177" t="s">
        <v>196</v>
      </c>
    </row>
    <row r="3" spans="1:7">
      <c r="B3" s="201" t="s">
        <v>1000</v>
      </c>
    </row>
    <row r="4" spans="1:7">
      <c r="B4" s="177" t="s">
        <v>773</v>
      </c>
    </row>
    <row r="5" spans="1:7">
      <c r="B5" s="177" t="s">
        <v>774</v>
      </c>
    </row>
    <row r="6" spans="1:7">
      <c r="B6" s="177" t="s">
        <v>200</v>
      </c>
    </row>
    <row r="7" spans="1:7">
      <c r="B7" s="177" t="s">
        <v>711</v>
      </c>
    </row>
    <row r="8" spans="1:7">
      <c r="B8" s="177"/>
    </row>
    <row r="9" spans="1:7">
      <c r="A9" s="7"/>
      <c r="B9" s="155" t="s">
        <v>191</v>
      </c>
      <c r="C9" s="92"/>
    </row>
    <row r="10" spans="1:7">
      <c r="A10" s="7"/>
      <c r="B10" s="155" t="s">
        <v>690</v>
      </c>
      <c r="C10" s="92"/>
    </row>
    <row r="11" spans="1:7">
      <c r="A11" s="7"/>
      <c r="B11" s="176" t="s">
        <v>760</v>
      </c>
      <c r="C11" s="92"/>
    </row>
    <row r="12" spans="1:7">
      <c r="A12" s="7"/>
      <c r="B12" s="155" t="s">
        <v>200</v>
      </c>
      <c r="C12" s="92"/>
    </row>
    <row r="13" spans="1:7">
      <c r="A13" s="7"/>
      <c r="B13" s="155" t="s">
        <v>711</v>
      </c>
      <c r="C13" s="92"/>
    </row>
    <row r="14" spans="1:7">
      <c r="A14" s="7"/>
      <c r="B14" s="169"/>
      <c r="C14" s="92"/>
    </row>
    <row r="15" spans="1:7">
      <c r="A15" s="7"/>
      <c r="B15" s="155"/>
      <c r="C15" s="92"/>
    </row>
    <row r="16" spans="1:7" ht="28.5" customHeight="1">
      <c r="A16" s="216" t="s">
        <v>712</v>
      </c>
      <c r="B16" s="217"/>
      <c r="C16" s="217"/>
      <c r="D16" s="218"/>
      <c r="E16" s="218"/>
      <c r="F16" s="218"/>
      <c r="G16" s="218"/>
    </row>
    <row r="18" spans="1:7">
      <c r="C18" s="139"/>
    </row>
    <row r="19" spans="1:7">
      <c r="A19" s="219" t="s">
        <v>510</v>
      </c>
      <c r="B19" s="222" t="s">
        <v>142</v>
      </c>
      <c r="C19" s="225" t="s">
        <v>35</v>
      </c>
      <c r="D19" s="226"/>
      <c r="E19" s="226"/>
      <c r="F19" s="226"/>
      <c r="G19" s="227"/>
    </row>
    <row r="20" spans="1:7">
      <c r="A20" s="220"/>
      <c r="B20" s="223"/>
      <c r="C20" s="228" t="s">
        <v>525</v>
      </c>
      <c r="D20" s="215" t="s">
        <v>197</v>
      </c>
      <c r="E20" s="215"/>
      <c r="F20" s="215" t="s">
        <v>197</v>
      </c>
      <c r="G20" s="215"/>
    </row>
    <row r="21" spans="1:7">
      <c r="A21" s="221"/>
      <c r="B21" s="224"/>
      <c r="C21" s="228"/>
      <c r="D21" s="1" t="s">
        <v>198</v>
      </c>
      <c r="E21" s="1" t="s">
        <v>199</v>
      </c>
      <c r="F21" s="1" t="s">
        <v>642</v>
      </c>
      <c r="G21" s="1" t="s">
        <v>713</v>
      </c>
    </row>
    <row r="22" spans="1:7" s="143" customFormat="1" ht="36">
      <c r="A22" s="140" t="s">
        <v>511</v>
      </c>
      <c r="B22" s="141" t="s">
        <v>512</v>
      </c>
      <c r="C22" s="148">
        <f>C23</f>
        <v>-34245</v>
      </c>
      <c r="D22" s="148">
        <f t="shared" ref="D22:G22" si="0">D23</f>
        <v>-47400</v>
      </c>
      <c r="E22" s="148">
        <f t="shared" si="0"/>
        <v>-47400</v>
      </c>
      <c r="F22" s="148">
        <f t="shared" si="0"/>
        <v>0</v>
      </c>
      <c r="G22" s="148">
        <f t="shared" si="0"/>
        <v>0</v>
      </c>
    </row>
    <row r="23" spans="1:7" s="143" customFormat="1" ht="60">
      <c r="A23" s="144" t="s">
        <v>513</v>
      </c>
      <c r="B23" s="145" t="s">
        <v>514</v>
      </c>
      <c r="C23" s="142">
        <f>C24</f>
        <v>-34245</v>
      </c>
      <c r="D23" s="142">
        <f t="shared" ref="D23:G23" si="1">D24</f>
        <v>-47400</v>
      </c>
      <c r="E23" s="142">
        <f t="shared" si="1"/>
        <v>-47400</v>
      </c>
      <c r="F23" s="142">
        <f t="shared" si="1"/>
        <v>0</v>
      </c>
      <c r="G23" s="142">
        <f t="shared" si="1"/>
        <v>0</v>
      </c>
    </row>
    <row r="24" spans="1:7" s="143" customFormat="1" ht="60">
      <c r="A24" s="146" t="s">
        <v>691</v>
      </c>
      <c r="B24" s="147" t="s">
        <v>515</v>
      </c>
      <c r="C24" s="142">
        <v>-34245</v>
      </c>
      <c r="D24" s="142">
        <v>-47400</v>
      </c>
      <c r="E24" s="142">
        <v>-47400</v>
      </c>
      <c r="F24" s="142"/>
      <c r="G24" s="142"/>
    </row>
    <row r="25" spans="1:7" s="143" customFormat="1" ht="24">
      <c r="A25" s="96" t="s">
        <v>516</v>
      </c>
      <c r="B25" s="149" t="s">
        <v>517</v>
      </c>
      <c r="C25" s="194">
        <f>C26+C28</f>
        <v>95428.40000000014</v>
      </c>
      <c r="D25" s="194">
        <f t="shared" ref="D25:G25" si="2">D26+D28</f>
        <v>0</v>
      </c>
      <c r="E25" s="194">
        <f t="shared" si="2"/>
        <v>0</v>
      </c>
      <c r="F25" s="194">
        <f t="shared" si="2"/>
        <v>0</v>
      </c>
      <c r="G25" s="194">
        <f t="shared" si="2"/>
        <v>0</v>
      </c>
    </row>
    <row r="26" spans="1:7" s="143" customFormat="1" ht="24">
      <c r="A26" s="24" t="s">
        <v>518</v>
      </c>
      <c r="B26" s="145" t="s">
        <v>519</v>
      </c>
      <c r="C26" s="150">
        <f>C27</f>
        <v>-1127248</v>
      </c>
      <c r="D26" s="150">
        <f t="shared" ref="D26:G26" si="3">D27</f>
        <v>-902627.3</v>
      </c>
      <c r="E26" s="150">
        <f t="shared" si="3"/>
        <v>-915831.4</v>
      </c>
      <c r="F26" s="150">
        <v>-907304.2</v>
      </c>
      <c r="G26" s="150">
        <f t="shared" si="3"/>
        <v>-915831.4</v>
      </c>
    </row>
    <row r="27" spans="1:7" s="143" customFormat="1" ht="24">
      <c r="A27" s="25" t="s">
        <v>692</v>
      </c>
      <c r="B27" s="147" t="s">
        <v>520</v>
      </c>
      <c r="C27" s="142">
        <v>-1127248</v>
      </c>
      <c r="D27" s="142">
        <v>-902627.3</v>
      </c>
      <c r="E27" s="142">
        <v>-915831.4</v>
      </c>
      <c r="F27" s="142">
        <v>-907304.2</v>
      </c>
      <c r="G27" s="142">
        <v>-915831.4</v>
      </c>
    </row>
    <row r="28" spans="1:7" s="143" customFormat="1" ht="24">
      <c r="A28" s="24" t="s">
        <v>521</v>
      </c>
      <c r="B28" s="145" t="s">
        <v>522</v>
      </c>
      <c r="C28" s="150">
        <f>C29</f>
        <v>1222676.4000000001</v>
      </c>
      <c r="D28" s="150">
        <v>902627.3</v>
      </c>
      <c r="E28" s="150">
        <v>915831.4</v>
      </c>
      <c r="F28" s="150">
        <v>907304.2</v>
      </c>
      <c r="G28" s="150">
        <f t="shared" ref="G28" si="4">G29</f>
        <v>915831.4</v>
      </c>
    </row>
    <row r="29" spans="1:7" s="143" customFormat="1" ht="25.5" customHeight="1">
      <c r="A29" s="151" t="s">
        <v>693</v>
      </c>
      <c r="B29" s="152" t="s">
        <v>523</v>
      </c>
      <c r="C29" s="142">
        <f>прил.3!E23-C22</f>
        <v>1222676.4000000001</v>
      </c>
      <c r="D29" s="142">
        <v>902627.3</v>
      </c>
      <c r="E29" s="142">
        <v>915831.4</v>
      </c>
      <c r="F29" s="142">
        <v>907304.2</v>
      </c>
      <c r="G29" s="142">
        <v>915831.4</v>
      </c>
    </row>
    <row r="30" spans="1:7" s="143" customFormat="1">
      <c r="A30" s="214" t="s">
        <v>524</v>
      </c>
      <c r="B30" s="215"/>
      <c r="C30" s="148">
        <f>C22+C25</f>
        <v>61183.40000000014</v>
      </c>
      <c r="D30" s="194">
        <f t="shared" ref="D30:G30" si="5">D22+D26+D28</f>
        <v>-47400</v>
      </c>
      <c r="E30" s="194">
        <f t="shared" si="5"/>
        <v>-47400</v>
      </c>
      <c r="F30" s="194">
        <f t="shared" si="5"/>
        <v>0</v>
      </c>
      <c r="G30" s="194">
        <f t="shared" si="5"/>
        <v>0</v>
      </c>
    </row>
    <row r="31" spans="1:7" s="19" customFormat="1" ht="14.25"/>
  </sheetData>
  <mergeCells count="8">
    <mergeCell ref="A30:B30"/>
    <mergeCell ref="A16:G16"/>
    <mergeCell ref="A19:A21"/>
    <mergeCell ref="B19:B21"/>
    <mergeCell ref="C19:G19"/>
    <mergeCell ref="C20:C21"/>
    <mergeCell ref="D20:E20"/>
    <mergeCell ref="F20:G20"/>
  </mergeCells>
  <pageMargins left="0.70866141732283472" right="0.70866141732283472" top="0.74803149606299213" bottom="0.74803149606299213" header="0.31496062992125984" footer="0.31496062992125984"/>
  <pageSetup paperSize="9" scale="98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>
    <pageSetUpPr fitToPage="1"/>
  </sheetPr>
  <dimension ref="A1:G70"/>
  <sheetViews>
    <sheetView view="pageBreakPreview" zoomScale="60" zoomScaleNormal="100" workbookViewId="0">
      <selection activeCell="E7" sqref="E7"/>
    </sheetView>
  </sheetViews>
  <sheetFormatPr defaultColWidth="9.140625" defaultRowHeight="14.25"/>
  <cols>
    <col min="1" max="1" width="3" style="19" customWidth="1"/>
    <col min="2" max="2" width="3.140625" style="95" customWidth="1"/>
    <col min="3" max="3" width="3.28515625" style="95" customWidth="1"/>
    <col min="4" max="4" width="43" style="95" customWidth="1"/>
    <col min="5" max="5" width="12.42578125" style="95" customWidth="1"/>
    <col min="6" max="6" width="12" style="95" customWidth="1"/>
    <col min="7" max="7" width="11.42578125" style="95" customWidth="1"/>
    <col min="8" max="16384" width="9.140625" style="95"/>
  </cols>
  <sheetData>
    <row r="1" spans="1:7">
      <c r="D1" s="91" t="s">
        <v>775</v>
      </c>
    </row>
    <row r="2" spans="1:7">
      <c r="D2" s="91" t="s">
        <v>196</v>
      </c>
    </row>
    <row r="3" spans="1:7">
      <c r="D3" s="91" t="s">
        <v>1001</v>
      </c>
    </row>
    <row r="4" spans="1:7">
      <c r="D4" s="91" t="s">
        <v>773</v>
      </c>
    </row>
    <row r="5" spans="1:7">
      <c r="D5" s="91" t="s">
        <v>774</v>
      </c>
    </row>
    <row r="6" spans="1:7">
      <c r="D6" s="91" t="s">
        <v>200</v>
      </c>
    </row>
    <row r="7" spans="1:7">
      <c r="D7" s="91" t="s">
        <v>711</v>
      </c>
    </row>
    <row r="9" spans="1:7">
      <c r="D9" s="91" t="s">
        <v>497</v>
      </c>
      <c r="E9" s="7"/>
    </row>
    <row r="10" spans="1:7">
      <c r="D10" s="91" t="s">
        <v>690</v>
      </c>
      <c r="E10" s="7"/>
    </row>
    <row r="11" spans="1:7">
      <c r="D11" s="91" t="s">
        <v>761</v>
      </c>
      <c r="E11" s="7"/>
    </row>
    <row r="12" spans="1:7">
      <c r="D12" s="91" t="s">
        <v>200</v>
      </c>
      <c r="E12" s="7"/>
    </row>
    <row r="13" spans="1:7">
      <c r="D13" s="91" t="s">
        <v>711</v>
      </c>
      <c r="E13" s="7"/>
    </row>
    <row r="14" spans="1:7">
      <c r="E14" s="7"/>
    </row>
    <row r="15" spans="1:7">
      <c r="E15" s="7"/>
    </row>
    <row r="16" spans="1:7" ht="47.25" customHeight="1">
      <c r="A16" s="216" t="s">
        <v>714</v>
      </c>
      <c r="B16" s="216"/>
      <c r="C16" s="216"/>
      <c r="D16" s="216"/>
      <c r="E16" s="216"/>
      <c r="F16" s="218"/>
      <c r="G16" s="218"/>
    </row>
    <row r="18" spans="1:7">
      <c r="E18" s="6"/>
    </row>
    <row r="19" spans="1:7" ht="12.75">
      <c r="A19" s="229" t="s">
        <v>139</v>
      </c>
      <c r="B19" s="232" t="s">
        <v>26</v>
      </c>
      <c r="C19" s="232" t="s">
        <v>34</v>
      </c>
      <c r="D19" s="222" t="s">
        <v>142</v>
      </c>
      <c r="E19" s="228" t="s">
        <v>35</v>
      </c>
      <c r="F19" s="215"/>
      <c r="G19" s="215"/>
    </row>
    <row r="20" spans="1:7" ht="12.75">
      <c r="A20" s="230"/>
      <c r="B20" s="233"/>
      <c r="C20" s="233"/>
      <c r="D20" s="223"/>
      <c r="E20" s="232" t="s">
        <v>525</v>
      </c>
      <c r="F20" s="215" t="s">
        <v>197</v>
      </c>
      <c r="G20" s="215"/>
    </row>
    <row r="21" spans="1:7" ht="12.75">
      <c r="A21" s="231"/>
      <c r="B21" s="234"/>
      <c r="C21" s="234"/>
      <c r="D21" s="224"/>
      <c r="E21" s="234"/>
      <c r="F21" s="1" t="s">
        <v>642</v>
      </c>
      <c r="G21" s="1" t="s">
        <v>713</v>
      </c>
    </row>
    <row r="22" spans="1:7" ht="12.75">
      <c r="A22" s="2">
        <v>1</v>
      </c>
      <c r="B22" s="2">
        <v>2</v>
      </c>
      <c r="C22" s="2">
        <v>3</v>
      </c>
      <c r="D22" s="2">
        <v>4</v>
      </c>
      <c r="E22" s="2">
        <v>5</v>
      </c>
      <c r="F22" s="2">
        <v>6</v>
      </c>
      <c r="G22" s="2">
        <v>7</v>
      </c>
    </row>
    <row r="23" spans="1:7" ht="18">
      <c r="A23" s="67"/>
      <c r="B23" s="12"/>
      <c r="C23" s="12"/>
      <c r="D23" s="9" t="s">
        <v>144</v>
      </c>
      <c r="E23" s="100">
        <f>E24+E33+E37+E43+E47+E54+E57+E61+E63+E65</f>
        <v>1188431.4000000001</v>
      </c>
      <c r="F23" s="100">
        <f>F24+F33+F37+F43+F47+F54+F57+F61+F63+F65</f>
        <v>895629.60000000009</v>
      </c>
      <c r="G23" s="100">
        <f>G24+G33+G37+G43+G47+G54+G57+G61+G63+G65</f>
        <v>892250.3</v>
      </c>
    </row>
    <row r="24" spans="1:7" ht="15.75">
      <c r="A24" s="15">
        <v>1</v>
      </c>
      <c r="B24" s="4" t="s">
        <v>140</v>
      </c>
      <c r="C24" s="11"/>
      <c r="D24" s="3" t="s">
        <v>143</v>
      </c>
      <c r="E24" s="97">
        <f>SUM(E25:E32)</f>
        <v>116706</v>
      </c>
      <c r="F24" s="97">
        <f>SUM(F25:F32)</f>
        <v>100079.6</v>
      </c>
      <c r="G24" s="97">
        <f>SUM(G25:G32)</f>
        <v>99998</v>
      </c>
    </row>
    <row r="25" spans="1:7" ht="38.25">
      <c r="A25" s="67"/>
      <c r="B25" s="5" t="s">
        <v>140</v>
      </c>
      <c r="C25" s="5" t="s">
        <v>141</v>
      </c>
      <c r="D25" s="22" t="s">
        <v>22</v>
      </c>
      <c r="E25" s="104">
        <v>1577.6</v>
      </c>
      <c r="F25" s="104">
        <v>1577.6</v>
      </c>
      <c r="G25" s="104">
        <v>1577.6</v>
      </c>
    </row>
    <row r="26" spans="1:7" ht="51">
      <c r="A26" s="67"/>
      <c r="B26" s="5" t="s">
        <v>140</v>
      </c>
      <c r="C26" s="5" t="s">
        <v>145</v>
      </c>
      <c r="D26" s="22" t="s">
        <v>178</v>
      </c>
      <c r="E26" s="39">
        <v>3877.9</v>
      </c>
      <c r="F26" s="39">
        <v>3877.9</v>
      </c>
      <c r="G26" s="39">
        <v>3877.9</v>
      </c>
    </row>
    <row r="27" spans="1:7" ht="51">
      <c r="A27" s="67"/>
      <c r="B27" s="5" t="s">
        <v>140</v>
      </c>
      <c r="C27" s="5" t="s">
        <v>146</v>
      </c>
      <c r="D27" s="22" t="s">
        <v>172</v>
      </c>
      <c r="E27" s="39">
        <v>44746.1</v>
      </c>
      <c r="F27" s="39">
        <v>44867</v>
      </c>
      <c r="G27" s="39">
        <v>44870.3</v>
      </c>
    </row>
    <row r="28" spans="1:7">
      <c r="A28" s="67"/>
      <c r="B28" s="5" t="s">
        <v>140</v>
      </c>
      <c r="C28" s="5" t="s">
        <v>147</v>
      </c>
      <c r="D28" s="22" t="s">
        <v>449</v>
      </c>
      <c r="E28" s="119">
        <v>15.6</v>
      </c>
      <c r="F28" s="119">
        <v>94.3</v>
      </c>
      <c r="G28" s="119">
        <v>7.5</v>
      </c>
    </row>
    <row r="29" spans="1:7" ht="38.25">
      <c r="A29" s="67"/>
      <c r="B29" s="5" t="s">
        <v>140</v>
      </c>
      <c r="C29" s="5" t="s">
        <v>148</v>
      </c>
      <c r="D29" s="134" t="s">
        <v>10</v>
      </c>
      <c r="E29" s="39">
        <v>10660.3</v>
      </c>
      <c r="F29" s="39">
        <v>10657.3</v>
      </c>
      <c r="G29" s="39">
        <v>10657.3</v>
      </c>
    </row>
    <row r="30" spans="1:7" ht="25.5">
      <c r="A30" s="67"/>
      <c r="B30" s="5" t="s">
        <v>140</v>
      </c>
      <c r="C30" s="5" t="s">
        <v>156</v>
      </c>
      <c r="D30" s="165" t="s">
        <v>718</v>
      </c>
      <c r="E30" s="39">
        <v>1844.8</v>
      </c>
      <c r="F30" s="39">
        <v>0</v>
      </c>
      <c r="G30" s="39">
        <v>0</v>
      </c>
    </row>
    <row r="31" spans="1:7">
      <c r="A31" s="67"/>
      <c r="B31" s="5" t="s">
        <v>140</v>
      </c>
      <c r="C31" s="5" t="s">
        <v>154</v>
      </c>
      <c r="D31" s="134" t="s">
        <v>5</v>
      </c>
      <c r="E31" s="39">
        <f>250-50-50</f>
        <v>150</v>
      </c>
      <c r="F31" s="39">
        <v>250</v>
      </c>
      <c r="G31" s="39">
        <v>250</v>
      </c>
    </row>
    <row r="32" spans="1:7">
      <c r="A32" s="67"/>
      <c r="B32" s="5" t="s">
        <v>140</v>
      </c>
      <c r="C32" s="5" t="s">
        <v>9</v>
      </c>
      <c r="D32" s="1" t="s">
        <v>149</v>
      </c>
      <c r="E32" s="39">
        <v>53833.7</v>
      </c>
      <c r="F32" s="39">
        <v>38755.5</v>
      </c>
      <c r="G32" s="39">
        <v>38757.4</v>
      </c>
    </row>
    <row r="33" spans="1:7" ht="33.75" customHeight="1">
      <c r="A33" s="15">
        <v>2</v>
      </c>
      <c r="B33" s="4" t="s">
        <v>145</v>
      </c>
      <c r="C33" s="3"/>
      <c r="D33" s="10" t="s">
        <v>150</v>
      </c>
      <c r="E33" s="97">
        <f>SUM(E34:E36)</f>
        <v>7886.4000000000005</v>
      </c>
      <c r="F33" s="97">
        <f>SUM(F34:F36)</f>
        <v>7658</v>
      </c>
      <c r="G33" s="97">
        <f>SUM(G34:G36)</f>
        <v>7615.1</v>
      </c>
    </row>
    <row r="34" spans="1:7" ht="15">
      <c r="A34" s="15"/>
      <c r="B34" s="5" t="s">
        <v>145</v>
      </c>
      <c r="C34" s="5" t="s">
        <v>146</v>
      </c>
      <c r="D34" s="134" t="s">
        <v>23</v>
      </c>
      <c r="E34" s="39">
        <v>1124.4000000000001</v>
      </c>
      <c r="F34" s="39">
        <v>1118.3</v>
      </c>
      <c r="G34" s="39">
        <v>1075.4000000000001</v>
      </c>
    </row>
    <row r="35" spans="1:7" ht="51">
      <c r="A35" s="67"/>
      <c r="B35" s="5" t="s">
        <v>145</v>
      </c>
      <c r="C35" s="5" t="s">
        <v>162</v>
      </c>
      <c r="D35" s="134" t="s">
        <v>715</v>
      </c>
      <c r="E35" s="39">
        <v>6605.7</v>
      </c>
      <c r="F35" s="39">
        <v>6505.7</v>
      </c>
      <c r="G35" s="39">
        <v>6505.7</v>
      </c>
    </row>
    <row r="36" spans="1:7" ht="38.25">
      <c r="A36" s="67"/>
      <c r="B36" s="5" t="s">
        <v>145</v>
      </c>
      <c r="C36" s="5" t="s">
        <v>173</v>
      </c>
      <c r="D36" s="102" t="s">
        <v>27</v>
      </c>
      <c r="E36" s="39">
        <v>156.30000000000001</v>
      </c>
      <c r="F36" s="39">
        <v>34</v>
      </c>
      <c r="G36" s="39">
        <v>34</v>
      </c>
    </row>
    <row r="37" spans="1:7" ht="15.75">
      <c r="A37" s="15">
        <v>3</v>
      </c>
      <c r="B37" s="4" t="s">
        <v>146</v>
      </c>
      <c r="C37" s="3"/>
      <c r="D37" s="10" t="s">
        <v>152</v>
      </c>
      <c r="E37" s="97">
        <f>SUM(E38:E42)</f>
        <v>190078.8</v>
      </c>
      <c r="F37" s="97">
        <f t="shared" ref="F37:G37" si="0">SUM(F38:F42)</f>
        <v>150888.9</v>
      </c>
      <c r="G37" s="97">
        <f t="shared" si="0"/>
        <v>149582.79999999999</v>
      </c>
    </row>
    <row r="38" spans="1:7" ht="15">
      <c r="A38" s="15"/>
      <c r="B38" s="5" t="s">
        <v>146</v>
      </c>
      <c r="C38" s="5" t="s">
        <v>140</v>
      </c>
      <c r="D38" s="51" t="s">
        <v>181</v>
      </c>
      <c r="E38" s="104">
        <f>559.3-72.5</f>
        <v>486.79999999999995</v>
      </c>
      <c r="F38" s="104">
        <v>100</v>
      </c>
      <c r="G38" s="104">
        <v>100</v>
      </c>
    </row>
    <row r="39" spans="1:7">
      <c r="A39" s="67"/>
      <c r="B39" s="5" t="s">
        <v>146</v>
      </c>
      <c r="C39" s="5" t="s">
        <v>147</v>
      </c>
      <c r="D39" s="1" t="s">
        <v>155</v>
      </c>
      <c r="E39" s="39">
        <v>324.2</v>
      </c>
      <c r="F39" s="39">
        <v>63</v>
      </c>
      <c r="G39" s="39">
        <v>63</v>
      </c>
    </row>
    <row r="40" spans="1:7">
      <c r="A40" s="67"/>
      <c r="B40" s="5" t="s">
        <v>146</v>
      </c>
      <c r="C40" s="5" t="s">
        <v>153</v>
      </c>
      <c r="D40" s="1" t="s">
        <v>1</v>
      </c>
      <c r="E40" s="39">
        <v>23891.5</v>
      </c>
      <c r="F40" s="39">
        <v>24643.7</v>
      </c>
      <c r="G40" s="39">
        <v>24474.3</v>
      </c>
    </row>
    <row r="41" spans="1:7">
      <c r="A41" s="67"/>
      <c r="B41" s="5" t="s">
        <v>146</v>
      </c>
      <c r="C41" s="5" t="s">
        <v>151</v>
      </c>
      <c r="D41" s="1" t="s">
        <v>298</v>
      </c>
      <c r="E41" s="39">
        <v>156762.79999999999</v>
      </c>
      <c r="F41" s="39">
        <f>120049.7+412.6+4559.9</f>
        <v>125022.2</v>
      </c>
      <c r="G41" s="1">
        <v>123885.5</v>
      </c>
    </row>
    <row r="42" spans="1:7" ht="25.5">
      <c r="A42" s="67"/>
      <c r="B42" s="5" t="s">
        <v>146</v>
      </c>
      <c r="C42" s="5" t="s">
        <v>174</v>
      </c>
      <c r="D42" s="134" t="s">
        <v>4</v>
      </c>
      <c r="E42" s="39">
        <f>8682.7-7-12-50.2</f>
        <v>8613.5</v>
      </c>
      <c r="F42" s="39">
        <v>1060</v>
      </c>
      <c r="G42" s="39">
        <v>1060</v>
      </c>
    </row>
    <row r="43" spans="1:7" ht="15.75">
      <c r="A43" s="15">
        <v>4</v>
      </c>
      <c r="B43" s="4" t="s">
        <v>147</v>
      </c>
      <c r="C43" s="5"/>
      <c r="D43" s="49" t="s">
        <v>72</v>
      </c>
      <c r="E43" s="97">
        <f>SUM(E44:E46)</f>
        <v>146278.9</v>
      </c>
      <c r="F43" s="97">
        <f>SUM(F44:F46)</f>
        <v>37600.5</v>
      </c>
      <c r="G43" s="97">
        <f>SUM(G44:G46)</f>
        <v>32584.100000000002</v>
      </c>
    </row>
    <row r="44" spans="1:7" ht="15">
      <c r="A44" s="15"/>
      <c r="B44" s="16" t="s">
        <v>147</v>
      </c>
      <c r="C44" s="16" t="s">
        <v>140</v>
      </c>
      <c r="D44" s="51" t="s">
        <v>60</v>
      </c>
      <c r="E44" s="41">
        <f>10690.2-130-249+63-20-186.2-137.4</f>
        <v>10030.6</v>
      </c>
      <c r="F44" s="39">
        <v>6296.5</v>
      </c>
      <c r="G44" s="39">
        <v>6296.5</v>
      </c>
    </row>
    <row r="45" spans="1:7" ht="15">
      <c r="A45" s="15"/>
      <c r="B45" s="16" t="s">
        <v>147</v>
      </c>
      <c r="C45" s="16" t="s">
        <v>141</v>
      </c>
      <c r="D45" s="51" t="s">
        <v>59</v>
      </c>
      <c r="E45" s="41">
        <v>42928.3</v>
      </c>
      <c r="F45" s="39">
        <v>5369.2</v>
      </c>
      <c r="G45" s="39">
        <v>4484.7</v>
      </c>
    </row>
    <row r="46" spans="1:7">
      <c r="A46" s="67"/>
      <c r="B46" s="16" t="s">
        <v>147</v>
      </c>
      <c r="C46" s="16" t="s">
        <v>145</v>
      </c>
      <c r="D46" s="51" t="s">
        <v>73</v>
      </c>
      <c r="E46" s="41">
        <v>93320</v>
      </c>
      <c r="F46" s="1">
        <f>22818.5+3116.3</f>
        <v>25934.799999999999</v>
      </c>
      <c r="G46" s="1">
        <v>21802.9</v>
      </c>
    </row>
    <row r="47" spans="1:7" ht="15.75">
      <c r="A47" s="15">
        <v>5</v>
      </c>
      <c r="B47" s="4" t="s">
        <v>156</v>
      </c>
      <c r="C47" s="3"/>
      <c r="D47" s="10" t="s">
        <v>157</v>
      </c>
      <c r="E47" s="97">
        <f>SUM(E48:E53)</f>
        <v>617381.4</v>
      </c>
      <c r="F47" s="97">
        <f t="shared" ref="F47:G47" si="1">SUM(F48:F53)</f>
        <v>520331.60000000003</v>
      </c>
      <c r="G47" s="97">
        <f t="shared" si="1"/>
        <v>522082.80000000005</v>
      </c>
    </row>
    <row r="48" spans="1:7">
      <c r="A48" s="67"/>
      <c r="B48" s="5" t="s">
        <v>156</v>
      </c>
      <c r="C48" s="5" t="s">
        <v>140</v>
      </c>
      <c r="D48" s="1" t="s">
        <v>159</v>
      </c>
      <c r="E48" s="39">
        <v>141719.4</v>
      </c>
      <c r="F48" s="1">
        <v>135047.6</v>
      </c>
      <c r="G48" s="158">
        <v>135064.70000000001</v>
      </c>
    </row>
    <row r="49" spans="1:7">
      <c r="A49" s="67"/>
      <c r="B49" s="5" t="s">
        <v>156</v>
      </c>
      <c r="C49" s="5" t="s">
        <v>141</v>
      </c>
      <c r="D49" s="1" t="s">
        <v>160</v>
      </c>
      <c r="E49" s="39">
        <v>400851.20000000001</v>
      </c>
      <c r="F49" s="39">
        <v>318431.3</v>
      </c>
      <c r="G49" s="39">
        <v>320165.40000000002</v>
      </c>
    </row>
    <row r="50" spans="1:7">
      <c r="A50" s="67"/>
      <c r="B50" s="5" t="s">
        <v>156</v>
      </c>
      <c r="C50" s="5" t="s">
        <v>145</v>
      </c>
      <c r="D50" s="1" t="s">
        <v>225</v>
      </c>
      <c r="E50" s="39">
        <v>55475.4</v>
      </c>
      <c r="F50" s="1">
        <v>48900.7</v>
      </c>
      <c r="G50" s="158">
        <v>48900.7</v>
      </c>
    </row>
    <row r="51" spans="1:7" ht="25.5">
      <c r="A51" s="67"/>
      <c r="B51" s="5" t="s">
        <v>156</v>
      </c>
      <c r="C51" s="5" t="s">
        <v>147</v>
      </c>
      <c r="D51" s="134" t="s">
        <v>2</v>
      </c>
      <c r="E51" s="39">
        <v>110</v>
      </c>
      <c r="F51" s="39">
        <v>250</v>
      </c>
      <c r="G51" s="39">
        <v>250</v>
      </c>
    </row>
    <row r="52" spans="1:7">
      <c r="A52" s="67"/>
      <c r="B52" s="5" t="s">
        <v>156</v>
      </c>
      <c r="C52" s="5" t="s">
        <v>156</v>
      </c>
      <c r="D52" s="1" t="s">
        <v>224</v>
      </c>
      <c r="E52" s="39">
        <v>10949.8</v>
      </c>
      <c r="F52" s="1">
        <v>9474.2000000000007</v>
      </c>
      <c r="G52" s="158">
        <v>9474.2000000000007</v>
      </c>
    </row>
    <row r="53" spans="1:7">
      <c r="A53" s="67"/>
      <c r="B53" s="5" t="s">
        <v>156</v>
      </c>
      <c r="C53" s="5" t="s">
        <v>151</v>
      </c>
      <c r="D53" s="1" t="s">
        <v>161</v>
      </c>
      <c r="E53" s="39">
        <v>8275.6</v>
      </c>
      <c r="F53" s="39">
        <v>8227.7999999999993</v>
      </c>
      <c r="G53" s="39">
        <v>8227.7999999999993</v>
      </c>
    </row>
    <row r="54" spans="1:7" ht="15.75">
      <c r="A54" s="15">
        <v>6</v>
      </c>
      <c r="B54" s="4" t="s">
        <v>153</v>
      </c>
      <c r="C54" s="3"/>
      <c r="D54" s="10" t="s">
        <v>25</v>
      </c>
      <c r="E54" s="97">
        <f>SUM(E55:E56)</f>
        <v>61619.600000000006</v>
      </c>
      <c r="F54" s="97">
        <f t="shared" ref="F54:G54" si="2">SUM(F55:F56)</f>
        <v>53848.800000000003</v>
      </c>
      <c r="G54" s="97">
        <f t="shared" si="2"/>
        <v>53848.800000000003</v>
      </c>
    </row>
    <row r="55" spans="1:7">
      <c r="A55" s="67"/>
      <c r="B55" s="5" t="s">
        <v>153</v>
      </c>
      <c r="C55" s="5" t="s">
        <v>140</v>
      </c>
      <c r="D55" s="1" t="s">
        <v>158</v>
      </c>
      <c r="E55" s="39">
        <v>58232.800000000003</v>
      </c>
      <c r="F55" s="1">
        <v>51217.5</v>
      </c>
      <c r="G55" s="158">
        <v>51217.5</v>
      </c>
    </row>
    <row r="56" spans="1:7" ht="25.5">
      <c r="A56" s="67"/>
      <c r="B56" s="5" t="s">
        <v>153</v>
      </c>
      <c r="C56" s="5" t="s">
        <v>146</v>
      </c>
      <c r="D56" s="134" t="s">
        <v>7</v>
      </c>
      <c r="E56" s="39">
        <f>3186.8+200</f>
        <v>3386.8</v>
      </c>
      <c r="F56" s="39">
        <v>2631.3</v>
      </c>
      <c r="G56" s="39">
        <v>2631.3</v>
      </c>
    </row>
    <row r="57" spans="1:7" ht="15.75">
      <c r="A57" s="15">
        <v>7</v>
      </c>
      <c r="B57" s="4" t="s">
        <v>162</v>
      </c>
      <c r="C57" s="3"/>
      <c r="D57" s="10" t="s">
        <v>163</v>
      </c>
      <c r="E57" s="97">
        <f>SUM(E58:E60)</f>
        <v>43935.1</v>
      </c>
      <c r="F57" s="97">
        <f t="shared" ref="F57:G57" si="3">SUM(F58:F60)</f>
        <v>22171.7</v>
      </c>
      <c r="G57" s="97">
        <f t="shared" si="3"/>
        <v>23488.2</v>
      </c>
    </row>
    <row r="58" spans="1:7">
      <c r="A58" s="67"/>
      <c r="B58" s="5" t="s">
        <v>162</v>
      </c>
      <c r="C58" s="5" t="s">
        <v>140</v>
      </c>
      <c r="D58" s="1" t="s">
        <v>164</v>
      </c>
      <c r="E58" s="39">
        <v>2759.7</v>
      </c>
      <c r="F58" s="39">
        <v>2892.2</v>
      </c>
      <c r="G58" s="39">
        <v>2892.2</v>
      </c>
    </row>
    <row r="59" spans="1:7">
      <c r="A59" s="67"/>
      <c r="B59" s="5" t="s">
        <v>162</v>
      </c>
      <c r="C59" s="5" t="s">
        <v>145</v>
      </c>
      <c r="D59" s="1" t="s">
        <v>168</v>
      </c>
      <c r="E59" s="39">
        <f>2707.5-10+30+50</f>
        <v>2777.5</v>
      </c>
      <c r="F59" s="1">
        <v>2504</v>
      </c>
      <c r="G59" s="158">
        <v>2504</v>
      </c>
    </row>
    <row r="60" spans="1:7">
      <c r="A60" s="67"/>
      <c r="B60" s="5" t="s">
        <v>162</v>
      </c>
      <c r="C60" s="5" t="s">
        <v>146</v>
      </c>
      <c r="D60" s="1" t="s">
        <v>16</v>
      </c>
      <c r="E60" s="39">
        <v>38397.9</v>
      </c>
      <c r="F60" s="39">
        <v>16775.5</v>
      </c>
      <c r="G60" s="39">
        <v>18092</v>
      </c>
    </row>
    <row r="61" spans="1:7" ht="15.75">
      <c r="A61" s="15">
        <v>8</v>
      </c>
      <c r="B61" s="4" t="s">
        <v>154</v>
      </c>
      <c r="C61" s="5"/>
      <c r="D61" s="10" t="s">
        <v>175</v>
      </c>
      <c r="E61" s="97">
        <f>SUM(E62:E62)</f>
        <v>918.7</v>
      </c>
      <c r="F61" s="97">
        <f t="shared" ref="F61:G61" si="4">SUM(F62:F62)</f>
        <v>666.1</v>
      </c>
      <c r="G61" s="97">
        <f t="shared" si="4"/>
        <v>666.1</v>
      </c>
    </row>
    <row r="62" spans="1:7">
      <c r="A62" s="67"/>
      <c r="B62" s="5" t="s">
        <v>154</v>
      </c>
      <c r="C62" s="5" t="s">
        <v>141</v>
      </c>
      <c r="D62" s="134" t="s">
        <v>6</v>
      </c>
      <c r="E62" s="39">
        <v>918.7</v>
      </c>
      <c r="F62" s="39">
        <v>666.1</v>
      </c>
      <c r="G62" s="39">
        <v>666.1</v>
      </c>
    </row>
    <row r="63" spans="1:7" ht="15.75">
      <c r="A63" s="15">
        <v>9</v>
      </c>
      <c r="B63" s="4" t="s">
        <v>174</v>
      </c>
      <c r="C63" s="5"/>
      <c r="D63" s="10" t="s">
        <v>8</v>
      </c>
      <c r="E63" s="97">
        <f>SUM(E64:E64)</f>
        <v>3591.5</v>
      </c>
      <c r="F63" s="97">
        <f t="shared" ref="F63:G63" si="5">SUM(F64:F64)</f>
        <v>2384.4</v>
      </c>
      <c r="G63" s="97">
        <f t="shared" si="5"/>
        <v>2384.4</v>
      </c>
    </row>
    <row r="64" spans="1:7" ht="25.5">
      <c r="A64" s="67"/>
      <c r="B64" s="5" t="s">
        <v>174</v>
      </c>
      <c r="C64" s="5" t="s">
        <v>146</v>
      </c>
      <c r="D64" s="102" t="s">
        <v>19</v>
      </c>
      <c r="E64" s="39">
        <f>3506.5+85</f>
        <v>3591.5</v>
      </c>
      <c r="F64" s="39">
        <v>2384.4</v>
      </c>
      <c r="G64" s="39">
        <v>2384.4</v>
      </c>
    </row>
    <row r="65" spans="1:7" ht="31.5">
      <c r="A65" s="15">
        <v>10</v>
      </c>
      <c r="B65" s="4" t="s">
        <v>9</v>
      </c>
      <c r="C65" s="3"/>
      <c r="D65" s="10" t="s">
        <v>11</v>
      </c>
      <c r="E65" s="97">
        <f>SUM(E66:E66)</f>
        <v>35</v>
      </c>
      <c r="F65" s="97">
        <f t="shared" ref="F65:G65" si="6">SUM(F66:F66)</f>
        <v>0</v>
      </c>
      <c r="G65" s="97">
        <f t="shared" si="6"/>
        <v>0</v>
      </c>
    </row>
    <row r="66" spans="1:7" ht="25.5">
      <c r="A66" s="67"/>
      <c r="B66" s="5" t="s">
        <v>9</v>
      </c>
      <c r="C66" s="5" t="s">
        <v>140</v>
      </c>
      <c r="D66" s="134" t="s">
        <v>295</v>
      </c>
      <c r="E66" s="39">
        <v>35</v>
      </c>
      <c r="F66" s="39">
        <v>0</v>
      </c>
      <c r="G66" s="39">
        <v>0</v>
      </c>
    </row>
    <row r="70" spans="1:7" s="19" customFormat="1">
      <c r="B70" s="19" t="s">
        <v>131</v>
      </c>
    </row>
  </sheetData>
  <mergeCells count="8">
    <mergeCell ref="A16:G16"/>
    <mergeCell ref="A19:A21"/>
    <mergeCell ref="B19:B21"/>
    <mergeCell ref="C19:C21"/>
    <mergeCell ref="D19:D21"/>
    <mergeCell ref="E19:G19"/>
    <mergeCell ref="E20:E21"/>
    <mergeCell ref="F20:G20"/>
  </mergeCells>
  <phoneticPr fontId="2" type="noConversion"/>
  <pageMargins left="0.75" right="0.75" top="1" bottom="1" header="0.5" footer="0.5"/>
  <pageSetup paperSize="9" scale="99" fitToHeight="0" orientation="portrait" r:id="rId1"/>
  <headerFooter alignWithMargins="0">
    <oddFooter>&amp;R&amp;P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790"/>
  <sheetViews>
    <sheetView view="pageBreakPreview" zoomScale="60" zoomScaleNormal="100" workbookViewId="0">
      <selection activeCell="F6" sqref="F6"/>
    </sheetView>
  </sheetViews>
  <sheetFormatPr defaultColWidth="9.140625" defaultRowHeight="12.75"/>
  <cols>
    <col min="1" max="1" width="2.5703125" style="95" customWidth="1"/>
    <col min="2" max="2" width="2.42578125" style="95" customWidth="1"/>
    <col min="3" max="3" width="11.5703125" style="95" customWidth="1"/>
    <col min="4" max="4" width="3.28515625" style="95" customWidth="1"/>
    <col min="5" max="5" width="36" style="95" customWidth="1"/>
    <col min="6" max="6" width="12.42578125" style="95" customWidth="1"/>
    <col min="7" max="7" width="11" style="95" customWidth="1"/>
    <col min="8" max="8" width="10.5703125" style="95" customWidth="1"/>
    <col min="9" max="16384" width="9.140625" style="95"/>
  </cols>
  <sheetData>
    <row r="1" spans="1:8">
      <c r="E1" s="89" t="s">
        <v>776</v>
      </c>
    </row>
    <row r="2" spans="1:8">
      <c r="E2" s="89" t="s">
        <v>196</v>
      </c>
    </row>
    <row r="3" spans="1:8">
      <c r="E3" s="89" t="s">
        <v>1002</v>
      </c>
    </row>
    <row r="4" spans="1:8">
      <c r="E4" s="89" t="s">
        <v>773</v>
      </c>
    </row>
    <row r="5" spans="1:8">
      <c r="E5" s="89" t="s">
        <v>774</v>
      </c>
    </row>
    <row r="6" spans="1:8">
      <c r="E6" s="89" t="s">
        <v>200</v>
      </c>
    </row>
    <row r="7" spans="1:8">
      <c r="E7" s="89" t="s">
        <v>711</v>
      </c>
    </row>
    <row r="9" spans="1:8">
      <c r="E9" s="89" t="s">
        <v>288</v>
      </c>
      <c r="F9" s="89"/>
      <c r="G9" s="90"/>
      <c r="H9" s="90"/>
    </row>
    <row r="10" spans="1:8">
      <c r="E10" s="89" t="s">
        <v>690</v>
      </c>
      <c r="F10" s="89"/>
      <c r="G10" s="90"/>
      <c r="H10" s="90"/>
    </row>
    <row r="11" spans="1:8">
      <c r="E11" s="89" t="s">
        <v>817</v>
      </c>
      <c r="F11" s="89"/>
      <c r="G11" s="90"/>
      <c r="H11" s="90"/>
    </row>
    <row r="12" spans="1:8">
      <c r="E12" s="89" t="s">
        <v>200</v>
      </c>
      <c r="F12" s="89"/>
      <c r="G12" s="90"/>
      <c r="H12" s="90"/>
    </row>
    <row r="13" spans="1:8">
      <c r="E13" s="89" t="s">
        <v>711</v>
      </c>
      <c r="F13" s="89"/>
      <c r="G13" s="90"/>
      <c r="H13" s="90"/>
    </row>
    <row r="14" spans="1:8">
      <c r="E14" s="89"/>
      <c r="F14" s="89"/>
      <c r="G14" s="90"/>
      <c r="H14" s="90"/>
    </row>
    <row r="15" spans="1:8">
      <c r="E15" s="89"/>
      <c r="F15" s="89"/>
      <c r="G15" s="90"/>
      <c r="H15" s="90"/>
    </row>
    <row r="16" spans="1:8" ht="79.5" customHeight="1">
      <c r="A16" s="216" t="s">
        <v>814</v>
      </c>
      <c r="B16" s="235"/>
      <c r="C16" s="235"/>
      <c r="D16" s="235"/>
      <c r="E16" s="235"/>
      <c r="F16" s="235"/>
      <c r="G16" s="236"/>
      <c r="H16" s="236"/>
    </row>
    <row r="18" spans="1:8">
      <c r="F18" s="6"/>
    </row>
    <row r="19" spans="1:8">
      <c r="A19" s="222" t="s">
        <v>169</v>
      </c>
      <c r="B19" s="222" t="s">
        <v>170</v>
      </c>
      <c r="C19" s="222" t="s">
        <v>171</v>
      </c>
      <c r="D19" s="222" t="s">
        <v>165</v>
      </c>
      <c r="E19" s="222" t="s">
        <v>142</v>
      </c>
      <c r="F19" s="228" t="s">
        <v>35</v>
      </c>
      <c r="G19" s="215"/>
      <c r="H19" s="215"/>
    </row>
    <row r="20" spans="1:8">
      <c r="A20" s="223"/>
      <c r="B20" s="223"/>
      <c r="C20" s="223"/>
      <c r="D20" s="223"/>
      <c r="E20" s="223"/>
      <c r="F20" s="232" t="s">
        <v>525</v>
      </c>
      <c r="G20" s="215" t="s">
        <v>197</v>
      </c>
      <c r="H20" s="215"/>
    </row>
    <row r="21" spans="1:8">
      <c r="A21" s="224"/>
      <c r="B21" s="224"/>
      <c r="C21" s="224"/>
      <c r="D21" s="224"/>
      <c r="E21" s="224"/>
      <c r="F21" s="234"/>
      <c r="G21" s="1" t="s">
        <v>642</v>
      </c>
      <c r="H21" s="1" t="s">
        <v>713</v>
      </c>
    </row>
    <row r="22" spans="1:8">
      <c r="A22" s="2">
        <v>1</v>
      </c>
      <c r="B22" s="2">
        <v>2</v>
      </c>
      <c r="C22" s="2">
        <v>3</v>
      </c>
      <c r="D22" s="2">
        <v>4</v>
      </c>
      <c r="E22" s="2">
        <v>5</v>
      </c>
      <c r="F22" s="2">
        <v>6</v>
      </c>
      <c r="G22" s="2">
        <v>7</v>
      </c>
      <c r="H22" s="2">
        <v>8</v>
      </c>
    </row>
    <row r="23" spans="1:8" ht="18">
      <c r="A23" s="12"/>
      <c r="B23" s="12"/>
      <c r="C23" s="12"/>
      <c r="D23" s="12"/>
      <c r="E23" s="9" t="s">
        <v>144</v>
      </c>
      <c r="F23" s="97">
        <f>F24+F119+F165+F307+F519+F670+F711+F754+F765+F783</f>
        <v>1188431.4000000001</v>
      </c>
      <c r="G23" s="97">
        <f>G24+G119+G165+G307+G519+G670+G711+G754+G765+G783</f>
        <v>895629.60000000009</v>
      </c>
      <c r="H23" s="97">
        <f>H24+H119+H165+H307+H519+H670+H711+H754+H765+H783</f>
        <v>892250.3</v>
      </c>
    </row>
    <row r="24" spans="1:8" ht="31.5">
      <c r="A24" s="4" t="s">
        <v>140</v>
      </c>
      <c r="B24" s="11"/>
      <c r="C24" s="11"/>
      <c r="D24" s="11"/>
      <c r="E24" s="10" t="s">
        <v>143</v>
      </c>
      <c r="F24" s="97">
        <f>F25+F30+F37+F48+F53+F64+F68+F72</f>
        <v>116706</v>
      </c>
      <c r="G24" s="97">
        <f>G25+G30+G37+G48+G53+G64+G68+G72</f>
        <v>100079.6</v>
      </c>
      <c r="H24" s="97">
        <f>H25+H30+H37+H48+H53+H68+H72</f>
        <v>99998</v>
      </c>
    </row>
    <row r="25" spans="1:8" ht="51">
      <c r="A25" s="30" t="s">
        <v>140</v>
      </c>
      <c r="B25" s="30" t="s">
        <v>141</v>
      </c>
      <c r="C25" s="30"/>
      <c r="D25" s="30"/>
      <c r="E25" s="46" t="s">
        <v>22</v>
      </c>
      <c r="F25" s="40">
        <f t="shared" ref="F25:H28" si="0">F26</f>
        <v>1577.6</v>
      </c>
      <c r="G25" s="40">
        <f t="shared" si="0"/>
        <v>1577.6</v>
      </c>
      <c r="H25" s="40">
        <f t="shared" si="0"/>
        <v>1577.6</v>
      </c>
    </row>
    <row r="26" spans="1:8" ht="25.5">
      <c r="A26" s="16" t="s">
        <v>140</v>
      </c>
      <c r="B26" s="16" t="s">
        <v>141</v>
      </c>
      <c r="C26" s="80">
        <v>9900000000</v>
      </c>
      <c r="D26" s="16"/>
      <c r="E26" s="55" t="s">
        <v>201</v>
      </c>
      <c r="F26" s="41">
        <f t="shared" si="0"/>
        <v>1577.6</v>
      </c>
      <c r="G26" s="41">
        <f t="shared" si="0"/>
        <v>1577.6</v>
      </c>
      <c r="H26" s="41">
        <f t="shared" si="0"/>
        <v>1577.6</v>
      </c>
    </row>
    <row r="27" spans="1:8" ht="38.25">
      <c r="A27" s="16" t="s">
        <v>140</v>
      </c>
      <c r="B27" s="16" t="s">
        <v>141</v>
      </c>
      <c r="C27" s="80">
        <v>9980000000</v>
      </c>
      <c r="D27" s="16"/>
      <c r="E27" s="54" t="s">
        <v>38</v>
      </c>
      <c r="F27" s="41">
        <f t="shared" si="0"/>
        <v>1577.6</v>
      </c>
      <c r="G27" s="41">
        <f t="shared" si="0"/>
        <v>1577.6</v>
      </c>
      <c r="H27" s="41">
        <f t="shared" si="0"/>
        <v>1577.6</v>
      </c>
    </row>
    <row r="28" spans="1:8">
      <c r="A28" s="16" t="s">
        <v>140</v>
      </c>
      <c r="B28" s="16" t="s">
        <v>141</v>
      </c>
      <c r="C28" s="80" t="s">
        <v>195</v>
      </c>
      <c r="D28" s="16"/>
      <c r="E28" s="105" t="s">
        <v>166</v>
      </c>
      <c r="F28" s="39">
        <f t="shared" si="0"/>
        <v>1577.6</v>
      </c>
      <c r="G28" s="39">
        <f t="shared" si="0"/>
        <v>1577.6</v>
      </c>
      <c r="H28" s="39">
        <f t="shared" si="0"/>
        <v>1577.6</v>
      </c>
    </row>
    <row r="29" spans="1:8" ht="38.25">
      <c r="A29" s="16" t="s">
        <v>140</v>
      </c>
      <c r="B29" s="16" t="s">
        <v>141</v>
      </c>
      <c r="C29" s="80" t="s">
        <v>195</v>
      </c>
      <c r="D29" s="16" t="s">
        <v>105</v>
      </c>
      <c r="E29" s="134" t="s">
        <v>130</v>
      </c>
      <c r="F29" s="39">
        <v>1577.6</v>
      </c>
      <c r="G29" s="39">
        <v>1577.6</v>
      </c>
      <c r="H29" s="39">
        <v>1577.6</v>
      </c>
    </row>
    <row r="30" spans="1:8" ht="64.5">
      <c r="A30" s="30" t="s">
        <v>140</v>
      </c>
      <c r="B30" s="30" t="s">
        <v>145</v>
      </c>
      <c r="C30" s="31"/>
      <c r="D30" s="31"/>
      <c r="E30" s="48" t="s">
        <v>178</v>
      </c>
      <c r="F30" s="43">
        <f>F31</f>
        <v>3877.9</v>
      </c>
      <c r="G30" s="43">
        <f>G31</f>
        <v>3877.9</v>
      </c>
      <c r="H30" s="43">
        <f>H31</f>
        <v>3877.9</v>
      </c>
    </row>
    <row r="31" spans="1:8" ht="38.25">
      <c r="A31" s="16" t="s">
        <v>140</v>
      </c>
      <c r="B31" s="16" t="s">
        <v>145</v>
      </c>
      <c r="C31" s="80">
        <v>9990000000</v>
      </c>
      <c r="D31" s="16"/>
      <c r="E31" s="54" t="s">
        <v>37</v>
      </c>
      <c r="F31" s="41">
        <f>F32+F34</f>
        <v>3877.9</v>
      </c>
      <c r="G31" s="41">
        <f>G32+G34</f>
        <v>3877.9</v>
      </c>
      <c r="H31" s="41">
        <f>H32+H34</f>
        <v>3877.9</v>
      </c>
    </row>
    <row r="32" spans="1:8">
      <c r="A32" s="16" t="s">
        <v>140</v>
      </c>
      <c r="B32" s="16" t="s">
        <v>145</v>
      </c>
      <c r="C32" s="80" t="s">
        <v>194</v>
      </c>
      <c r="D32" s="16"/>
      <c r="E32" s="103" t="s">
        <v>193</v>
      </c>
      <c r="F32" s="41">
        <f t="shared" ref="F32:H32" si="1">F33</f>
        <v>1397.6</v>
      </c>
      <c r="G32" s="41">
        <f t="shared" si="1"/>
        <v>1319.6</v>
      </c>
      <c r="H32" s="41">
        <f t="shared" si="1"/>
        <v>1319.6</v>
      </c>
    </row>
    <row r="33" spans="1:8" ht="38.25">
      <c r="A33" s="16" t="s">
        <v>140</v>
      </c>
      <c r="B33" s="16" t="s">
        <v>145</v>
      </c>
      <c r="C33" s="80" t="s">
        <v>194</v>
      </c>
      <c r="D33" s="16" t="s">
        <v>105</v>
      </c>
      <c r="E33" s="55" t="s">
        <v>106</v>
      </c>
      <c r="F33" s="39">
        <f>1319.6+78</f>
        <v>1397.6</v>
      </c>
      <c r="G33" s="39">
        <v>1319.6</v>
      </c>
      <c r="H33" s="39">
        <v>1319.6</v>
      </c>
    </row>
    <row r="34" spans="1:8">
      <c r="A34" s="16" t="s">
        <v>140</v>
      </c>
      <c r="B34" s="16" t="s">
        <v>145</v>
      </c>
      <c r="C34" s="80" t="s">
        <v>51</v>
      </c>
      <c r="D34" s="21"/>
      <c r="E34" s="22" t="s">
        <v>36</v>
      </c>
      <c r="F34" s="41">
        <f>SUM(F35:F36)</f>
        <v>2480.3000000000002</v>
      </c>
      <c r="G34" s="41">
        <f>SUM(G35:G36)</f>
        <v>2558.3000000000002</v>
      </c>
      <c r="H34" s="41">
        <f>SUM(H35:H36)</f>
        <v>2558.3000000000002</v>
      </c>
    </row>
    <row r="35" spans="1:8" ht="38.25">
      <c r="A35" s="16" t="s">
        <v>140</v>
      </c>
      <c r="B35" s="16" t="s">
        <v>145</v>
      </c>
      <c r="C35" s="80" t="s">
        <v>51</v>
      </c>
      <c r="D35" s="16" t="s">
        <v>105</v>
      </c>
      <c r="E35" s="55" t="s">
        <v>106</v>
      </c>
      <c r="F35" s="39">
        <f>2455.5-78</f>
        <v>2377.5</v>
      </c>
      <c r="G35" s="39">
        <v>2455.5</v>
      </c>
      <c r="H35" s="39">
        <v>2455.5</v>
      </c>
    </row>
    <row r="36" spans="1:8" ht="39" customHeight="1">
      <c r="A36" s="16" t="s">
        <v>140</v>
      </c>
      <c r="B36" s="16" t="s">
        <v>145</v>
      </c>
      <c r="C36" s="80" t="s">
        <v>51</v>
      </c>
      <c r="D36" s="85" t="s">
        <v>325</v>
      </c>
      <c r="E36" s="103" t="s">
        <v>326</v>
      </c>
      <c r="F36" s="39">
        <f>98.8+4</f>
        <v>102.8</v>
      </c>
      <c r="G36" s="39">
        <f t="shared" ref="G36:H36" si="2">98.8+4</f>
        <v>102.8</v>
      </c>
      <c r="H36" s="39">
        <f t="shared" si="2"/>
        <v>102.8</v>
      </c>
    </row>
    <row r="37" spans="1:8" s="32" customFormat="1" ht="76.5">
      <c r="A37" s="30" t="s">
        <v>140</v>
      </c>
      <c r="B37" s="30" t="s">
        <v>146</v>
      </c>
      <c r="C37" s="30"/>
      <c r="D37" s="30"/>
      <c r="E37" s="46" t="s">
        <v>176</v>
      </c>
      <c r="F37" s="40">
        <f t="shared" ref="F37:H37" si="3">F38</f>
        <v>44746.1</v>
      </c>
      <c r="G37" s="40">
        <f t="shared" si="3"/>
        <v>44867.000000000007</v>
      </c>
      <c r="H37" s="40">
        <f t="shared" si="3"/>
        <v>44870.3</v>
      </c>
    </row>
    <row r="38" spans="1:8" ht="25.5">
      <c r="A38" s="16" t="s">
        <v>140</v>
      </c>
      <c r="B38" s="16" t="s">
        <v>146</v>
      </c>
      <c r="C38" s="80">
        <v>9900000000</v>
      </c>
      <c r="D38" s="16"/>
      <c r="E38" s="55" t="s">
        <v>201</v>
      </c>
      <c r="F38" s="39">
        <f>F39+F43</f>
        <v>44746.1</v>
      </c>
      <c r="G38" s="39">
        <f>G39+G43</f>
        <v>44867.000000000007</v>
      </c>
      <c r="H38" s="39">
        <f>H39+H43</f>
        <v>44870.3</v>
      </c>
    </row>
    <row r="39" spans="1:8" ht="25.5">
      <c r="A39" s="16" t="s">
        <v>140</v>
      </c>
      <c r="B39" s="16" t="s">
        <v>146</v>
      </c>
      <c r="C39" s="80">
        <v>9930000000</v>
      </c>
      <c r="D39" s="16"/>
      <c r="E39" s="22" t="s">
        <v>58</v>
      </c>
      <c r="F39" s="39">
        <f>F40</f>
        <v>385.1</v>
      </c>
      <c r="G39" s="39">
        <f>G40</f>
        <v>388.3</v>
      </c>
      <c r="H39" s="39">
        <f>H40</f>
        <v>391.6</v>
      </c>
    </row>
    <row r="40" spans="1:8" ht="63.75">
      <c r="A40" s="16" t="s">
        <v>140</v>
      </c>
      <c r="B40" s="16" t="s">
        <v>146</v>
      </c>
      <c r="C40" s="80">
        <v>9930010510</v>
      </c>
      <c r="D40" s="16"/>
      <c r="E40" s="22" t="s">
        <v>20</v>
      </c>
      <c r="F40" s="39">
        <f>F41+F42</f>
        <v>385.1</v>
      </c>
      <c r="G40" s="39">
        <f>G41+G42</f>
        <v>388.3</v>
      </c>
      <c r="H40" s="39">
        <f>H41+H42</f>
        <v>391.6</v>
      </c>
    </row>
    <row r="41" spans="1:8" ht="38.25">
      <c r="A41" s="16" t="s">
        <v>140</v>
      </c>
      <c r="B41" s="16" t="s">
        <v>146</v>
      </c>
      <c r="C41" s="80">
        <v>9930010510</v>
      </c>
      <c r="D41" s="16" t="s">
        <v>105</v>
      </c>
      <c r="E41" s="108" t="s">
        <v>106</v>
      </c>
      <c r="F41" s="39">
        <v>375.5</v>
      </c>
      <c r="G41" s="39">
        <v>375.5</v>
      </c>
      <c r="H41" s="39">
        <v>375.5</v>
      </c>
    </row>
    <row r="42" spans="1:8" ht="38.25">
      <c r="A42" s="16" t="s">
        <v>140</v>
      </c>
      <c r="B42" s="16" t="s">
        <v>146</v>
      </c>
      <c r="C42" s="80">
        <v>9930010510</v>
      </c>
      <c r="D42" s="85" t="s">
        <v>325</v>
      </c>
      <c r="E42" s="103" t="s">
        <v>326</v>
      </c>
      <c r="F42" s="39">
        <v>9.6</v>
      </c>
      <c r="G42" s="39">
        <v>12.8</v>
      </c>
      <c r="H42" s="39">
        <v>16.100000000000001</v>
      </c>
    </row>
    <row r="43" spans="1:8" ht="38.25">
      <c r="A43" s="16" t="s">
        <v>140</v>
      </c>
      <c r="B43" s="16" t="s">
        <v>146</v>
      </c>
      <c r="C43" s="80">
        <v>9980000000</v>
      </c>
      <c r="D43" s="16"/>
      <c r="E43" s="54" t="s">
        <v>38</v>
      </c>
      <c r="F43" s="39">
        <f>F44</f>
        <v>44361</v>
      </c>
      <c r="G43" s="39">
        <f>G44</f>
        <v>44478.700000000004</v>
      </c>
      <c r="H43" s="39">
        <f>H44</f>
        <v>44478.700000000004</v>
      </c>
    </row>
    <row r="44" spans="1:8">
      <c r="A44" s="16" t="s">
        <v>140</v>
      </c>
      <c r="B44" s="16" t="s">
        <v>146</v>
      </c>
      <c r="C44" s="80" t="s">
        <v>53</v>
      </c>
      <c r="D44" s="21"/>
      <c r="E44" s="105" t="s">
        <v>167</v>
      </c>
      <c r="F44" s="39">
        <f>SUM(F45:F47)</f>
        <v>44361</v>
      </c>
      <c r="G44" s="39">
        <f>SUM(G45:G47)</f>
        <v>44478.700000000004</v>
      </c>
      <c r="H44" s="39">
        <f>SUM(H45:H47)</f>
        <v>44478.700000000004</v>
      </c>
    </row>
    <row r="45" spans="1:8" ht="38.25">
      <c r="A45" s="16" t="s">
        <v>140</v>
      </c>
      <c r="B45" s="16" t="s">
        <v>146</v>
      </c>
      <c r="C45" s="80" t="s">
        <v>53</v>
      </c>
      <c r="D45" s="16" t="s">
        <v>105</v>
      </c>
      <c r="E45" s="55" t="s">
        <v>106</v>
      </c>
      <c r="F45" s="39">
        <f>41587.8-124</f>
        <v>41463.800000000003</v>
      </c>
      <c r="G45" s="39">
        <v>41587.800000000003</v>
      </c>
      <c r="H45" s="39">
        <v>41587.800000000003</v>
      </c>
    </row>
    <row r="46" spans="1:8" ht="38.25">
      <c r="A46" s="16" t="s">
        <v>140</v>
      </c>
      <c r="B46" s="16" t="s">
        <v>146</v>
      </c>
      <c r="C46" s="80" t="s">
        <v>53</v>
      </c>
      <c r="D46" s="85" t="s">
        <v>325</v>
      </c>
      <c r="E46" s="103" t="s">
        <v>326</v>
      </c>
      <c r="F46" s="39">
        <f>2846.5-7.2+99.9-93.6</f>
        <v>2845.6000000000004</v>
      </c>
      <c r="G46" s="39">
        <v>2846.5</v>
      </c>
      <c r="H46" s="39">
        <v>2846.5</v>
      </c>
    </row>
    <row r="47" spans="1:8" ht="17.25" customHeight="1">
      <c r="A47" s="16" t="s">
        <v>140</v>
      </c>
      <c r="B47" s="16" t="s">
        <v>146</v>
      </c>
      <c r="C47" s="80" t="s">
        <v>53</v>
      </c>
      <c r="D47" s="85" t="s">
        <v>183</v>
      </c>
      <c r="E47" s="103" t="s">
        <v>184</v>
      </c>
      <c r="F47" s="41">
        <f>44.4+7.2</f>
        <v>51.6</v>
      </c>
      <c r="G47" s="41">
        <v>44.4</v>
      </c>
      <c r="H47" s="41">
        <v>44.4</v>
      </c>
    </row>
    <row r="48" spans="1:8" ht="14.25">
      <c r="A48" s="35" t="s">
        <v>140</v>
      </c>
      <c r="B48" s="35" t="s">
        <v>147</v>
      </c>
      <c r="C48" s="35"/>
      <c r="D48" s="35"/>
      <c r="E48" s="46" t="s">
        <v>449</v>
      </c>
      <c r="F48" s="42">
        <f>SUM(F49)</f>
        <v>15.6</v>
      </c>
      <c r="G48" s="42">
        <f>SUM(G49)</f>
        <v>94.3</v>
      </c>
      <c r="H48" s="42">
        <f>SUM(H49)</f>
        <v>7.5</v>
      </c>
    </row>
    <row r="49" spans="1:8" ht="25.5">
      <c r="A49" s="16" t="s">
        <v>140</v>
      </c>
      <c r="B49" s="85" t="s">
        <v>147</v>
      </c>
      <c r="C49" s="80">
        <v>9900000000</v>
      </c>
      <c r="D49" s="16"/>
      <c r="E49" s="55" t="s">
        <v>202</v>
      </c>
      <c r="F49" s="39">
        <f t="shared" ref="F49:H51" si="4">F50</f>
        <v>15.6</v>
      </c>
      <c r="G49" s="39">
        <f t="shared" si="4"/>
        <v>94.3</v>
      </c>
      <c r="H49" s="39">
        <f t="shared" si="4"/>
        <v>7.5</v>
      </c>
    </row>
    <row r="50" spans="1:8" ht="25.5">
      <c r="A50" s="16" t="s">
        <v>140</v>
      </c>
      <c r="B50" s="85" t="s">
        <v>147</v>
      </c>
      <c r="C50" s="80">
        <v>9930000000</v>
      </c>
      <c r="D50" s="16"/>
      <c r="E50" s="22" t="s">
        <v>58</v>
      </c>
      <c r="F50" s="39">
        <f t="shared" si="4"/>
        <v>15.6</v>
      </c>
      <c r="G50" s="39">
        <f t="shared" si="4"/>
        <v>94.3</v>
      </c>
      <c r="H50" s="39">
        <f t="shared" si="4"/>
        <v>7.5</v>
      </c>
    </row>
    <row r="51" spans="1:8" ht="63.75">
      <c r="A51" s="16" t="s">
        <v>140</v>
      </c>
      <c r="B51" s="85" t="s">
        <v>147</v>
      </c>
      <c r="C51" s="80">
        <v>9930051200</v>
      </c>
      <c r="D51" s="16"/>
      <c r="E51" s="54" t="s">
        <v>424</v>
      </c>
      <c r="F51" s="39">
        <f t="shared" si="4"/>
        <v>15.6</v>
      </c>
      <c r="G51" s="39">
        <f t="shared" si="4"/>
        <v>94.3</v>
      </c>
      <c r="H51" s="39">
        <f t="shared" si="4"/>
        <v>7.5</v>
      </c>
    </row>
    <row r="52" spans="1:8" ht="38.25">
      <c r="A52" s="16" t="s">
        <v>140</v>
      </c>
      <c r="B52" s="85" t="s">
        <v>147</v>
      </c>
      <c r="C52" s="80">
        <v>9930051200</v>
      </c>
      <c r="D52" s="85" t="s">
        <v>325</v>
      </c>
      <c r="E52" s="103" t="s">
        <v>326</v>
      </c>
      <c r="F52" s="119">
        <v>15.6</v>
      </c>
      <c r="G52" s="119">
        <v>94.3</v>
      </c>
      <c r="H52" s="119">
        <v>7.5</v>
      </c>
    </row>
    <row r="53" spans="1:8" s="37" customFormat="1" ht="49.5" customHeight="1">
      <c r="A53" s="35" t="s">
        <v>140</v>
      </c>
      <c r="B53" s="35" t="s">
        <v>148</v>
      </c>
      <c r="C53" s="35"/>
      <c r="D53" s="35"/>
      <c r="E53" s="46" t="s">
        <v>177</v>
      </c>
      <c r="F53" s="42">
        <f>SUM(F54)</f>
        <v>10660.3</v>
      </c>
      <c r="G53" s="42">
        <f>SUM(G54)</f>
        <v>10657.3</v>
      </c>
      <c r="H53" s="42">
        <f>SUM(H54)</f>
        <v>10657.3</v>
      </c>
    </row>
    <row r="54" spans="1:8" ht="25.5">
      <c r="A54" s="16" t="s">
        <v>140</v>
      </c>
      <c r="B54" s="16" t="s">
        <v>148</v>
      </c>
      <c r="C54" s="80">
        <v>9900000000</v>
      </c>
      <c r="D54" s="16"/>
      <c r="E54" s="55" t="s">
        <v>201</v>
      </c>
      <c r="F54" s="39">
        <f>F55+F60</f>
        <v>10660.3</v>
      </c>
      <c r="G54" s="39">
        <f>G55+G60</f>
        <v>10657.3</v>
      </c>
      <c r="H54" s="39">
        <f>H55+H60</f>
        <v>10657.3</v>
      </c>
    </row>
    <row r="55" spans="1:8" ht="38.25">
      <c r="A55" s="16" t="s">
        <v>140</v>
      </c>
      <c r="B55" s="16" t="s">
        <v>148</v>
      </c>
      <c r="C55" s="80">
        <v>9980000000</v>
      </c>
      <c r="D55" s="16"/>
      <c r="E55" s="54" t="s">
        <v>38</v>
      </c>
      <c r="F55" s="39">
        <f>F56</f>
        <v>9239.1999999999989</v>
      </c>
      <c r="G55" s="39">
        <f>G56</f>
        <v>9236.1999999999989</v>
      </c>
      <c r="H55" s="39">
        <f>H56</f>
        <v>9236.1999999999989</v>
      </c>
    </row>
    <row r="56" spans="1:8">
      <c r="A56" s="16" t="s">
        <v>140</v>
      </c>
      <c r="B56" s="16" t="s">
        <v>148</v>
      </c>
      <c r="C56" s="80" t="s">
        <v>53</v>
      </c>
      <c r="D56" s="21"/>
      <c r="E56" s="105" t="s">
        <v>167</v>
      </c>
      <c r="F56" s="39">
        <f>SUM(F57:F59)</f>
        <v>9239.1999999999989</v>
      </c>
      <c r="G56" s="39">
        <f t="shared" ref="G56:H56" si="5">SUM(G57:G59)</f>
        <v>9236.1999999999989</v>
      </c>
      <c r="H56" s="39">
        <f t="shared" si="5"/>
        <v>9236.1999999999989</v>
      </c>
    </row>
    <row r="57" spans="1:8" ht="38.25">
      <c r="A57" s="16" t="s">
        <v>140</v>
      </c>
      <c r="B57" s="16" t="s">
        <v>148</v>
      </c>
      <c r="C57" s="80" t="s">
        <v>53</v>
      </c>
      <c r="D57" s="16" t="s">
        <v>105</v>
      </c>
      <c r="E57" s="108" t="s">
        <v>106</v>
      </c>
      <c r="F57" s="39">
        <v>8788.2999999999993</v>
      </c>
      <c r="G57" s="39">
        <v>8788.2999999999993</v>
      </c>
      <c r="H57" s="39">
        <v>8788.2999999999993</v>
      </c>
    </row>
    <row r="58" spans="1:8" ht="38.25">
      <c r="A58" s="16" t="s">
        <v>140</v>
      </c>
      <c r="B58" s="16" t="s">
        <v>148</v>
      </c>
      <c r="C58" s="80" t="s">
        <v>53</v>
      </c>
      <c r="D58" s="85" t="s">
        <v>325</v>
      </c>
      <c r="E58" s="103" t="s">
        <v>326</v>
      </c>
      <c r="F58" s="39">
        <v>447.9</v>
      </c>
      <c r="G58" s="39">
        <v>447.9</v>
      </c>
      <c r="H58" s="39">
        <v>447.9</v>
      </c>
    </row>
    <row r="59" spans="1:8">
      <c r="A59" s="16" t="s">
        <v>140</v>
      </c>
      <c r="B59" s="16" t="s">
        <v>148</v>
      </c>
      <c r="C59" s="80" t="s">
        <v>53</v>
      </c>
      <c r="D59" s="85" t="s">
        <v>475</v>
      </c>
      <c r="E59" s="103" t="s">
        <v>476</v>
      </c>
      <c r="F59" s="39">
        <v>3</v>
      </c>
      <c r="G59" s="39">
        <v>0</v>
      </c>
      <c r="H59" s="39">
        <v>0</v>
      </c>
    </row>
    <row r="60" spans="1:8" ht="38.25">
      <c r="A60" s="16" t="s">
        <v>140</v>
      </c>
      <c r="B60" s="16" t="s">
        <v>148</v>
      </c>
      <c r="C60" s="80">
        <v>9990000000</v>
      </c>
      <c r="D60" s="16"/>
      <c r="E60" s="54" t="s">
        <v>37</v>
      </c>
      <c r="F60" s="39">
        <f>F61</f>
        <v>1421.1</v>
      </c>
      <c r="G60" s="39">
        <f>G61</f>
        <v>1421.1</v>
      </c>
      <c r="H60" s="39">
        <f>H61</f>
        <v>1421.1</v>
      </c>
    </row>
    <row r="61" spans="1:8" ht="25.5">
      <c r="A61" s="16" t="s">
        <v>140</v>
      </c>
      <c r="B61" s="16" t="s">
        <v>148</v>
      </c>
      <c r="C61" s="80" t="s">
        <v>52</v>
      </c>
      <c r="D61" s="21"/>
      <c r="E61" s="160" t="s">
        <v>302</v>
      </c>
      <c r="F61" s="41">
        <f>F62+F63</f>
        <v>1421.1</v>
      </c>
      <c r="G61" s="41">
        <f>G62+G63</f>
        <v>1421.1</v>
      </c>
      <c r="H61" s="41">
        <f>H62+H63</f>
        <v>1421.1</v>
      </c>
    </row>
    <row r="62" spans="1:8" ht="38.25">
      <c r="A62" s="16" t="s">
        <v>140</v>
      </c>
      <c r="B62" s="16" t="s">
        <v>148</v>
      </c>
      <c r="C62" s="80" t="s">
        <v>52</v>
      </c>
      <c r="D62" s="16" t="s">
        <v>105</v>
      </c>
      <c r="E62" s="160" t="s">
        <v>130</v>
      </c>
      <c r="F62" s="39">
        <v>1417.6</v>
      </c>
      <c r="G62" s="39">
        <v>1417.6</v>
      </c>
      <c r="H62" s="39">
        <v>1417.6</v>
      </c>
    </row>
    <row r="63" spans="1:8" ht="38.25">
      <c r="A63" s="16" t="s">
        <v>140</v>
      </c>
      <c r="B63" s="16" t="s">
        <v>148</v>
      </c>
      <c r="C63" s="80" t="s">
        <v>52</v>
      </c>
      <c r="D63" s="85" t="s">
        <v>325</v>
      </c>
      <c r="E63" s="103" t="s">
        <v>326</v>
      </c>
      <c r="F63" s="39">
        <v>3.5</v>
      </c>
      <c r="G63" s="39">
        <v>3.5</v>
      </c>
      <c r="H63" s="39">
        <v>3.5</v>
      </c>
    </row>
    <row r="64" spans="1:8" ht="25.5">
      <c r="A64" s="35" t="s">
        <v>140</v>
      </c>
      <c r="B64" s="35" t="s">
        <v>156</v>
      </c>
      <c r="C64" s="35"/>
      <c r="D64" s="35"/>
      <c r="E64" s="173" t="s">
        <v>718</v>
      </c>
      <c r="F64" s="42">
        <f t="shared" ref="F64:H66" si="6">F65</f>
        <v>1844.8</v>
      </c>
      <c r="G64" s="42">
        <f t="shared" si="6"/>
        <v>0</v>
      </c>
      <c r="H64" s="42">
        <f t="shared" si="6"/>
        <v>0</v>
      </c>
    </row>
    <row r="65" spans="1:8" ht="38.25">
      <c r="A65" s="16" t="s">
        <v>140</v>
      </c>
      <c r="B65" s="85" t="s">
        <v>156</v>
      </c>
      <c r="C65" s="16" t="s">
        <v>32</v>
      </c>
      <c r="D65" s="16"/>
      <c r="E65" s="105" t="s">
        <v>56</v>
      </c>
      <c r="F65" s="99">
        <f t="shared" si="6"/>
        <v>1844.8</v>
      </c>
      <c r="G65" s="42">
        <f t="shared" si="6"/>
        <v>0</v>
      </c>
      <c r="H65" s="42">
        <f t="shared" si="6"/>
        <v>0</v>
      </c>
    </row>
    <row r="66" spans="1:8" ht="25.5">
      <c r="A66" s="16" t="s">
        <v>140</v>
      </c>
      <c r="B66" s="85" t="s">
        <v>156</v>
      </c>
      <c r="C66" s="80" t="s">
        <v>717</v>
      </c>
      <c r="D66" s="21"/>
      <c r="E66" s="165" t="s">
        <v>718</v>
      </c>
      <c r="F66" s="39">
        <f t="shared" si="6"/>
        <v>1844.8</v>
      </c>
      <c r="G66" s="39">
        <f t="shared" si="6"/>
        <v>0</v>
      </c>
      <c r="H66" s="39">
        <f t="shared" si="6"/>
        <v>0</v>
      </c>
    </row>
    <row r="67" spans="1:8">
      <c r="A67" s="16" t="s">
        <v>140</v>
      </c>
      <c r="B67" s="85" t="s">
        <v>156</v>
      </c>
      <c r="C67" s="80" t="s">
        <v>717</v>
      </c>
      <c r="D67" s="85" t="s">
        <v>723</v>
      </c>
      <c r="E67" s="103" t="s">
        <v>724</v>
      </c>
      <c r="F67" s="39">
        <v>1844.8</v>
      </c>
      <c r="G67" s="39">
        <v>0</v>
      </c>
      <c r="H67" s="39">
        <v>0</v>
      </c>
    </row>
    <row r="68" spans="1:8" ht="14.25">
      <c r="A68" s="35" t="s">
        <v>140</v>
      </c>
      <c r="B68" s="35" t="s">
        <v>154</v>
      </c>
      <c r="C68" s="35"/>
      <c r="D68" s="35"/>
      <c r="E68" s="27" t="s">
        <v>5</v>
      </c>
      <c r="F68" s="42">
        <f t="shared" ref="F68:H70" si="7">F69</f>
        <v>150</v>
      </c>
      <c r="G68" s="42">
        <f t="shared" si="7"/>
        <v>250</v>
      </c>
      <c r="H68" s="42">
        <f t="shared" si="7"/>
        <v>250</v>
      </c>
    </row>
    <row r="69" spans="1:8" ht="14.25">
      <c r="A69" s="16" t="s">
        <v>140</v>
      </c>
      <c r="B69" s="16" t="s">
        <v>154</v>
      </c>
      <c r="C69" s="80">
        <v>9920000000</v>
      </c>
      <c r="D69" s="35"/>
      <c r="E69" s="168" t="s">
        <v>5</v>
      </c>
      <c r="F69" s="42">
        <f t="shared" si="7"/>
        <v>150</v>
      </c>
      <c r="G69" s="42">
        <f t="shared" si="7"/>
        <v>250</v>
      </c>
      <c r="H69" s="42">
        <f t="shared" si="7"/>
        <v>250</v>
      </c>
    </row>
    <row r="70" spans="1:8" ht="25.5">
      <c r="A70" s="16" t="s">
        <v>140</v>
      </c>
      <c r="B70" s="16" t="s">
        <v>154</v>
      </c>
      <c r="C70" s="80" t="s">
        <v>54</v>
      </c>
      <c r="D70" s="21"/>
      <c r="E70" s="22" t="s">
        <v>13</v>
      </c>
      <c r="F70" s="39">
        <f t="shared" si="7"/>
        <v>150</v>
      </c>
      <c r="G70" s="39">
        <f t="shared" si="7"/>
        <v>250</v>
      </c>
      <c r="H70" s="39">
        <f t="shared" si="7"/>
        <v>250</v>
      </c>
    </row>
    <row r="71" spans="1:8">
      <c r="A71" s="16" t="s">
        <v>140</v>
      </c>
      <c r="B71" s="16" t="s">
        <v>154</v>
      </c>
      <c r="C71" s="80" t="s">
        <v>54</v>
      </c>
      <c r="D71" s="16" t="s">
        <v>136</v>
      </c>
      <c r="E71" s="103" t="s">
        <v>137</v>
      </c>
      <c r="F71" s="39">
        <f>250-50-50</f>
        <v>150</v>
      </c>
      <c r="G71" s="39">
        <v>250</v>
      </c>
      <c r="H71" s="39">
        <v>250</v>
      </c>
    </row>
    <row r="72" spans="1:8" s="32" customFormat="1" ht="14.25">
      <c r="A72" s="30" t="s">
        <v>140</v>
      </c>
      <c r="B72" s="30" t="s">
        <v>9</v>
      </c>
      <c r="C72" s="33"/>
      <c r="D72" s="33"/>
      <c r="E72" s="45" t="s">
        <v>149</v>
      </c>
      <c r="F72" s="40">
        <f>F73+F86+F94</f>
        <v>53833.7</v>
      </c>
      <c r="G72" s="40">
        <f>G73+G94</f>
        <v>38755.5</v>
      </c>
      <c r="H72" s="40">
        <f>H73+H94</f>
        <v>38757.399999999994</v>
      </c>
    </row>
    <row r="73" spans="1:8" s="32" customFormat="1" ht="63.75">
      <c r="A73" s="16" t="s">
        <v>140</v>
      </c>
      <c r="B73" s="16" t="s">
        <v>9</v>
      </c>
      <c r="C73" s="73" t="s">
        <v>114</v>
      </c>
      <c r="D73" s="16"/>
      <c r="E73" s="53" t="s">
        <v>553</v>
      </c>
      <c r="F73" s="101">
        <f>F74</f>
        <v>9729.6999999999989</v>
      </c>
      <c r="G73" s="101">
        <f t="shared" ref="G73:H73" si="8">G74</f>
        <v>4388</v>
      </c>
      <c r="H73" s="101">
        <f t="shared" si="8"/>
        <v>4388</v>
      </c>
    </row>
    <row r="74" spans="1:8" s="32" customFormat="1" ht="38.25">
      <c r="A74" s="16" t="s">
        <v>140</v>
      </c>
      <c r="B74" s="16" t="s">
        <v>9</v>
      </c>
      <c r="C74" s="52" t="s">
        <v>115</v>
      </c>
      <c r="D74" s="16"/>
      <c r="E74" s="48" t="s">
        <v>226</v>
      </c>
      <c r="F74" s="98">
        <f>F75+F77+F79+F81+F84</f>
        <v>9729.6999999999989</v>
      </c>
      <c r="G74" s="98">
        <f t="shared" ref="G74:H74" si="9">G75+G77+G79+G81</f>
        <v>4388</v>
      </c>
      <c r="H74" s="98">
        <f t="shared" si="9"/>
        <v>4388</v>
      </c>
    </row>
    <row r="75" spans="1:8" s="32" customFormat="1" ht="38.25">
      <c r="A75" s="16" t="s">
        <v>140</v>
      </c>
      <c r="B75" s="16" t="s">
        <v>9</v>
      </c>
      <c r="C75" s="85" t="s">
        <v>228</v>
      </c>
      <c r="D75" s="16"/>
      <c r="E75" s="102" t="s">
        <v>227</v>
      </c>
      <c r="F75" s="41">
        <f>F76</f>
        <v>250</v>
      </c>
      <c r="G75" s="41">
        <f>G76</f>
        <v>250</v>
      </c>
      <c r="H75" s="41">
        <f>H76</f>
        <v>250</v>
      </c>
    </row>
    <row r="76" spans="1:8" s="32" customFormat="1" ht="38.25">
      <c r="A76" s="16" t="s">
        <v>140</v>
      </c>
      <c r="B76" s="16" t="s">
        <v>9</v>
      </c>
      <c r="C76" s="85" t="s">
        <v>228</v>
      </c>
      <c r="D76" s="85" t="s">
        <v>325</v>
      </c>
      <c r="E76" s="103" t="s">
        <v>326</v>
      </c>
      <c r="F76" s="41">
        <v>250</v>
      </c>
      <c r="G76" s="41">
        <v>250</v>
      </c>
      <c r="H76" s="41">
        <v>250</v>
      </c>
    </row>
    <row r="77" spans="1:8" s="32" customFormat="1" ht="51">
      <c r="A77" s="16" t="s">
        <v>140</v>
      </c>
      <c r="B77" s="16" t="s">
        <v>9</v>
      </c>
      <c r="C77" s="74" t="s">
        <v>116</v>
      </c>
      <c r="D77" s="16"/>
      <c r="E77" s="102" t="s">
        <v>229</v>
      </c>
      <c r="F77" s="41">
        <f>F78</f>
        <v>122.5</v>
      </c>
      <c r="G77" s="41">
        <f>G78</f>
        <v>100</v>
      </c>
      <c r="H77" s="41">
        <f>H78</f>
        <v>100</v>
      </c>
    </row>
    <row r="78" spans="1:8" s="32" customFormat="1" ht="38.25">
      <c r="A78" s="16" t="s">
        <v>140</v>
      </c>
      <c r="B78" s="16" t="s">
        <v>9</v>
      </c>
      <c r="C78" s="74" t="s">
        <v>116</v>
      </c>
      <c r="D78" s="85" t="s">
        <v>325</v>
      </c>
      <c r="E78" s="103" t="s">
        <v>326</v>
      </c>
      <c r="F78" s="41">
        <f>100+19+3.5</f>
        <v>122.5</v>
      </c>
      <c r="G78" s="41">
        <v>100</v>
      </c>
      <c r="H78" s="41">
        <v>100</v>
      </c>
    </row>
    <row r="79" spans="1:8" s="32" customFormat="1" ht="76.5">
      <c r="A79" s="16" t="s">
        <v>140</v>
      </c>
      <c r="B79" s="16" t="s">
        <v>9</v>
      </c>
      <c r="C79" s="74" t="s">
        <v>117</v>
      </c>
      <c r="D79" s="16"/>
      <c r="E79" s="102" t="s">
        <v>230</v>
      </c>
      <c r="F79" s="41">
        <f>F80</f>
        <v>130.5</v>
      </c>
      <c r="G79" s="41">
        <f>G80</f>
        <v>110</v>
      </c>
      <c r="H79" s="41">
        <f>H80</f>
        <v>110</v>
      </c>
    </row>
    <row r="80" spans="1:8" s="32" customFormat="1" ht="38.25">
      <c r="A80" s="16" t="s">
        <v>140</v>
      </c>
      <c r="B80" s="16" t="s">
        <v>9</v>
      </c>
      <c r="C80" s="74" t="s">
        <v>117</v>
      </c>
      <c r="D80" s="85" t="s">
        <v>325</v>
      </c>
      <c r="E80" s="103" t="s">
        <v>326</v>
      </c>
      <c r="F80" s="41">
        <f>134-3.5</f>
        <v>130.5</v>
      </c>
      <c r="G80" s="41">
        <v>110</v>
      </c>
      <c r="H80" s="41">
        <v>110</v>
      </c>
    </row>
    <row r="81" spans="1:8" s="32" customFormat="1" ht="38.25">
      <c r="A81" s="16" t="s">
        <v>140</v>
      </c>
      <c r="B81" s="16" t="s">
        <v>9</v>
      </c>
      <c r="C81" s="74" t="s">
        <v>118</v>
      </c>
      <c r="D81" s="16"/>
      <c r="E81" s="102" t="s">
        <v>231</v>
      </c>
      <c r="F81" s="41">
        <f>SUM(F82:F83)</f>
        <v>8600.6999999999989</v>
      </c>
      <c r="G81" s="41">
        <f>SUM(G82:G82)</f>
        <v>3928</v>
      </c>
      <c r="H81" s="41">
        <f>SUM(H82:H82)</f>
        <v>3928</v>
      </c>
    </row>
    <row r="82" spans="1:8" s="32" customFormat="1" ht="38.25">
      <c r="A82" s="16" t="s">
        <v>140</v>
      </c>
      <c r="B82" s="16" t="s">
        <v>9</v>
      </c>
      <c r="C82" s="74" t="s">
        <v>118</v>
      </c>
      <c r="D82" s="85" t="s">
        <v>325</v>
      </c>
      <c r="E82" s="103" t="s">
        <v>326</v>
      </c>
      <c r="F82" s="41">
        <f>5444.5+1424.7-36.6+120-28+969.7-10.7+323.6+300</f>
        <v>8507.1999999999989</v>
      </c>
      <c r="G82" s="41">
        <v>3928</v>
      </c>
      <c r="H82" s="41">
        <v>3928</v>
      </c>
    </row>
    <row r="83" spans="1:8" s="32" customFormat="1" ht="17.25" customHeight="1">
      <c r="A83" s="16" t="s">
        <v>140</v>
      </c>
      <c r="B83" s="16" t="s">
        <v>9</v>
      </c>
      <c r="C83" s="74" t="s">
        <v>118</v>
      </c>
      <c r="D83" s="85" t="s">
        <v>183</v>
      </c>
      <c r="E83" s="179" t="s">
        <v>184</v>
      </c>
      <c r="F83" s="41">
        <f>36.6+28+10.7+18.2</f>
        <v>93.5</v>
      </c>
      <c r="G83" s="41">
        <v>0</v>
      </c>
      <c r="H83" s="41">
        <v>0</v>
      </c>
    </row>
    <row r="84" spans="1:8" s="32" customFormat="1" ht="42" customHeight="1">
      <c r="A84" s="85" t="s">
        <v>140</v>
      </c>
      <c r="B84" s="85" t="s">
        <v>9</v>
      </c>
      <c r="C84" s="74" t="s">
        <v>962</v>
      </c>
      <c r="D84" s="84"/>
      <c r="E84" s="103" t="s">
        <v>963</v>
      </c>
      <c r="F84" s="41">
        <f>SUM(F85)</f>
        <v>626</v>
      </c>
      <c r="G84" s="41">
        <f t="shared" ref="G84:H84" si="10">SUM(G85)</f>
        <v>0</v>
      </c>
      <c r="H84" s="41">
        <f t="shared" si="10"/>
        <v>0</v>
      </c>
    </row>
    <row r="85" spans="1:8" s="32" customFormat="1" ht="63.75" customHeight="1">
      <c r="A85" s="85" t="s">
        <v>140</v>
      </c>
      <c r="B85" s="85" t="s">
        <v>9</v>
      </c>
      <c r="C85" s="74" t="s">
        <v>962</v>
      </c>
      <c r="D85" s="84" t="s">
        <v>15</v>
      </c>
      <c r="E85" s="103" t="s">
        <v>663</v>
      </c>
      <c r="F85" s="41">
        <v>626</v>
      </c>
      <c r="G85" s="41">
        <v>0</v>
      </c>
      <c r="H85" s="41">
        <v>0</v>
      </c>
    </row>
    <row r="86" spans="1:8" s="32" customFormat="1" ht="63.75">
      <c r="A86" s="5" t="s">
        <v>140</v>
      </c>
      <c r="B86" s="5" t="s">
        <v>9</v>
      </c>
      <c r="C86" s="73" t="s">
        <v>87</v>
      </c>
      <c r="D86" s="16"/>
      <c r="E86" s="53" t="s">
        <v>550</v>
      </c>
      <c r="F86" s="125">
        <f>F87</f>
        <v>1199.5999999999999</v>
      </c>
      <c r="G86" s="125">
        <f t="shared" ref="G86:H87" si="11">G87</f>
        <v>0</v>
      </c>
      <c r="H86" s="125">
        <f t="shared" si="11"/>
        <v>0</v>
      </c>
    </row>
    <row r="87" spans="1:8" s="32" customFormat="1" ht="52.5" customHeight="1">
      <c r="A87" s="16" t="s">
        <v>140</v>
      </c>
      <c r="B87" s="16" t="s">
        <v>9</v>
      </c>
      <c r="C87" s="52" t="s">
        <v>778</v>
      </c>
      <c r="D87" s="16"/>
      <c r="E87" s="60" t="s">
        <v>779</v>
      </c>
      <c r="F87" s="98">
        <f>F88+F90+F92</f>
        <v>1199.5999999999999</v>
      </c>
      <c r="G87" s="98">
        <f t="shared" si="11"/>
        <v>0</v>
      </c>
      <c r="H87" s="98">
        <f t="shared" si="11"/>
        <v>0</v>
      </c>
    </row>
    <row r="88" spans="1:8" s="32" customFormat="1" ht="80.25" customHeight="1">
      <c r="A88" s="16" t="s">
        <v>140</v>
      </c>
      <c r="B88" s="16" t="s">
        <v>9</v>
      </c>
      <c r="C88" s="21" t="s">
        <v>840</v>
      </c>
      <c r="D88" s="85"/>
      <c r="E88" s="103" t="s">
        <v>845</v>
      </c>
      <c r="F88" s="41">
        <f>F89</f>
        <v>539.6</v>
      </c>
      <c r="G88" s="41">
        <f>G89</f>
        <v>0</v>
      </c>
      <c r="H88" s="41">
        <f>H89</f>
        <v>0</v>
      </c>
    </row>
    <row r="89" spans="1:8" s="32" customFormat="1" ht="38.25">
      <c r="A89" s="16" t="s">
        <v>140</v>
      </c>
      <c r="B89" s="16" t="s">
        <v>9</v>
      </c>
      <c r="C89" s="21" t="s">
        <v>840</v>
      </c>
      <c r="D89" s="85" t="s">
        <v>325</v>
      </c>
      <c r="E89" s="103" t="s">
        <v>326</v>
      </c>
      <c r="F89" s="41">
        <f>525.7+132+1-143+2.5+21.4</f>
        <v>539.6</v>
      </c>
      <c r="G89" s="41">
        <v>0</v>
      </c>
      <c r="H89" s="39">
        <v>0</v>
      </c>
    </row>
    <row r="90" spans="1:8" s="32" customFormat="1" ht="63" customHeight="1">
      <c r="A90" s="16" t="s">
        <v>140</v>
      </c>
      <c r="B90" s="16" t="s">
        <v>9</v>
      </c>
      <c r="C90" s="21" t="s">
        <v>841</v>
      </c>
      <c r="D90" s="85"/>
      <c r="E90" s="54" t="s">
        <v>847</v>
      </c>
      <c r="F90" s="41">
        <f>F91</f>
        <v>650</v>
      </c>
      <c r="G90" s="41">
        <f t="shared" ref="G90:H90" si="12">G91</f>
        <v>0</v>
      </c>
      <c r="H90" s="41">
        <f t="shared" si="12"/>
        <v>0</v>
      </c>
    </row>
    <row r="91" spans="1:8" s="32" customFormat="1" ht="38.25">
      <c r="A91" s="16" t="s">
        <v>140</v>
      </c>
      <c r="B91" s="16" t="s">
        <v>9</v>
      </c>
      <c r="C91" s="21" t="s">
        <v>841</v>
      </c>
      <c r="D91" s="85" t="s">
        <v>325</v>
      </c>
      <c r="E91" s="103" t="s">
        <v>326</v>
      </c>
      <c r="F91" s="41">
        <v>650</v>
      </c>
      <c r="G91" s="41">
        <v>0</v>
      </c>
      <c r="H91" s="41">
        <v>0</v>
      </c>
    </row>
    <row r="92" spans="1:8" s="32" customFormat="1" ht="87.75" customHeight="1">
      <c r="A92" s="16" t="s">
        <v>140</v>
      </c>
      <c r="B92" s="16" t="s">
        <v>9</v>
      </c>
      <c r="C92" s="21" t="s">
        <v>842</v>
      </c>
      <c r="D92" s="85"/>
      <c r="E92" s="184" t="s">
        <v>843</v>
      </c>
      <c r="F92" s="41">
        <f>F93</f>
        <v>10</v>
      </c>
      <c r="G92" s="41">
        <f t="shared" ref="G92:H92" si="13">G93</f>
        <v>0</v>
      </c>
      <c r="H92" s="41">
        <f t="shared" si="13"/>
        <v>0</v>
      </c>
    </row>
    <row r="93" spans="1:8" s="32" customFormat="1" ht="38.25">
      <c r="A93" s="16" t="s">
        <v>140</v>
      </c>
      <c r="B93" s="16" t="s">
        <v>9</v>
      </c>
      <c r="C93" s="21" t="s">
        <v>842</v>
      </c>
      <c r="D93" s="85" t="s">
        <v>325</v>
      </c>
      <c r="E93" s="103" t="s">
        <v>326</v>
      </c>
      <c r="F93" s="41">
        <v>10</v>
      </c>
      <c r="G93" s="41">
        <v>0</v>
      </c>
      <c r="H93" s="41">
        <v>0</v>
      </c>
    </row>
    <row r="94" spans="1:8" s="32" customFormat="1" ht="25.5">
      <c r="A94" s="5" t="s">
        <v>140</v>
      </c>
      <c r="B94" s="5" t="s">
        <v>9</v>
      </c>
      <c r="C94" s="87">
        <v>9900000000</v>
      </c>
      <c r="D94" s="5"/>
      <c r="E94" s="88" t="s">
        <v>201</v>
      </c>
      <c r="F94" s="101">
        <f>F95+F106+F101+F115</f>
        <v>42904.4</v>
      </c>
      <c r="G94" s="101">
        <f>G95+G106+G101+G115</f>
        <v>34367.5</v>
      </c>
      <c r="H94" s="101">
        <f>H95+H106+H101+H115</f>
        <v>34369.399999999994</v>
      </c>
    </row>
    <row r="95" spans="1:8" s="32" customFormat="1" ht="25.5">
      <c r="A95" s="16" t="s">
        <v>140</v>
      </c>
      <c r="B95" s="16" t="s">
        <v>9</v>
      </c>
      <c r="C95" s="80">
        <v>9930000000</v>
      </c>
      <c r="D95" s="16"/>
      <c r="E95" s="22" t="s">
        <v>58</v>
      </c>
      <c r="F95" s="39">
        <f>F96+F99</f>
        <v>765.2</v>
      </c>
      <c r="G95" s="39">
        <f t="shared" ref="G95:H95" si="14">G96+G99</f>
        <v>201.70000000000002</v>
      </c>
      <c r="H95" s="39">
        <f t="shared" si="14"/>
        <v>203.60000000000002</v>
      </c>
    </row>
    <row r="96" spans="1:8" s="32" customFormat="1" ht="38.25">
      <c r="A96" s="16" t="s">
        <v>140</v>
      </c>
      <c r="B96" s="16" t="s">
        <v>9</v>
      </c>
      <c r="C96" s="80">
        <v>9930010540</v>
      </c>
      <c r="D96" s="16"/>
      <c r="E96" s="22" t="s">
        <v>21</v>
      </c>
      <c r="F96" s="39">
        <f>F97+F98</f>
        <v>199.8</v>
      </c>
      <c r="G96" s="39">
        <f>G97+G98</f>
        <v>201.70000000000002</v>
      </c>
      <c r="H96" s="39">
        <f>H97+H98</f>
        <v>203.60000000000002</v>
      </c>
    </row>
    <row r="97" spans="1:8" s="32" customFormat="1" ht="38.25">
      <c r="A97" s="16" t="s">
        <v>140</v>
      </c>
      <c r="B97" s="16" t="s">
        <v>9</v>
      </c>
      <c r="C97" s="80">
        <v>9930010540</v>
      </c>
      <c r="D97" s="16" t="s">
        <v>105</v>
      </c>
      <c r="E97" s="108" t="s">
        <v>106</v>
      </c>
      <c r="F97" s="39">
        <v>171.3</v>
      </c>
      <c r="G97" s="39">
        <v>171.3</v>
      </c>
      <c r="H97" s="39">
        <v>171.3</v>
      </c>
    </row>
    <row r="98" spans="1:8" s="32" customFormat="1" ht="38.25">
      <c r="A98" s="16" t="s">
        <v>140</v>
      </c>
      <c r="B98" s="16" t="s">
        <v>9</v>
      </c>
      <c r="C98" s="80">
        <v>9930010540</v>
      </c>
      <c r="D98" s="85" t="s">
        <v>325</v>
      </c>
      <c r="E98" s="103" t="s">
        <v>326</v>
      </c>
      <c r="F98" s="39">
        <v>28.5</v>
      </c>
      <c r="G98" s="39">
        <v>30.4</v>
      </c>
      <c r="H98" s="39">
        <v>32.299999999999997</v>
      </c>
    </row>
    <row r="99" spans="1:8" s="32" customFormat="1" ht="38.25">
      <c r="A99" s="16" t="s">
        <v>140</v>
      </c>
      <c r="B99" s="16" t="s">
        <v>9</v>
      </c>
      <c r="C99" s="80">
        <v>9930054690</v>
      </c>
      <c r="D99" s="85"/>
      <c r="E99" s="103" t="s">
        <v>742</v>
      </c>
      <c r="F99" s="39">
        <f>F100</f>
        <v>565.4</v>
      </c>
      <c r="G99" s="39">
        <f t="shared" ref="G99:H99" si="15">G100</f>
        <v>0</v>
      </c>
      <c r="H99" s="39">
        <f t="shared" si="15"/>
        <v>0</v>
      </c>
    </row>
    <row r="100" spans="1:8" s="32" customFormat="1" ht="38.25">
      <c r="A100" s="16" t="s">
        <v>140</v>
      </c>
      <c r="B100" s="16" t="s">
        <v>9</v>
      </c>
      <c r="C100" s="80">
        <v>9930054690</v>
      </c>
      <c r="D100" s="85" t="s">
        <v>325</v>
      </c>
      <c r="E100" s="103" t="s">
        <v>326</v>
      </c>
      <c r="F100" s="39">
        <f>577.4-12</f>
        <v>565.4</v>
      </c>
      <c r="G100" s="39">
        <v>0</v>
      </c>
      <c r="H100" s="39">
        <v>0</v>
      </c>
    </row>
    <row r="101" spans="1:8" s="32" customFormat="1" ht="38.25">
      <c r="A101" s="16" t="s">
        <v>140</v>
      </c>
      <c r="B101" s="16" t="s">
        <v>9</v>
      </c>
      <c r="C101" s="16" t="s">
        <v>32</v>
      </c>
      <c r="D101" s="16"/>
      <c r="E101" s="105" t="s">
        <v>56</v>
      </c>
      <c r="F101" s="39">
        <f>F102</f>
        <v>2728.4</v>
      </c>
      <c r="G101" s="39">
        <f t="shared" ref="G101:H101" si="16">G102</f>
        <v>1202</v>
      </c>
      <c r="H101" s="39">
        <f t="shared" si="16"/>
        <v>1202</v>
      </c>
    </row>
    <row r="102" spans="1:8" s="32" customFormat="1" ht="25.5">
      <c r="A102" s="16" t="s">
        <v>140</v>
      </c>
      <c r="B102" s="16" t="s">
        <v>9</v>
      </c>
      <c r="C102" s="84" t="s">
        <v>293</v>
      </c>
      <c r="D102" s="16"/>
      <c r="E102" s="105" t="s">
        <v>57</v>
      </c>
      <c r="F102" s="39">
        <f>SUM(F103:F105)</f>
        <v>2728.4</v>
      </c>
      <c r="G102" s="39">
        <f>SUM(G103:G105)</f>
        <v>1202</v>
      </c>
      <c r="H102" s="39">
        <f>SUM(H103:H105)</f>
        <v>1202</v>
      </c>
    </row>
    <row r="103" spans="1:8" s="32" customFormat="1" ht="38.25">
      <c r="A103" s="16" t="s">
        <v>140</v>
      </c>
      <c r="B103" s="16" t="s">
        <v>9</v>
      </c>
      <c r="C103" s="84" t="s">
        <v>293</v>
      </c>
      <c r="D103" s="85" t="s">
        <v>325</v>
      </c>
      <c r="E103" s="103" t="s">
        <v>326</v>
      </c>
      <c r="F103" s="39">
        <v>241</v>
      </c>
      <c r="G103" s="39">
        <v>241</v>
      </c>
      <c r="H103" s="39">
        <v>241</v>
      </c>
    </row>
    <row r="104" spans="1:8" s="32" customFormat="1" ht="14.25">
      <c r="A104" s="16" t="s">
        <v>140</v>
      </c>
      <c r="B104" s="16" t="s">
        <v>9</v>
      </c>
      <c r="C104" s="84" t="s">
        <v>293</v>
      </c>
      <c r="D104" s="16" t="s">
        <v>133</v>
      </c>
      <c r="E104" s="103" t="s">
        <v>134</v>
      </c>
      <c r="F104" s="39">
        <f>359-101</f>
        <v>258</v>
      </c>
      <c r="G104" s="39">
        <v>359</v>
      </c>
      <c r="H104" s="39">
        <v>359</v>
      </c>
    </row>
    <row r="105" spans="1:8" s="32" customFormat="1" ht="15" customHeight="1">
      <c r="A105" s="16" t="s">
        <v>140</v>
      </c>
      <c r="B105" s="16" t="s">
        <v>9</v>
      </c>
      <c r="C105" s="84" t="s">
        <v>293</v>
      </c>
      <c r="D105" s="84" t="s">
        <v>183</v>
      </c>
      <c r="E105" s="103" t="s">
        <v>184</v>
      </c>
      <c r="F105" s="39">
        <f>602+127.4+750+350+300+100</f>
        <v>2229.4</v>
      </c>
      <c r="G105" s="39">
        <v>602</v>
      </c>
      <c r="H105" s="39">
        <v>602</v>
      </c>
    </row>
    <row r="106" spans="1:8" s="32" customFormat="1" ht="25.5">
      <c r="A106" s="16" t="s">
        <v>140</v>
      </c>
      <c r="B106" s="16" t="s">
        <v>9</v>
      </c>
      <c r="C106" s="85" t="s">
        <v>290</v>
      </c>
      <c r="D106" s="16"/>
      <c r="E106" s="105" t="s">
        <v>291</v>
      </c>
      <c r="F106" s="39">
        <f>F107+F111</f>
        <v>38893.300000000003</v>
      </c>
      <c r="G106" s="39">
        <f>G107+G111</f>
        <v>32446.3</v>
      </c>
      <c r="H106" s="39">
        <f>H107+H111</f>
        <v>32446.3</v>
      </c>
    </row>
    <row r="107" spans="1:8" s="32" customFormat="1" ht="38.25">
      <c r="A107" s="16" t="s">
        <v>140</v>
      </c>
      <c r="B107" s="16" t="s">
        <v>9</v>
      </c>
      <c r="C107" s="21" t="s">
        <v>292</v>
      </c>
      <c r="D107" s="47"/>
      <c r="E107" s="54" t="s">
        <v>433</v>
      </c>
      <c r="F107" s="41">
        <f>SUM(F108:F110)</f>
        <v>8869.2000000000007</v>
      </c>
      <c r="G107" s="41">
        <f t="shared" ref="G107:H107" si="17">SUM(G108:G110)</f>
        <v>8869.2000000000007</v>
      </c>
      <c r="H107" s="41">
        <f t="shared" si="17"/>
        <v>8869.2000000000007</v>
      </c>
    </row>
    <row r="108" spans="1:8" s="32" customFormat="1" ht="25.5">
      <c r="A108" s="16" t="s">
        <v>140</v>
      </c>
      <c r="B108" s="16" t="s">
        <v>9</v>
      </c>
      <c r="C108" s="21" t="s">
        <v>292</v>
      </c>
      <c r="D108" s="16" t="s">
        <v>107</v>
      </c>
      <c r="E108" s="108" t="s">
        <v>182</v>
      </c>
      <c r="F108" s="41">
        <v>8108.8</v>
      </c>
      <c r="G108" s="41">
        <v>8108.8</v>
      </c>
      <c r="H108" s="41">
        <v>8108.8</v>
      </c>
    </row>
    <row r="109" spans="1:8" s="32" customFormat="1" ht="38.25">
      <c r="A109" s="16" t="s">
        <v>140</v>
      </c>
      <c r="B109" s="16" t="s">
        <v>9</v>
      </c>
      <c r="C109" s="21" t="s">
        <v>292</v>
      </c>
      <c r="D109" s="85" t="s">
        <v>325</v>
      </c>
      <c r="E109" s="103" t="s">
        <v>326</v>
      </c>
      <c r="F109" s="41">
        <f>760.4-2.2</f>
        <v>758.19999999999993</v>
      </c>
      <c r="G109" s="41">
        <v>760.4</v>
      </c>
      <c r="H109" s="41">
        <v>760.4</v>
      </c>
    </row>
    <row r="110" spans="1:8" s="32" customFormat="1" ht="16.5" customHeight="1">
      <c r="A110" s="16" t="s">
        <v>140</v>
      </c>
      <c r="B110" s="16" t="s">
        <v>9</v>
      </c>
      <c r="C110" s="21" t="s">
        <v>292</v>
      </c>
      <c r="D110" s="85" t="s">
        <v>183</v>
      </c>
      <c r="E110" s="103" t="s">
        <v>184</v>
      </c>
      <c r="F110" s="41">
        <v>2.2000000000000002</v>
      </c>
      <c r="G110" s="41">
        <v>0</v>
      </c>
      <c r="H110" s="41">
        <v>0</v>
      </c>
    </row>
    <row r="111" spans="1:8" s="32" customFormat="1" ht="25.5">
      <c r="A111" s="16" t="s">
        <v>140</v>
      </c>
      <c r="B111" s="16" t="s">
        <v>9</v>
      </c>
      <c r="C111" s="21" t="s">
        <v>294</v>
      </c>
      <c r="D111" s="47"/>
      <c r="E111" s="54" t="s">
        <v>434</v>
      </c>
      <c r="F111" s="41">
        <f>SUM(F112:F114)</f>
        <v>30024.1</v>
      </c>
      <c r="G111" s="41">
        <f>SUM(G112:G114)</f>
        <v>23577.1</v>
      </c>
      <c r="H111" s="41">
        <f>SUM(H112:H114)</f>
        <v>23577.1</v>
      </c>
    </row>
    <row r="112" spans="1:8" s="32" customFormat="1" ht="25.5">
      <c r="A112" s="16" t="s">
        <v>140</v>
      </c>
      <c r="B112" s="16" t="s">
        <v>9</v>
      </c>
      <c r="C112" s="21" t="s">
        <v>294</v>
      </c>
      <c r="D112" s="16" t="s">
        <v>107</v>
      </c>
      <c r="E112" s="108" t="s">
        <v>182</v>
      </c>
      <c r="F112" s="41">
        <f>8142.2-25+260</f>
        <v>8377.2000000000007</v>
      </c>
      <c r="G112" s="41">
        <v>8142.2</v>
      </c>
      <c r="H112" s="41">
        <v>8142.2</v>
      </c>
    </row>
    <row r="113" spans="1:8" s="32" customFormat="1" ht="38.25">
      <c r="A113" s="16" t="s">
        <v>140</v>
      </c>
      <c r="B113" s="16" t="s">
        <v>9</v>
      </c>
      <c r="C113" s="21" t="s">
        <v>294</v>
      </c>
      <c r="D113" s="85" t="s">
        <v>325</v>
      </c>
      <c r="E113" s="103" t="s">
        <v>326</v>
      </c>
      <c r="F113" s="41">
        <f>15321.3+1000+8072-15-2500-100-260</f>
        <v>21518.3</v>
      </c>
      <c r="G113" s="41">
        <v>15321.3</v>
      </c>
      <c r="H113" s="41">
        <v>15321.3</v>
      </c>
    </row>
    <row r="114" spans="1:8" s="32" customFormat="1" ht="17.25" customHeight="1">
      <c r="A114" s="16" t="s">
        <v>140</v>
      </c>
      <c r="B114" s="16" t="s">
        <v>9</v>
      </c>
      <c r="C114" s="21" t="s">
        <v>294</v>
      </c>
      <c r="D114" s="85" t="s">
        <v>183</v>
      </c>
      <c r="E114" s="103" t="s">
        <v>184</v>
      </c>
      <c r="F114" s="119">
        <f>113.6+15</f>
        <v>128.6</v>
      </c>
      <c r="G114" s="119">
        <v>113.6</v>
      </c>
      <c r="H114" s="119">
        <v>113.6</v>
      </c>
    </row>
    <row r="115" spans="1:8" s="32" customFormat="1" ht="38.25">
      <c r="A115" s="16" t="s">
        <v>140</v>
      </c>
      <c r="B115" s="16" t="s">
        <v>9</v>
      </c>
      <c r="C115" s="80">
        <v>9980000000</v>
      </c>
      <c r="D115" s="16"/>
      <c r="E115" s="54" t="s">
        <v>38</v>
      </c>
      <c r="F115" s="39">
        <f>F116</f>
        <v>517.5</v>
      </c>
      <c r="G115" s="39">
        <f>G116</f>
        <v>517.5</v>
      </c>
      <c r="H115" s="39">
        <f>H116</f>
        <v>517.5</v>
      </c>
    </row>
    <row r="116" spans="1:8" s="32" customFormat="1" ht="14.25">
      <c r="A116" s="16" t="s">
        <v>140</v>
      </c>
      <c r="B116" s="16" t="s">
        <v>9</v>
      </c>
      <c r="C116" s="80" t="s">
        <v>55</v>
      </c>
      <c r="D116" s="16"/>
      <c r="E116" s="110" t="s">
        <v>436</v>
      </c>
      <c r="F116" s="39">
        <f>F117+F118</f>
        <v>517.5</v>
      </c>
      <c r="G116" s="39">
        <f>G117+G118</f>
        <v>517.5</v>
      </c>
      <c r="H116" s="39">
        <f>H117+H118</f>
        <v>517.5</v>
      </c>
    </row>
    <row r="117" spans="1:8" s="32" customFormat="1" ht="38.25">
      <c r="A117" s="16" t="s">
        <v>140</v>
      </c>
      <c r="B117" s="16" t="s">
        <v>9</v>
      </c>
      <c r="C117" s="80" t="s">
        <v>55</v>
      </c>
      <c r="D117" s="16" t="s">
        <v>105</v>
      </c>
      <c r="E117" s="55" t="s">
        <v>106</v>
      </c>
      <c r="F117" s="39">
        <v>203.6</v>
      </c>
      <c r="G117" s="39">
        <v>203.6</v>
      </c>
      <c r="H117" s="39">
        <v>203.6</v>
      </c>
    </row>
    <row r="118" spans="1:8" s="32" customFormat="1" ht="38.25">
      <c r="A118" s="16" t="s">
        <v>140</v>
      </c>
      <c r="B118" s="16" t="s">
        <v>9</v>
      </c>
      <c r="C118" s="80" t="s">
        <v>55</v>
      </c>
      <c r="D118" s="85" t="s">
        <v>325</v>
      </c>
      <c r="E118" s="103" t="s">
        <v>326</v>
      </c>
      <c r="F118" s="39">
        <v>313.89999999999998</v>
      </c>
      <c r="G118" s="39">
        <v>313.89999999999998</v>
      </c>
      <c r="H118" s="39">
        <v>313.89999999999998</v>
      </c>
    </row>
    <row r="119" spans="1:8" ht="45">
      <c r="A119" s="4" t="s">
        <v>145</v>
      </c>
      <c r="B119" s="3"/>
      <c r="C119" s="3"/>
      <c r="D119" s="3"/>
      <c r="E119" s="49" t="s">
        <v>150</v>
      </c>
      <c r="F119" s="97">
        <f>F120+F125+F152</f>
        <v>7886.4000000000005</v>
      </c>
      <c r="G119" s="97">
        <f>G120+G125+G152</f>
        <v>7658.0000000000009</v>
      </c>
      <c r="H119" s="97">
        <f>H120+H125+H152</f>
        <v>7615.1</v>
      </c>
    </row>
    <row r="120" spans="1:8" ht="15">
      <c r="A120" s="28" t="s">
        <v>145</v>
      </c>
      <c r="B120" s="28" t="s">
        <v>146</v>
      </c>
      <c r="C120" s="28"/>
      <c r="D120" s="34"/>
      <c r="E120" s="46" t="s">
        <v>23</v>
      </c>
      <c r="F120" s="40">
        <f>F123</f>
        <v>1124.4000000000001</v>
      </c>
      <c r="G120" s="40">
        <f>G123</f>
        <v>1118.3</v>
      </c>
      <c r="H120" s="40">
        <f>H123</f>
        <v>1075.4000000000001</v>
      </c>
    </row>
    <row r="121" spans="1:8" ht="25.5">
      <c r="A121" s="16" t="s">
        <v>145</v>
      </c>
      <c r="B121" s="16" t="s">
        <v>146</v>
      </c>
      <c r="C121" s="80">
        <v>9900000000</v>
      </c>
      <c r="D121" s="34"/>
      <c r="E121" s="55" t="s">
        <v>201</v>
      </c>
      <c r="F121" s="41">
        <f t="shared" ref="F121:H122" si="18">F122</f>
        <v>1124.4000000000001</v>
      </c>
      <c r="G121" s="41">
        <f t="shared" si="18"/>
        <v>1118.3</v>
      </c>
      <c r="H121" s="41">
        <f t="shared" si="18"/>
        <v>1075.4000000000001</v>
      </c>
    </row>
    <row r="122" spans="1:8" ht="25.5">
      <c r="A122" s="16" t="s">
        <v>145</v>
      </c>
      <c r="B122" s="16" t="s">
        <v>146</v>
      </c>
      <c r="C122" s="80">
        <v>9930000000</v>
      </c>
      <c r="D122" s="16"/>
      <c r="E122" s="22" t="s">
        <v>58</v>
      </c>
      <c r="F122" s="41">
        <f t="shared" si="18"/>
        <v>1124.4000000000001</v>
      </c>
      <c r="G122" s="41">
        <f t="shared" si="18"/>
        <v>1118.3</v>
      </c>
      <c r="H122" s="41">
        <f t="shared" si="18"/>
        <v>1075.4000000000001</v>
      </c>
    </row>
    <row r="123" spans="1:8" ht="51">
      <c r="A123" s="16" t="s">
        <v>145</v>
      </c>
      <c r="B123" s="16" t="s">
        <v>146</v>
      </c>
      <c r="C123" s="80">
        <v>9930059302</v>
      </c>
      <c r="D123" s="16"/>
      <c r="E123" s="163" t="s">
        <v>661</v>
      </c>
      <c r="F123" s="39">
        <f>SUM(F124:F124)</f>
        <v>1124.4000000000001</v>
      </c>
      <c r="G123" s="39">
        <f>SUM(G124:G124)</f>
        <v>1118.3</v>
      </c>
      <c r="H123" s="39">
        <f>SUM(H124:H124)</f>
        <v>1075.4000000000001</v>
      </c>
    </row>
    <row r="124" spans="1:8" ht="38.25">
      <c r="A124" s="16" t="s">
        <v>145</v>
      </c>
      <c r="B124" s="16" t="s">
        <v>146</v>
      </c>
      <c r="C124" s="80">
        <v>9930059302</v>
      </c>
      <c r="D124" s="16" t="s">
        <v>105</v>
      </c>
      <c r="E124" s="55" t="s">
        <v>106</v>
      </c>
      <c r="F124" s="39">
        <v>1124.4000000000001</v>
      </c>
      <c r="G124" s="39">
        <v>1118.3</v>
      </c>
      <c r="H124" s="39">
        <v>1075.4000000000001</v>
      </c>
    </row>
    <row r="125" spans="1:8" s="32" customFormat="1" ht="51.75">
      <c r="A125" s="28" t="s">
        <v>145</v>
      </c>
      <c r="B125" s="28" t="s">
        <v>162</v>
      </c>
      <c r="C125" s="28"/>
      <c r="D125" s="34"/>
      <c r="E125" s="48" t="s">
        <v>715</v>
      </c>
      <c r="F125" s="40">
        <f>F126+F147</f>
        <v>6605.7000000000007</v>
      </c>
      <c r="G125" s="40">
        <f>G126+G147</f>
        <v>6505.7000000000007</v>
      </c>
      <c r="H125" s="40">
        <f>H126+H147</f>
        <v>6505.7000000000007</v>
      </c>
    </row>
    <row r="126" spans="1:8" s="32" customFormat="1" ht="64.5">
      <c r="A126" s="21" t="s">
        <v>145</v>
      </c>
      <c r="B126" s="21" t="s">
        <v>162</v>
      </c>
      <c r="C126" s="73" t="s">
        <v>76</v>
      </c>
      <c r="D126" s="16"/>
      <c r="E126" s="64" t="s">
        <v>554</v>
      </c>
      <c r="F126" s="59">
        <f>F127+F132+F137+F142</f>
        <v>1700</v>
      </c>
      <c r="G126" s="59">
        <f>G127+G132+G137+G142</f>
        <v>1600</v>
      </c>
      <c r="H126" s="59">
        <f>H127+H132+H137+H142</f>
        <v>1600</v>
      </c>
    </row>
    <row r="127" spans="1:8" s="32" customFormat="1" ht="50.25" customHeight="1">
      <c r="A127" s="21" t="s">
        <v>145</v>
      </c>
      <c r="B127" s="21" t="s">
        <v>162</v>
      </c>
      <c r="C127" s="52" t="s">
        <v>77</v>
      </c>
      <c r="D127" s="16"/>
      <c r="E127" s="48" t="s">
        <v>305</v>
      </c>
      <c r="F127" s="98">
        <f>F128+F130</f>
        <v>80</v>
      </c>
      <c r="G127" s="98">
        <f>G128+G130</f>
        <v>80</v>
      </c>
      <c r="H127" s="98">
        <f>H128+H130</f>
        <v>80</v>
      </c>
    </row>
    <row r="128" spans="1:8" s="32" customFormat="1" ht="38.25">
      <c r="A128" s="21" t="s">
        <v>145</v>
      </c>
      <c r="B128" s="21" t="s">
        <v>162</v>
      </c>
      <c r="C128" s="74" t="s">
        <v>75</v>
      </c>
      <c r="D128" s="16"/>
      <c r="E128" s="105" t="s">
        <v>335</v>
      </c>
      <c r="F128" s="39">
        <f>F129</f>
        <v>49</v>
      </c>
      <c r="G128" s="39">
        <f>G129</f>
        <v>40</v>
      </c>
      <c r="H128" s="39">
        <f>H129</f>
        <v>40</v>
      </c>
    </row>
    <row r="129" spans="1:8" s="32" customFormat="1" ht="38.25">
      <c r="A129" s="21" t="s">
        <v>145</v>
      </c>
      <c r="B129" s="21" t="s">
        <v>162</v>
      </c>
      <c r="C129" s="74" t="s">
        <v>75</v>
      </c>
      <c r="D129" s="85" t="s">
        <v>325</v>
      </c>
      <c r="E129" s="103" t="s">
        <v>326</v>
      </c>
      <c r="F129" s="39">
        <v>49</v>
      </c>
      <c r="G129" s="39">
        <v>40</v>
      </c>
      <c r="H129" s="39">
        <v>40</v>
      </c>
    </row>
    <row r="130" spans="1:8" s="32" customFormat="1" ht="51">
      <c r="A130" s="21" t="s">
        <v>145</v>
      </c>
      <c r="B130" s="21" t="s">
        <v>162</v>
      </c>
      <c r="C130" s="74" t="s">
        <v>78</v>
      </c>
      <c r="D130" s="16"/>
      <c r="E130" s="105" t="s">
        <v>310</v>
      </c>
      <c r="F130" s="41">
        <f>F131</f>
        <v>31</v>
      </c>
      <c r="G130" s="41">
        <f>G131</f>
        <v>40</v>
      </c>
      <c r="H130" s="41">
        <f>H131</f>
        <v>40</v>
      </c>
    </row>
    <row r="131" spans="1:8" s="32" customFormat="1" ht="38.25">
      <c r="A131" s="21" t="s">
        <v>145</v>
      </c>
      <c r="B131" s="21" t="s">
        <v>162</v>
      </c>
      <c r="C131" s="74" t="s">
        <v>78</v>
      </c>
      <c r="D131" s="85" t="s">
        <v>325</v>
      </c>
      <c r="E131" s="103" t="s">
        <v>326</v>
      </c>
      <c r="F131" s="41">
        <v>31</v>
      </c>
      <c r="G131" s="41">
        <v>40</v>
      </c>
      <c r="H131" s="41">
        <v>40</v>
      </c>
    </row>
    <row r="132" spans="1:8" s="32" customFormat="1" ht="38.25">
      <c r="A132" s="21" t="s">
        <v>145</v>
      </c>
      <c r="B132" s="21" t="s">
        <v>162</v>
      </c>
      <c r="C132" s="52" t="s">
        <v>79</v>
      </c>
      <c r="D132" s="16"/>
      <c r="E132" s="48" t="s">
        <v>299</v>
      </c>
      <c r="F132" s="98">
        <f>F133+F135</f>
        <v>1600</v>
      </c>
      <c r="G132" s="98">
        <f>G133+G135</f>
        <v>1500</v>
      </c>
      <c r="H132" s="98">
        <f>H133+H135</f>
        <v>1500</v>
      </c>
    </row>
    <row r="133" spans="1:8" s="32" customFormat="1" ht="51">
      <c r="A133" s="21" t="s">
        <v>145</v>
      </c>
      <c r="B133" s="21" t="s">
        <v>162</v>
      </c>
      <c r="C133" s="74" t="s">
        <v>80</v>
      </c>
      <c r="D133" s="16"/>
      <c r="E133" s="103" t="s">
        <v>608</v>
      </c>
      <c r="F133" s="41">
        <f>F134</f>
        <v>916.8</v>
      </c>
      <c r="G133" s="41">
        <f>G134</f>
        <v>916.8</v>
      </c>
      <c r="H133" s="41">
        <f>H134</f>
        <v>916.8</v>
      </c>
    </row>
    <row r="134" spans="1:8" s="32" customFormat="1" ht="38.25">
      <c r="A134" s="21" t="s">
        <v>145</v>
      </c>
      <c r="B134" s="21" t="s">
        <v>162</v>
      </c>
      <c r="C134" s="74" t="s">
        <v>80</v>
      </c>
      <c r="D134" s="85" t="s">
        <v>325</v>
      </c>
      <c r="E134" s="103" t="s">
        <v>326</v>
      </c>
      <c r="F134" s="41">
        <v>916.8</v>
      </c>
      <c r="G134" s="41">
        <v>916.8</v>
      </c>
      <c r="H134" s="41">
        <v>916.8</v>
      </c>
    </row>
    <row r="135" spans="1:8" s="32" customFormat="1" ht="51">
      <c r="A135" s="21" t="s">
        <v>145</v>
      </c>
      <c r="B135" s="21" t="s">
        <v>162</v>
      </c>
      <c r="C135" s="74" t="s">
        <v>606</v>
      </c>
      <c r="D135" s="16"/>
      <c r="E135" s="103" t="s">
        <v>607</v>
      </c>
      <c r="F135" s="41">
        <f>SUM(F136:F136)</f>
        <v>683.2</v>
      </c>
      <c r="G135" s="41">
        <f>SUM(G136:G136)</f>
        <v>583.20000000000005</v>
      </c>
      <c r="H135" s="41">
        <f>SUM(H136:H136)</f>
        <v>583.20000000000005</v>
      </c>
    </row>
    <row r="136" spans="1:8" s="32" customFormat="1" ht="38.25">
      <c r="A136" s="21" t="s">
        <v>145</v>
      </c>
      <c r="B136" s="21" t="s">
        <v>162</v>
      </c>
      <c r="C136" s="74" t="s">
        <v>606</v>
      </c>
      <c r="D136" s="85" t="s">
        <v>325</v>
      </c>
      <c r="E136" s="103" t="s">
        <v>326</v>
      </c>
      <c r="F136" s="41">
        <v>683.2</v>
      </c>
      <c r="G136" s="41">
        <v>583.20000000000005</v>
      </c>
      <c r="H136" s="41">
        <v>583.20000000000005</v>
      </c>
    </row>
    <row r="137" spans="1:8" s="32" customFormat="1" ht="51">
      <c r="A137" s="21" t="s">
        <v>145</v>
      </c>
      <c r="B137" s="21" t="s">
        <v>162</v>
      </c>
      <c r="C137" s="52" t="s">
        <v>81</v>
      </c>
      <c r="D137" s="16"/>
      <c r="E137" s="48" t="s">
        <v>384</v>
      </c>
      <c r="F137" s="98">
        <f>F138+F140</f>
        <v>5</v>
      </c>
      <c r="G137" s="98">
        <f>G138+G140</f>
        <v>5</v>
      </c>
      <c r="H137" s="98">
        <f>H138+H140</f>
        <v>5</v>
      </c>
    </row>
    <row r="138" spans="1:8" s="32" customFormat="1" ht="25.5">
      <c r="A138" s="21" t="s">
        <v>145</v>
      </c>
      <c r="B138" s="21" t="s">
        <v>162</v>
      </c>
      <c r="C138" s="74" t="s">
        <v>82</v>
      </c>
      <c r="D138" s="16"/>
      <c r="E138" s="103" t="s">
        <v>385</v>
      </c>
      <c r="F138" s="41">
        <f>F139</f>
        <v>4</v>
      </c>
      <c r="G138" s="41">
        <f>G139</f>
        <v>4</v>
      </c>
      <c r="H138" s="41">
        <f>H139</f>
        <v>4</v>
      </c>
    </row>
    <row r="139" spans="1:8" s="32" customFormat="1" ht="38.25">
      <c r="A139" s="21" t="s">
        <v>145</v>
      </c>
      <c r="B139" s="21" t="s">
        <v>162</v>
      </c>
      <c r="C139" s="74" t="s">
        <v>82</v>
      </c>
      <c r="D139" s="85" t="s">
        <v>325</v>
      </c>
      <c r="E139" s="103" t="s">
        <v>326</v>
      </c>
      <c r="F139" s="41">
        <v>4</v>
      </c>
      <c r="G139" s="41">
        <v>4</v>
      </c>
      <c r="H139" s="41">
        <v>4</v>
      </c>
    </row>
    <row r="140" spans="1:8" s="32" customFormat="1" ht="38.25">
      <c r="A140" s="21" t="s">
        <v>145</v>
      </c>
      <c r="B140" s="21" t="s">
        <v>162</v>
      </c>
      <c r="C140" s="74" t="s">
        <v>83</v>
      </c>
      <c r="D140" s="16"/>
      <c r="E140" s="103" t="s">
        <v>340</v>
      </c>
      <c r="F140" s="41">
        <f>F141</f>
        <v>1</v>
      </c>
      <c r="G140" s="41">
        <f>G141</f>
        <v>1</v>
      </c>
      <c r="H140" s="41">
        <f>H141</f>
        <v>1</v>
      </c>
    </row>
    <row r="141" spans="1:8" s="32" customFormat="1" ht="38.25">
      <c r="A141" s="21" t="s">
        <v>145</v>
      </c>
      <c r="B141" s="21" t="s">
        <v>162</v>
      </c>
      <c r="C141" s="74" t="s">
        <v>83</v>
      </c>
      <c r="D141" s="85" t="s">
        <v>325</v>
      </c>
      <c r="E141" s="103" t="s">
        <v>326</v>
      </c>
      <c r="F141" s="41">
        <v>1</v>
      </c>
      <c r="G141" s="41">
        <v>1</v>
      </c>
      <c r="H141" s="41">
        <v>1</v>
      </c>
    </row>
    <row r="142" spans="1:8" s="32" customFormat="1" ht="63.75">
      <c r="A142" s="21" t="s">
        <v>145</v>
      </c>
      <c r="B142" s="21" t="s">
        <v>162</v>
      </c>
      <c r="C142" s="52" t="s">
        <v>84</v>
      </c>
      <c r="D142" s="16"/>
      <c r="E142" s="48" t="s">
        <v>306</v>
      </c>
      <c r="F142" s="98">
        <f>F143+F145</f>
        <v>15</v>
      </c>
      <c r="G142" s="98">
        <f>G143+G145</f>
        <v>15</v>
      </c>
      <c r="H142" s="98">
        <f>H143+H145</f>
        <v>15</v>
      </c>
    </row>
    <row r="143" spans="1:8" s="32" customFormat="1" ht="27.75" customHeight="1">
      <c r="A143" s="21" t="s">
        <v>145</v>
      </c>
      <c r="B143" s="21" t="s">
        <v>162</v>
      </c>
      <c r="C143" s="74" t="s">
        <v>85</v>
      </c>
      <c r="D143" s="16"/>
      <c r="E143" s="103" t="s">
        <v>385</v>
      </c>
      <c r="F143" s="41">
        <f>F144</f>
        <v>12</v>
      </c>
      <c r="G143" s="41">
        <f>G144</f>
        <v>12</v>
      </c>
      <c r="H143" s="41">
        <f>H144</f>
        <v>12</v>
      </c>
    </row>
    <row r="144" spans="1:8" s="32" customFormat="1" ht="38.25">
      <c r="A144" s="21" t="s">
        <v>145</v>
      </c>
      <c r="B144" s="21" t="s">
        <v>162</v>
      </c>
      <c r="C144" s="74" t="s">
        <v>85</v>
      </c>
      <c r="D144" s="85" t="s">
        <v>325</v>
      </c>
      <c r="E144" s="103" t="s">
        <v>326</v>
      </c>
      <c r="F144" s="41">
        <v>12</v>
      </c>
      <c r="G144" s="41">
        <v>12</v>
      </c>
      <c r="H144" s="41">
        <v>12</v>
      </c>
    </row>
    <row r="145" spans="1:8" s="32" customFormat="1" ht="38.25">
      <c r="A145" s="21" t="s">
        <v>145</v>
      </c>
      <c r="B145" s="21" t="s">
        <v>162</v>
      </c>
      <c r="C145" s="74" t="s">
        <v>86</v>
      </c>
      <c r="D145" s="16"/>
      <c r="E145" s="103" t="s">
        <v>342</v>
      </c>
      <c r="F145" s="41">
        <f>F146</f>
        <v>3</v>
      </c>
      <c r="G145" s="41">
        <f>G146</f>
        <v>3</v>
      </c>
      <c r="H145" s="41">
        <f>H146</f>
        <v>3</v>
      </c>
    </row>
    <row r="146" spans="1:8" s="32" customFormat="1" ht="38.25">
      <c r="A146" s="21" t="s">
        <v>145</v>
      </c>
      <c r="B146" s="21" t="s">
        <v>162</v>
      </c>
      <c r="C146" s="74" t="s">
        <v>86</v>
      </c>
      <c r="D146" s="85" t="s">
        <v>325</v>
      </c>
      <c r="E146" s="103" t="s">
        <v>326</v>
      </c>
      <c r="F146" s="41">
        <v>3</v>
      </c>
      <c r="G146" s="41">
        <v>3</v>
      </c>
      <c r="H146" s="41">
        <v>3</v>
      </c>
    </row>
    <row r="147" spans="1:8" s="32" customFormat="1" ht="25.5">
      <c r="A147" s="83" t="s">
        <v>145</v>
      </c>
      <c r="B147" s="83" t="s">
        <v>162</v>
      </c>
      <c r="C147" s="73" t="s">
        <v>290</v>
      </c>
      <c r="D147" s="33"/>
      <c r="E147" s="88" t="s">
        <v>201</v>
      </c>
      <c r="F147" s="61">
        <f>F148</f>
        <v>4905.7000000000007</v>
      </c>
      <c r="G147" s="61">
        <f>G148</f>
        <v>4905.7000000000007</v>
      </c>
      <c r="H147" s="61">
        <f>H148</f>
        <v>4905.7000000000007</v>
      </c>
    </row>
    <row r="148" spans="1:8" s="32" customFormat="1" ht="25.5">
      <c r="A148" s="21" t="s">
        <v>145</v>
      </c>
      <c r="B148" s="21" t="s">
        <v>162</v>
      </c>
      <c r="C148" s="21" t="s">
        <v>289</v>
      </c>
      <c r="D148" s="16"/>
      <c r="E148" s="54" t="s">
        <v>425</v>
      </c>
      <c r="F148" s="41">
        <f>F149+F150+F151</f>
        <v>4905.7000000000007</v>
      </c>
      <c r="G148" s="41">
        <f t="shared" ref="G148:H148" si="19">G149+G150</f>
        <v>4905.7000000000007</v>
      </c>
      <c r="H148" s="41">
        <f t="shared" si="19"/>
        <v>4905.7000000000007</v>
      </c>
    </row>
    <row r="149" spans="1:8" s="32" customFormat="1" ht="25.5">
      <c r="A149" s="21" t="s">
        <v>145</v>
      </c>
      <c r="B149" s="21" t="s">
        <v>162</v>
      </c>
      <c r="C149" s="21" t="s">
        <v>289</v>
      </c>
      <c r="D149" s="16" t="s">
        <v>107</v>
      </c>
      <c r="E149" s="108" t="s">
        <v>182</v>
      </c>
      <c r="F149" s="41">
        <v>4615.6000000000004</v>
      </c>
      <c r="G149" s="41">
        <v>4615.6000000000004</v>
      </c>
      <c r="H149" s="41">
        <v>4615.6000000000004</v>
      </c>
    </row>
    <row r="150" spans="1:8" s="32" customFormat="1" ht="38.25">
      <c r="A150" s="21" t="s">
        <v>145</v>
      </c>
      <c r="B150" s="21" t="s">
        <v>162</v>
      </c>
      <c r="C150" s="21" t="s">
        <v>289</v>
      </c>
      <c r="D150" s="85" t="s">
        <v>325</v>
      </c>
      <c r="E150" s="103" t="s">
        <v>326</v>
      </c>
      <c r="F150" s="41">
        <f>290.1-0.5</f>
        <v>289.60000000000002</v>
      </c>
      <c r="G150" s="41">
        <v>290.10000000000002</v>
      </c>
      <c r="H150" s="41">
        <v>290.10000000000002</v>
      </c>
    </row>
    <row r="151" spans="1:8" s="32" customFormat="1" ht="12.75" customHeight="1">
      <c r="A151" s="21" t="s">
        <v>145</v>
      </c>
      <c r="B151" s="21" t="s">
        <v>162</v>
      </c>
      <c r="C151" s="21" t="s">
        <v>289</v>
      </c>
      <c r="D151" s="85" t="s">
        <v>183</v>
      </c>
      <c r="E151" s="103" t="s">
        <v>184</v>
      </c>
      <c r="F151" s="41">
        <v>0.5</v>
      </c>
      <c r="G151" s="41">
        <v>0</v>
      </c>
      <c r="H151" s="41">
        <v>0</v>
      </c>
    </row>
    <row r="152" spans="1:8" s="32" customFormat="1" ht="39">
      <c r="A152" s="28" t="s">
        <v>145</v>
      </c>
      <c r="B152" s="28" t="s">
        <v>173</v>
      </c>
      <c r="C152" s="28"/>
      <c r="D152" s="34"/>
      <c r="E152" s="46" t="s">
        <v>27</v>
      </c>
      <c r="F152" s="40">
        <f>F153+F159</f>
        <v>156.30000000000001</v>
      </c>
      <c r="G152" s="40">
        <f>G153+G159</f>
        <v>34</v>
      </c>
      <c r="H152" s="40">
        <f>H153+H159</f>
        <v>34</v>
      </c>
    </row>
    <row r="153" spans="1:8" s="32" customFormat="1" ht="53.25" customHeight="1">
      <c r="A153" s="73" t="s">
        <v>145</v>
      </c>
      <c r="B153" s="73" t="s">
        <v>173</v>
      </c>
      <c r="C153" s="73" t="s">
        <v>119</v>
      </c>
      <c r="D153" s="16"/>
      <c r="E153" s="53" t="s">
        <v>555</v>
      </c>
      <c r="F153" s="101">
        <f>F154</f>
        <v>134</v>
      </c>
      <c r="G153" s="101">
        <f>G154</f>
        <v>34</v>
      </c>
      <c r="H153" s="101">
        <f>H154</f>
        <v>34</v>
      </c>
    </row>
    <row r="154" spans="1:8" s="32" customFormat="1" ht="51">
      <c r="A154" s="21" t="s">
        <v>145</v>
      </c>
      <c r="B154" s="21" t="s">
        <v>173</v>
      </c>
      <c r="C154" s="52" t="s">
        <v>120</v>
      </c>
      <c r="D154" s="16"/>
      <c r="E154" s="60" t="s">
        <v>271</v>
      </c>
      <c r="F154" s="58">
        <f>F155+F157</f>
        <v>134</v>
      </c>
      <c r="G154" s="58">
        <f>G155+G157</f>
        <v>34</v>
      </c>
      <c r="H154" s="58">
        <f>H155+H157</f>
        <v>34</v>
      </c>
    </row>
    <row r="155" spans="1:8" s="32" customFormat="1" ht="63.75">
      <c r="A155" s="21" t="s">
        <v>145</v>
      </c>
      <c r="B155" s="21" t="s">
        <v>173</v>
      </c>
      <c r="C155" s="21" t="s">
        <v>272</v>
      </c>
      <c r="D155" s="16"/>
      <c r="E155" s="103" t="s">
        <v>614</v>
      </c>
      <c r="F155" s="41">
        <f>F156</f>
        <v>34</v>
      </c>
      <c r="G155" s="41">
        <f t="shared" ref="G155:H155" si="20">G156</f>
        <v>34</v>
      </c>
      <c r="H155" s="41">
        <f t="shared" si="20"/>
        <v>34</v>
      </c>
    </row>
    <row r="156" spans="1:8" s="32" customFormat="1" ht="25.5">
      <c r="A156" s="21" t="s">
        <v>145</v>
      </c>
      <c r="B156" s="21" t="s">
        <v>173</v>
      </c>
      <c r="C156" s="21" t="s">
        <v>272</v>
      </c>
      <c r="D156" s="85" t="s">
        <v>107</v>
      </c>
      <c r="E156" s="55" t="s">
        <v>182</v>
      </c>
      <c r="F156" s="41">
        <v>34</v>
      </c>
      <c r="G156" s="41">
        <v>34</v>
      </c>
      <c r="H156" s="41">
        <v>34</v>
      </c>
    </row>
    <row r="157" spans="1:8" s="32" customFormat="1" ht="38.25">
      <c r="A157" s="21" t="s">
        <v>145</v>
      </c>
      <c r="B157" s="21" t="s">
        <v>173</v>
      </c>
      <c r="C157" s="21" t="s">
        <v>729</v>
      </c>
      <c r="D157" s="85"/>
      <c r="E157" s="103" t="s">
        <v>730</v>
      </c>
      <c r="F157" s="41">
        <f>F158</f>
        <v>100</v>
      </c>
      <c r="G157" s="41">
        <f>G158</f>
        <v>0</v>
      </c>
      <c r="H157" s="41">
        <f>H158</f>
        <v>0</v>
      </c>
    </row>
    <row r="158" spans="1:8" s="32" customFormat="1" ht="38.25">
      <c r="A158" s="21" t="s">
        <v>145</v>
      </c>
      <c r="B158" s="21" t="s">
        <v>173</v>
      </c>
      <c r="C158" s="21" t="s">
        <v>729</v>
      </c>
      <c r="D158" s="85" t="s">
        <v>325</v>
      </c>
      <c r="E158" s="103" t="s">
        <v>326</v>
      </c>
      <c r="F158" s="41">
        <v>100</v>
      </c>
      <c r="G158" s="41">
        <v>0</v>
      </c>
      <c r="H158" s="41">
        <v>0</v>
      </c>
    </row>
    <row r="159" spans="1:8" s="32" customFormat="1" ht="69" customHeight="1">
      <c r="A159" s="73" t="s">
        <v>145</v>
      </c>
      <c r="B159" s="73" t="s">
        <v>173</v>
      </c>
      <c r="C159" s="73" t="s">
        <v>347</v>
      </c>
      <c r="D159" s="16"/>
      <c r="E159" s="64" t="s">
        <v>529</v>
      </c>
      <c r="F159" s="101">
        <f t="shared" ref="F159:H163" si="21">F160</f>
        <v>22.3</v>
      </c>
      <c r="G159" s="101">
        <f t="shared" si="21"/>
        <v>0</v>
      </c>
      <c r="H159" s="101">
        <f t="shared" si="21"/>
        <v>0</v>
      </c>
    </row>
    <row r="160" spans="1:8" s="32" customFormat="1" ht="51">
      <c r="A160" s="21" t="s">
        <v>145</v>
      </c>
      <c r="B160" s="21" t="s">
        <v>173</v>
      </c>
      <c r="C160" s="52" t="s">
        <v>348</v>
      </c>
      <c r="D160" s="16"/>
      <c r="E160" s="48" t="s">
        <v>349</v>
      </c>
      <c r="F160" s="58">
        <f>F161+F163</f>
        <v>22.3</v>
      </c>
      <c r="G160" s="58">
        <f t="shared" si="21"/>
        <v>0</v>
      </c>
      <c r="H160" s="58">
        <f t="shared" si="21"/>
        <v>0</v>
      </c>
    </row>
    <row r="161" spans="1:8" s="32" customFormat="1" ht="38.25">
      <c r="A161" s="21" t="s">
        <v>145</v>
      </c>
      <c r="B161" s="21" t="s">
        <v>173</v>
      </c>
      <c r="C161" s="21" t="s">
        <v>647</v>
      </c>
      <c r="D161" s="16"/>
      <c r="E161" s="103" t="s">
        <v>662</v>
      </c>
      <c r="F161" s="99">
        <f t="shared" si="21"/>
        <v>16.3</v>
      </c>
      <c r="G161" s="99">
        <f t="shared" si="21"/>
        <v>0</v>
      </c>
      <c r="H161" s="99">
        <f t="shared" si="21"/>
        <v>0</v>
      </c>
    </row>
    <row r="162" spans="1:8" s="32" customFormat="1" ht="38.25">
      <c r="A162" s="21" t="s">
        <v>145</v>
      </c>
      <c r="B162" s="21" t="s">
        <v>173</v>
      </c>
      <c r="C162" s="21" t="s">
        <v>647</v>
      </c>
      <c r="D162" s="85" t="s">
        <v>325</v>
      </c>
      <c r="E162" s="103" t="s">
        <v>326</v>
      </c>
      <c r="F162" s="41">
        <v>16.3</v>
      </c>
      <c r="G162" s="41">
        <v>0</v>
      </c>
      <c r="H162" s="41">
        <v>0</v>
      </c>
    </row>
    <row r="163" spans="1:8" s="32" customFormat="1" ht="25.5">
      <c r="A163" s="21" t="s">
        <v>145</v>
      </c>
      <c r="B163" s="21" t="s">
        <v>173</v>
      </c>
      <c r="C163" s="21" t="s">
        <v>648</v>
      </c>
      <c r="D163" s="16"/>
      <c r="E163" s="103" t="s">
        <v>649</v>
      </c>
      <c r="F163" s="99">
        <f t="shared" si="21"/>
        <v>6</v>
      </c>
      <c r="G163" s="99">
        <f t="shared" si="21"/>
        <v>0</v>
      </c>
      <c r="H163" s="99">
        <f t="shared" si="21"/>
        <v>0</v>
      </c>
    </row>
    <row r="164" spans="1:8" s="32" customFormat="1" ht="38.25">
      <c r="A164" s="21" t="s">
        <v>145</v>
      </c>
      <c r="B164" s="21" t="s">
        <v>173</v>
      </c>
      <c r="C164" s="21" t="s">
        <v>648</v>
      </c>
      <c r="D164" s="85" t="s">
        <v>325</v>
      </c>
      <c r="E164" s="103" t="s">
        <v>326</v>
      </c>
      <c r="F164" s="41">
        <v>6</v>
      </c>
      <c r="G164" s="41">
        <v>0</v>
      </c>
      <c r="H164" s="41">
        <v>0</v>
      </c>
    </row>
    <row r="165" spans="1:8" s="32" customFormat="1" ht="15.75">
      <c r="A165" s="4" t="s">
        <v>146</v>
      </c>
      <c r="B165" s="3"/>
      <c r="C165" s="3"/>
      <c r="D165" s="3"/>
      <c r="E165" s="49" t="s">
        <v>152</v>
      </c>
      <c r="F165" s="97">
        <f>F166+F171+F176+F185+F274</f>
        <v>190078.8</v>
      </c>
      <c r="G165" s="97">
        <f>G166+G171+G176+G185+G274</f>
        <v>150888.9</v>
      </c>
      <c r="H165" s="97">
        <f>H166+H171+H176+H185+H274</f>
        <v>149582.80000000002</v>
      </c>
    </row>
    <row r="166" spans="1:8" s="32" customFormat="1" ht="15">
      <c r="A166" s="47" t="s">
        <v>146</v>
      </c>
      <c r="B166" s="47" t="s">
        <v>140</v>
      </c>
      <c r="C166" s="30"/>
      <c r="D166" s="30"/>
      <c r="E166" s="45" t="s">
        <v>181</v>
      </c>
      <c r="F166" s="86">
        <f t="shared" ref="F166:H169" si="22">F167</f>
        <v>486.8</v>
      </c>
      <c r="G166" s="86">
        <f t="shared" si="22"/>
        <v>100</v>
      </c>
      <c r="H166" s="86">
        <f t="shared" si="22"/>
        <v>100</v>
      </c>
    </row>
    <row r="167" spans="1:8" s="32" customFormat="1" ht="51" customHeight="1">
      <c r="A167" s="85" t="s">
        <v>146</v>
      </c>
      <c r="B167" s="85" t="s">
        <v>140</v>
      </c>
      <c r="C167" s="73" t="s">
        <v>101</v>
      </c>
      <c r="D167" s="35"/>
      <c r="E167" s="53" t="s">
        <v>556</v>
      </c>
      <c r="F167" s="97">
        <f t="shared" si="22"/>
        <v>486.8</v>
      </c>
      <c r="G167" s="97">
        <f t="shared" si="22"/>
        <v>100</v>
      </c>
      <c r="H167" s="97">
        <f t="shared" si="22"/>
        <v>100</v>
      </c>
    </row>
    <row r="168" spans="1:8" s="32" customFormat="1" ht="25.5">
      <c r="A168" s="85" t="s">
        <v>146</v>
      </c>
      <c r="B168" s="85" t="s">
        <v>140</v>
      </c>
      <c r="C168" s="52" t="s">
        <v>39</v>
      </c>
      <c r="D168" s="21"/>
      <c r="E168" s="48" t="s">
        <v>257</v>
      </c>
      <c r="F168" s="40">
        <f t="shared" si="22"/>
        <v>486.8</v>
      </c>
      <c r="G168" s="40">
        <f t="shared" si="22"/>
        <v>100</v>
      </c>
      <c r="H168" s="40">
        <f t="shared" si="22"/>
        <v>100</v>
      </c>
    </row>
    <row r="169" spans="1:8" s="32" customFormat="1" ht="76.5">
      <c r="A169" s="85" t="s">
        <v>146</v>
      </c>
      <c r="B169" s="85" t="s">
        <v>140</v>
      </c>
      <c r="C169" s="74" t="s">
        <v>328</v>
      </c>
      <c r="D169" s="16"/>
      <c r="E169" s="103" t="s">
        <v>259</v>
      </c>
      <c r="F169" s="41">
        <f t="shared" si="22"/>
        <v>486.8</v>
      </c>
      <c r="G169" s="41">
        <f t="shared" si="22"/>
        <v>100</v>
      </c>
      <c r="H169" s="41">
        <f t="shared" si="22"/>
        <v>100</v>
      </c>
    </row>
    <row r="170" spans="1:8" s="32" customFormat="1" ht="14.25">
      <c r="A170" s="85" t="s">
        <v>146</v>
      </c>
      <c r="B170" s="85" t="s">
        <v>140</v>
      </c>
      <c r="C170" s="74" t="s">
        <v>328</v>
      </c>
      <c r="D170" s="21" t="s">
        <v>344</v>
      </c>
      <c r="E170" s="103" t="s">
        <v>343</v>
      </c>
      <c r="F170" s="41">
        <f>486.8</f>
        <v>486.8</v>
      </c>
      <c r="G170" s="41">
        <v>100</v>
      </c>
      <c r="H170" s="41">
        <v>100</v>
      </c>
    </row>
    <row r="171" spans="1:8" s="32" customFormat="1" ht="14.25">
      <c r="A171" s="30" t="s">
        <v>146</v>
      </c>
      <c r="B171" s="30" t="s">
        <v>147</v>
      </c>
      <c r="C171" s="30"/>
      <c r="D171" s="30"/>
      <c r="E171" s="45" t="s">
        <v>155</v>
      </c>
      <c r="F171" s="40">
        <f>F172</f>
        <v>324.2</v>
      </c>
      <c r="G171" s="40">
        <f t="shared" ref="G171:H171" si="23">G172</f>
        <v>63</v>
      </c>
      <c r="H171" s="40">
        <f t="shared" si="23"/>
        <v>63</v>
      </c>
    </row>
    <row r="172" spans="1:8" s="32" customFormat="1" ht="63.75">
      <c r="A172" s="5" t="s">
        <v>146</v>
      </c>
      <c r="B172" s="5" t="s">
        <v>147</v>
      </c>
      <c r="C172" s="76">
        <v>400000000</v>
      </c>
      <c r="D172" s="30"/>
      <c r="E172" s="64" t="s">
        <v>532</v>
      </c>
      <c r="F172" s="101">
        <f>F173</f>
        <v>324.2</v>
      </c>
      <c r="G172" s="101">
        <f>G173</f>
        <v>63</v>
      </c>
      <c r="H172" s="101">
        <f>H173</f>
        <v>63</v>
      </c>
    </row>
    <row r="173" spans="1:8" s="32" customFormat="1" ht="51">
      <c r="A173" s="16" t="s">
        <v>146</v>
      </c>
      <c r="B173" s="16" t="s">
        <v>147</v>
      </c>
      <c r="C173" s="75">
        <v>410000000</v>
      </c>
      <c r="D173" s="30"/>
      <c r="E173" s="46" t="s">
        <v>237</v>
      </c>
      <c r="F173" s="98">
        <f>F174</f>
        <v>324.2</v>
      </c>
      <c r="G173" s="98">
        <f t="shared" ref="G173:H173" si="24">G174</f>
        <v>63</v>
      </c>
      <c r="H173" s="98">
        <f t="shared" si="24"/>
        <v>63</v>
      </c>
    </row>
    <row r="174" spans="1:8" s="32" customFormat="1" ht="25.5">
      <c r="A174" s="85" t="s">
        <v>146</v>
      </c>
      <c r="B174" s="85" t="s">
        <v>147</v>
      </c>
      <c r="C174" s="74" t="s">
        <v>465</v>
      </c>
      <c r="D174" s="16"/>
      <c r="E174" s="105" t="s">
        <v>246</v>
      </c>
      <c r="F174" s="39">
        <f>F175</f>
        <v>324.2</v>
      </c>
      <c r="G174" s="39">
        <f>G175</f>
        <v>63</v>
      </c>
      <c r="H174" s="39">
        <f>H175</f>
        <v>63</v>
      </c>
    </row>
    <row r="175" spans="1:8" s="32" customFormat="1" ht="38.25">
      <c r="A175" s="85" t="s">
        <v>146</v>
      </c>
      <c r="B175" s="85" t="s">
        <v>147</v>
      </c>
      <c r="C175" s="74" t="s">
        <v>465</v>
      </c>
      <c r="D175" s="85" t="s">
        <v>325</v>
      </c>
      <c r="E175" s="103" t="s">
        <v>326</v>
      </c>
      <c r="F175" s="39">
        <v>324.2</v>
      </c>
      <c r="G175" s="39">
        <v>63</v>
      </c>
      <c r="H175" s="39">
        <v>63</v>
      </c>
    </row>
    <row r="176" spans="1:8" ht="14.25">
      <c r="A176" s="30" t="s">
        <v>146</v>
      </c>
      <c r="B176" s="30" t="s">
        <v>153</v>
      </c>
      <c r="C176" s="30"/>
      <c r="D176" s="30"/>
      <c r="E176" s="27" t="s">
        <v>1</v>
      </c>
      <c r="F176" s="40">
        <f t="shared" ref="F176:H177" si="25">F177</f>
        <v>23891.5</v>
      </c>
      <c r="G176" s="40">
        <f t="shared" si="25"/>
        <v>24643.7</v>
      </c>
      <c r="H176" s="40">
        <f t="shared" si="25"/>
        <v>24474.3</v>
      </c>
    </row>
    <row r="177" spans="1:8" ht="64.5" customHeight="1">
      <c r="A177" s="5" t="s">
        <v>146</v>
      </c>
      <c r="B177" s="5" t="s">
        <v>153</v>
      </c>
      <c r="C177" s="73" t="s">
        <v>111</v>
      </c>
      <c r="D177" s="30"/>
      <c r="E177" s="64" t="s">
        <v>534</v>
      </c>
      <c r="F177" s="101">
        <f t="shared" si="25"/>
        <v>23891.5</v>
      </c>
      <c r="G177" s="101">
        <f t="shared" si="25"/>
        <v>24643.7</v>
      </c>
      <c r="H177" s="101">
        <f t="shared" si="25"/>
        <v>24474.3</v>
      </c>
    </row>
    <row r="178" spans="1:8" ht="63.75">
      <c r="A178" s="16" t="s">
        <v>146</v>
      </c>
      <c r="B178" s="16" t="s">
        <v>153</v>
      </c>
      <c r="C178" s="52" t="s">
        <v>329</v>
      </c>
      <c r="D178" s="30"/>
      <c r="E178" s="46" t="s">
        <v>270</v>
      </c>
      <c r="F178" s="98">
        <f>F179+F181+F183</f>
        <v>23891.5</v>
      </c>
      <c r="G178" s="98">
        <f t="shared" ref="G178:H178" si="26">G179+G181+G183</f>
        <v>24643.7</v>
      </c>
      <c r="H178" s="98">
        <f t="shared" si="26"/>
        <v>24474.3</v>
      </c>
    </row>
    <row r="179" spans="1:8" ht="76.5">
      <c r="A179" s="16" t="s">
        <v>146</v>
      </c>
      <c r="B179" s="16" t="s">
        <v>153</v>
      </c>
      <c r="C179" s="74" t="s">
        <v>479</v>
      </c>
      <c r="D179" s="30"/>
      <c r="E179" s="102" t="s">
        <v>330</v>
      </c>
      <c r="F179" s="39">
        <f>F180</f>
        <v>4525.1000000000004</v>
      </c>
      <c r="G179" s="39">
        <f>G180</f>
        <v>4928.7</v>
      </c>
      <c r="H179" s="39">
        <f>H180</f>
        <v>4894.8</v>
      </c>
    </row>
    <row r="180" spans="1:8" ht="38.25">
      <c r="A180" s="16" t="s">
        <v>146</v>
      </c>
      <c r="B180" s="16" t="s">
        <v>153</v>
      </c>
      <c r="C180" s="74" t="s">
        <v>479</v>
      </c>
      <c r="D180" s="85" t="s">
        <v>325</v>
      </c>
      <c r="E180" s="103" t="s">
        <v>326</v>
      </c>
      <c r="F180" s="39">
        <v>4525.1000000000004</v>
      </c>
      <c r="G180" s="39">
        <v>4928.7</v>
      </c>
      <c r="H180" s="39">
        <v>4894.8</v>
      </c>
    </row>
    <row r="181" spans="1:8" ht="78.75" customHeight="1">
      <c r="A181" s="16" t="s">
        <v>146</v>
      </c>
      <c r="B181" s="16" t="s">
        <v>153</v>
      </c>
      <c r="C181" s="74" t="s">
        <v>484</v>
      </c>
      <c r="D181" s="16"/>
      <c r="E181" s="131" t="s">
        <v>488</v>
      </c>
      <c r="F181" s="39">
        <f>F182</f>
        <v>1266.1000000000001</v>
      </c>
      <c r="G181" s="39">
        <f>G182</f>
        <v>0</v>
      </c>
      <c r="H181" s="39">
        <f>H182</f>
        <v>0</v>
      </c>
    </row>
    <row r="182" spans="1:8" ht="38.25">
      <c r="A182" s="16" t="s">
        <v>146</v>
      </c>
      <c r="B182" s="16" t="s">
        <v>153</v>
      </c>
      <c r="C182" s="74" t="s">
        <v>484</v>
      </c>
      <c r="D182" s="85" t="s">
        <v>325</v>
      </c>
      <c r="E182" s="103" t="s">
        <v>326</v>
      </c>
      <c r="F182" s="39">
        <f>1218.4+47.7</f>
        <v>1266.1000000000001</v>
      </c>
      <c r="G182" s="39">
        <v>0</v>
      </c>
      <c r="H182" s="39">
        <v>0</v>
      </c>
    </row>
    <row r="183" spans="1:8" ht="89.25">
      <c r="A183" s="16" t="s">
        <v>146</v>
      </c>
      <c r="B183" s="16" t="s">
        <v>153</v>
      </c>
      <c r="C183" s="74">
        <v>920110300</v>
      </c>
      <c r="D183" s="85"/>
      <c r="E183" s="54" t="s">
        <v>625</v>
      </c>
      <c r="F183" s="39">
        <f>F184</f>
        <v>18100.3</v>
      </c>
      <c r="G183" s="39">
        <f>G184</f>
        <v>19715</v>
      </c>
      <c r="H183" s="39">
        <f>H184</f>
        <v>19579.5</v>
      </c>
    </row>
    <row r="184" spans="1:8" ht="38.25">
      <c r="A184" s="16" t="s">
        <v>146</v>
      </c>
      <c r="B184" s="16" t="s">
        <v>153</v>
      </c>
      <c r="C184" s="74">
        <v>920110300</v>
      </c>
      <c r="D184" s="85" t="s">
        <v>325</v>
      </c>
      <c r="E184" s="103" t="s">
        <v>326</v>
      </c>
      <c r="F184" s="39">
        <v>18100.3</v>
      </c>
      <c r="G184" s="39">
        <v>19715</v>
      </c>
      <c r="H184" s="39">
        <v>19579.5</v>
      </c>
    </row>
    <row r="185" spans="1:8" ht="28.5">
      <c r="A185" s="30" t="s">
        <v>146</v>
      </c>
      <c r="B185" s="30" t="s">
        <v>151</v>
      </c>
      <c r="C185" s="30"/>
      <c r="D185" s="30"/>
      <c r="E185" s="50" t="s">
        <v>298</v>
      </c>
      <c r="F185" s="40">
        <f>F186+F212+F257+F271</f>
        <v>156762.79999999999</v>
      </c>
      <c r="G185" s="40">
        <f>G186+G212+G257+G271</f>
        <v>125022.2</v>
      </c>
      <c r="H185" s="40">
        <f>H186+H212+H257+H271</f>
        <v>123885.50000000001</v>
      </c>
    </row>
    <row r="186" spans="1:8" ht="62.25" customHeight="1">
      <c r="A186" s="5" t="s">
        <v>146</v>
      </c>
      <c r="B186" s="5" t="s">
        <v>151</v>
      </c>
      <c r="C186" s="73" t="s">
        <v>111</v>
      </c>
      <c r="D186" s="30"/>
      <c r="E186" s="64" t="s">
        <v>534</v>
      </c>
      <c r="F186" s="101">
        <f>F187</f>
        <v>127225.40000000001</v>
      </c>
      <c r="G186" s="101">
        <f>G187</f>
        <v>115050.5</v>
      </c>
      <c r="H186" s="101">
        <f>H187</f>
        <v>118893.20000000001</v>
      </c>
    </row>
    <row r="187" spans="1:8" ht="63.75">
      <c r="A187" s="16" t="s">
        <v>146</v>
      </c>
      <c r="B187" s="16" t="s">
        <v>151</v>
      </c>
      <c r="C187" s="52" t="s">
        <v>112</v>
      </c>
      <c r="D187" s="30"/>
      <c r="E187" s="46" t="s">
        <v>236</v>
      </c>
      <c r="F187" s="98">
        <f>F188+F190+F192+F194+F196+F198+F200+F202+F204+F206+F208+F210</f>
        <v>127225.40000000001</v>
      </c>
      <c r="G187" s="98">
        <f t="shared" ref="G187:H187" si="27">G188+G190+G192+G194+G196+G198+G200+G202+G204+G206+G208+G210</f>
        <v>115050.5</v>
      </c>
      <c r="H187" s="98">
        <f t="shared" si="27"/>
        <v>118893.20000000001</v>
      </c>
    </row>
    <row r="188" spans="1:8" ht="89.25">
      <c r="A188" s="16" t="s">
        <v>146</v>
      </c>
      <c r="B188" s="16" t="s">
        <v>151</v>
      </c>
      <c r="C188" s="79" t="s">
        <v>113</v>
      </c>
      <c r="D188" s="123"/>
      <c r="E188" s="120" t="s">
        <v>968</v>
      </c>
      <c r="F188" s="114">
        <f>F189</f>
        <v>12237.3</v>
      </c>
      <c r="G188" s="114">
        <f>G189</f>
        <v>15386.8</v>
      </c>
      <c r="H188" s="114">
        <f>H189</f>
        <v>15386.8</v>
      </c>
    </row>
    <row r="189" spans="1:8" ht="38.25">
      <c r="A189" s="16" t="s">
        <v>146</v>
      </c>
      <c r="B189" s="16" t="s">
        <v>151</v>
      </c>
      <c r="C189" s="79" t="s">
        <v>113</v>
      </c>
      <c r="D189" s="85" t="s">
        <v>325</v>
      </c>
      <c r="E189" s="103" t="s">
        <v>326</v>
      </c>
      <c r="F189" s="114">
        <f>12490-178.7-74</f>
        <v>12237.3</v>
      </c>
      <c r="G189" s="114">
        <v>15386.8</v>
      </c>
      <c r="H189" s="114">
        <v>15386.8</v>
      </c>
    </row>
    <row r="190" spans="1:8" ht="63.75" customHeight="1">
      <c r="A190" s="16" t="s">
        <v>146</v>
      </c>
      <c r="B190" s="16" t="s">
        <v>151</v>
      </c>
      <c r="C190" s="79">
        <v>910110520</v>
      </c>
      <c r="D190" s="123"/>
      <c r="E190" s="120" t="s">
        <v>267</v>
      </c>
      <c r="F190" s="114">
        <f>F191</f>
        <v>12239.2</v>
      </c>
      <c r="G190" s="114">
        <f>G191</f>
        <v>12728.8</v>
      </c>
      <c r="H190" s="114">
        <f>H191</f>
        <v>13238</v>
      </c>
    </row>
    <row r="191" spans="1:8" ht="38.25">
      <c r="A191" s="16" t="s">
        <v>146</v>
      </c>
      <c r="B191" s="16" t="s">
        <v>151</v>
      </c>
      <c r="C191" s="79">
        <v>910110520</v>
      </c>
      <c r="D191" s="85" t="s">
        <v>325</v>
      </c>
      <c r="E191" s="103" t="s">
        <v>14</v>
      </c>
      <c r="F191" s="114">
        <v>12239.2</v>
      </c>
      <c r="G191" s="114">
        <v>12728.8</v>
      </c>
      <c r="H191" s="114">
        <v>13238</v>
      </c>
    </row>
    <row r="192" spans="1:8" ht="25.5">
      <c r="A192" s="16" t="s">
        <v>146</v>
      </c>
      <c r="B192" s="16" t="s">
        <v>151</v>
      </c>
      <c r="C192" s="79" t="s">
        <v>269</v>
      </c>
      <c r="D192" s="129"/>
      <c r="E192" s="103" t="s">
        <v>268</v>
      </c>
      <c r="F192" s="114">
        <f>F193</f>
        <v>14676.2</v>
      </c>
      <c r="G192" s="114">
        <f>G193</f>
        <v>16457</v>
      </c>
      <c r="H192" s="114">
        <f>H193</f>
        <v>16457</v>
      </c>
    </row>
    <row r="193" spans="1:8" ht="38.25">
      <c r="A193" s="16" t="s">
        <v>146</v>
      </c>
      <c r="B193" s="16" t="s">
        <v>151</v>
      </c>
      <c r="C193" s="79" t="s">
        <v>269</v>
      </c>
      <c r="D193" s="85" t="s">
        <v>325</v>
      </c>
      <c r="E193" s="103" t="s">
        <v>326</v>
      </c>
      <c r="F193" s="114">
        <f>14293.5+382.7</f>
        <v>14676.2</v>
      </c>
      <c r="G193" s="114">
        <v>16457</v>
      </c>
      <c r="H193" s="114">
        <v>16457</v>
      </c>
    </row>
    <row r="194" spans="1:8" ht="102">
      <c r="A194" s="16" t="s">
        <v>146</v>
      </c>
      <c r="B194" s="16" t="s">
        <v>151</v>
      </c>
      <c r="C194" s="79" t="s">
        <v>753</v>
      </c>
      <c r="D194" s="129"/>
      <c r="E194" s="103" t="s">
        <v>932</v>
      </c>
      <c r="F194" s="114">
        <f>F195</f>
        <v>300</v>
      </c>
      <c r="G194" s="114">
        <f>G195</f>
        <v>0</v>
      </c>
      <c r="H194" s="114">
        <f>H195</f>
        <v>0</v>
      </c>
    </row>
    <row r="195" spans="1:8" ht="38.25">
      <c r="A195" s="16" t="s">
        <v>146</v>
      </c>
      <c r="B195" s="16" t="s">
        <v>151</v>
      </c>
      <c r="C195" s="79" t="s">
        <v>753</v>
      </c>
      <c r="D195" s="85" t="s">
        <v>325</v>
      </c>
      <c r="E195" s="103" t="s">
        <v>326</v>
      </c>
      <c r="F195" s="114">
        <f>920-620</f>
        <v>300</v>
      </c>
      <c r="G195" s="114">
        <v>0</v>
      </c>
      <c r="H195" s="114">
        <v>0</v>
      </c>
    </row>
    <row r="196" spans="1:8" ht="25.5">
      <c r="A196" s="16" t="s">
        <v>146</v>
      </c>
      <c r="B196" s="16" t="s">
        <v>151</v>
      </c>
      <c r="C196" s="79" t="s">
        <v>754</v>
      </c>
      <c r="D196" s="85"/>
      <c r="E196" s="167" t="s">
        <v>755</v>
      </c>
      <c r="F196" s="114">
        <f>F197</f>
        <v>1550</v>
      </c>
      <c r="G196" s="114">
        <f>G197</f>
        <v>0</v>
      </c>
      <c r="H196" s="114">
        <f>H197</f>
        <v>0</v>
      </c>
    </row>
    <row r="197" spans="1:8" ht="38.25">
      <c r="A197" s="16" t="s">
        <v>146</v>
      </c>
      <c r="B197" s="16" t="s">
        <v>151</v>
      </c>
      <c r="C197" s="79" t="s">
        <v>754</v>
      </c>
      <c r="D197" s="85" t="s">
        <v>325</v>
      </c>
      <c r="E197" s="103" t="s">
        <v>326</v>
      </c>
      <c r="F197" s="114">
        <f>200+1350</f>
        <v>1550</v>
      </c>
      <c r="G197" s="114">
        <v>0</v>
      </c>
      <c r="H197" s="114">
        <v>0</v>
      </c>
    </row>
    <row r="198" spans="1:8" ht="51">
      <c r="A198" s="16" t="s">
        <v>146</v>
      </c>
      <c r="B198" s="16" t="s">
        <v>151</v>
      </c>
      <c r="C198" s="79" t="s">
        <v>627</v>
      </c>
      <c r="D198" s="85"/>
      <c r="E198" s="157" t="s">
        <v>626</v>
      </c>
      <c r="F198" s="114">
        <f>F199</f>
        <v>3170.8</v>
      </c>
      <c r="G198" s="114">
        <f>G199</f>
        <v>1243.2</v>
      </c>
      <c r="H198" s="114">
        <f>H199</f>
        <v>1260.5999999999999</v>
      </c>
    </row>
    <row r="199" spans="1:8" ht="38.25">
      <c r="A199" s="16" t="s">
        <v>146</v>
      </c>
      <c r="B199" s="16" t="s">
        <v>151</v>
      </c>
      <c r="C199" s="79" t="s">
        <v>627</v>
      </c>
      <c r="D199" s="85" t="s">
        <v>325</v>
      </c>
      <c r="E199" s="103" t="s">
        <v>326</v>
      </c>
      <c r="F199" s="114">
        <f>2328.2+733.3+109.3</f>
        <v>3170.8</v>
      </c>
      <c r="G199" s="114">
        <v>1243.2</v>
      </c>
      <c r="H199" s="114">
        <v>1260.5999999999999</v>
      </c>
    </row>
    <row r="200" spans="1:8" ht="63.75">
      <c r="A200" s="16" t="s">
        <v>146</v>
      </c>
      <c r="B200" s="16" t="s">
        <v>151</v>
      </c>
      <c r="C200" s="79">
        <v>910111020</v>
      </c>
      <c r="D200" s="85"/>
      <c r="E200" s="157" t="s">
        <v>628</v>
      </c>
      <c r="F200" s="114">
        <f>F201</f>
        <v>4781.6000000000004</v>
      </c>
      <c r="G200" s="114">
        <f>G201</f>
        <v>4972.8999999999996</v>
      </c>
      <c r="H200" s="114">
        <f>H201</f>
        <v>5042.5</v>
      </c>
    </row>
    <row r="201" spans="1:8" ht="38.25">
      <c r="A201" s="16" t="s">
        <v>146</v>
      </c>
      <c r="B201" s="16" t="s">
        <v>151</v>
      </c>
      <c r="C201" s="79">
        <v>910111020</v>
      </c>
      <c r="D201" s="85" t="s">
        <v>325</v>
      </c>
      <c r="E201" s="103" t="s">
        <v>326</v>
      </c>
      <c r="F201" s="114">
        <v>4781.6000000000004</v>
      </c>
      <c r="G201" s="114">
        <v>4972.8999999999996</v>
      </c>
      <c r="H201" s="114">
        <v>5042.5</v>
      </c>
    </row>
    <row r="202" spans="1:8" ht="25.5">
      <c r="A202" s="16" t="s">
        <v>146</v>
      </c>
      <c r="B202" s="16" t="s">
        <v>151</v>
      </c>
      <c r="C202" s="79" t="s">
        <v>622</v>
      </c>
      <c r="D202" s="85"/>
      <c r="E202" s="103" t="s">
        <v>623</v>
      </c>
      <c r="F202" s="114">
        <f>F203</f>
        <v>13048.6</v>
      </c>
      <c r="G202" s="114">
        <f>G203</f>
        <v>12852.4</v>
      </c>
      <c r="H202" s="114">
        <f>H203</f>
        <v>13501.7</v>
      </c>
    </row>
    <row r="203" spans="1:8" ht="38.25">
      <c r="A203" s="16" t="s">
        <v>146</v>
      </c>
      <c r="B203" s="16" t="s">
        <v>151</v>
      </c>
      <c r="C203" s="79" t="s">
        <v>622</v>
      </c>
      <c r="D203" s="85" t="s">
        <v>325</v>
      </c>
      <c r="E203" s="103" t="s">
        <v>326</v>
      </c>
      <c r="F203" s="114">
        <f>5551.9+270.2+1453.9+4977.1+3134.6+3157.3-5464.3-32.1</f>
        <v>13048.6</v>
      </c>
      <c r="G203" s="114">
        <v>12852.4</v>
      </c>
      <c r="H203" s="114">
        <v>13501.7</v>
      </c>
    </row>
    <row r="204" spans="1:8" ht="25.5">
      <c r="A204" s="16" t="s">
        <v>146</v>
      </c>
      <c r="B204" s="16" t="s">
        <v>151</v>
      </c>
      <c r="C204" s="79">
        <v>910111050</v>
      </c>
      <c r="D204" s="85"/>
      <c r="E204" s="103" t="s">
        <v>624</v>
      </c>
      <c r="F204" s="114">
        <f>F205</f>
        <v>51113.8</v>
      </c>
      <c r="G204" s="114">
        <f>G205</f>
        <v>51409.4</v>
      </c>
      <c r="H204" s="114">
        <f>H205</f>
        <v>54006.6</v>
      </c>
    </row>
    <row r="205" spans="1:8" ht="38.25">
      <c r="A205" s="16" t="s">
        <v>146</v>
      </c>
      <c r="B205" s="16" t="s">
        <v>151</v>
      </c>
      <c r="C205" s="79">
        <v>910111050</v>
      </c>
      <c r="D205" s="85" t="s">
        <v>325</v>
      </c>
      <c r="E205" s="103" t="s">
        <v>326</v>
      </c>
      <c r="F205" s="114">
        <v>51113.8</v>
      </c>
      <c r="G205" s="114">
        <v>51409.4</v>
      </c>
      <c r="H205" s="114">
        <v>54006.6</v>
      </c>
    </row>
    <row r="206" spans="1:8" ht="25.5">
      <c r="A206" s="16" t="s">
        <v>146</v>
      </c>
      <c r="B206" s="16" t="s">
        <v>151</v>
      </c>
      <c r="C206" s="79" t="s">
        <v>743</v>
      </c>
      <c r="D206" s="85"/>
      <c r="E206" s="103" t="s">
        <v>744</v>
      </c>
      <c r="F206" s="114">
        <f>F207</f>
        <v>13080.6</v>
      </c>
      <c r="G206" s="114">
        <f t="shared" ref="G206:H206" si="28">G207</f>
        <v>0</v>
      </c>
      <c r="H206" s="114">
        <f t="shared" si="28"/>
        <v>0</v>
      </c>
    </row>
    <row r="207" spans="1:8" ht="38.25">
      <c r="A207" s="16" t="s">
        <v>146</v>
      </c>
      <c r="B207" s="16" t="s">
        <v>151</v>
      </c>
      <c r="C207" s="79" t="s">
        <v>743</v>
      </c>
      <c r="D207" s="85" t="s">
        <v>325</v>
      </c>
      <c r="E207" s="103" t="s">
        <v>326</v>
      </c>
      <c r="F207" s="114">
        <f>4416.4+8664.2</f>
        <v>13080.6</v>
      </c>
      <c r="G207" s="114">
        <v>0</v>
      </c>
      <c r="H207" s="114">
        <v>0</v>
      </c>
    </row>
    <row r="208" spans="1:8" ht="38.25">
      <c r="A208" s="16" t="s">
        <v>146</v>
      </c>
      <c r="B208" s="16" t="s">
        <v>151</v>
      </c>
      <c r="C208" s="74" t="s">
        <v>918</v>
      </c>
      <c r="D208" s="84"/>
      <c r="E208" s="184" t="s">
        <v>919</v>
      </c>
      <c r="F208" s="39">
        <f>F209</f>
        <v>532.19999999999993</v>
      </c>
      <c r="G208" s="39">
        <f t="shared" ref="G208:H208" si="29">G209</f>
        <v>0</v>
      </c>
      <c r="H208" s="39">
        <f t="shared" si="29"/>
        <v>0</v>
      </c>
    </row>
    <row r="209" spans="1:8" ht="38.25">
      <c r="A209" s="16" t="s">
        <v>146</v>
      </c>
      <c r="B209" s="16" t="s">
        <v>151</v>
      </c>
      <c r="C209" s="74" t="s">
        <v>918</v>
      </c>
      <c r="D209" s="84" t="s">
        <v>325</v>
      </c>
      <c r="E209" s="184" t="s">
        <v>326</v>
      </c>
      <c r="F209" s="39">
        <f>416.9+115.3</f>
        <v>532.19999999999993</v>
      </c>
      <c r="G209" s="114">
        <v>0</v>
      </c>
      <c r="H209" s="114">
        <v>0</v>
      </c>
    </row>
    <row r="210" spans="1:8" ht="38.25">
      <c r="A210" s="16" t="s">
        <v>146</v>
      </c>
      <c r="B210" s="16" t="s">
        <v>151</v>
      </c>
      <c r="C210" s="79" t="s">
        <v>756</v>
      </c>
      <c r="D210" s="85"/>
      <c r="E210" s="103" t="s">
        <v>757</v>
      </c>
      <c r="F210" s="114">
        <f>F211</f>
        <v>495.1</v>
      </c>
      <c r="G210" s="114">
        <f t="shared" ref="G210:H210" si="30">G211</f>
        <v>0</v>
      </c>
      <c r="H210" s="114">
        <f t="shared" si="30"/>
        <v>0</v>
      </c>
    </row>
    <row r="211" spans="1:8" ht="38.25">
      <c r="A211" s="16" t="s">
        <v>146</v>
      </c>
      <c r="B211" s="16" t="s">
        <v>151</v>
      </c>
      <c r="C211" s="79" t="s">
        <v>756</v>
      </c>
      <c r="D211" s="85" t="s">
        <v>325</v>
      </c>
      <c r="E211" s="103" t="s">
        <v>326</v>
      </c>
      <c r="F211" s="114">
        <f>900-404.9</f>
        <v>495.1</v>
      </c>
      <c r="G211" s="114">
        <v>0</v>
      </c>
      <c r="H211" s="114">
        <v>0</v>
      </c>
    </row>
    <row r="212" spans="1:8" ht="63.75">
      <c r="A212" s="5" t="s">
        <v>146</v>
      </c>
      <c r="B212" s="5" t="s">
        <v>151</v>
      </c>
      <c r="C212" s="73" t="s">
        <v>87</v>
      </c>
      <c r="D212" s="16"/>
      <c r="E212" s="53" t="s">
        <v>550</v>
      </c>
      <c r="F212" s="125">
        <f>F213+F242</f>
        <v>22223.1</v>
      </c>
      <c r="G212" s="125">
        <f>G213+G242</f>
        <v>4972.5000000000009</v>
      </c>
      <c r="H212" s="125">
        <f t="shared" ref="H212" si="31">H214+H226</f>
        <v>0</v>
      </c>
    </row>
    <row r="213" spans="1:8" ht="51" customHeight="1">
      <c r="A213" s="16" t="s">
        <v>146</v>
      </c>
      <c r="B213" s="16" t="s">
        <v>151</v>
      </c>
      <c r="C213" s="52" t="s">
        <v>778</v>
      </c>
      <c r="D213" s="16"/>
      <c r="E213" s="191" t="s">
        <v>779</v>
      </c>
      <c r="F213" s="98">
        <f>F214+F220+F226+F234</f>
        <v>8850.7000000000007</v>
      </c>
      <c r="G213" s="98">
        <f>G214+G220+G226+G234</f>
        <v>4972.5000000000009</v>
      </c>
      <c r="H213" s="98">
        <f t="shared" ref="H213" si="32">H214</f>
        <v>0</v>
      </c>
    </row>
    <row r="214" spans="1:8" ht="57.75" customHeight="1">
      <c r="A214" s="16" t="s">
        <v>146</v>
      </c>
      <c r="B214" s="16" t="s">
        <v>151</v>
      </c>
      <c r="C214" s="21" t="s">
        <v>900</v>
      </c>
      <c r="D214" s="84"/>
      <c r="E214" s="184" t="s">
        <v>780</v>
      </c>
      <c r="F214" s="41">
        <f>F215</f>
        <v>2191.1</v>
      </c>
      <c r="G214" s="41">
        <f>G215</f>
        <v>442.6</v>
      </c>
      <c r="H214" s="41">
        <f>H215</f>
        <v>0</v>
      </c>
    </row>
    <row r="215" spans="1:8" ht="38.25">
      <c r="A215" s="16" t="s">
        <v>146</v>
      </c>
      <c r="B215" s="16" t="s">
        <v>151</v>
      </c>
      <c r="C215" s="21" t="s">
        <v>900</v>
      </c>
      <c r="D215" s="84" t="s">
        <v>325</v>
      </c>
      <c r="E215" s="184" t="s">
        <v>326</v>
      </c>
      <c r="F215" s="41">
        <f>F217+F219</f>
        <v>2191.1</v>
      </c>
      <c r="G215" s="41">
        <v>442.6</v>
      </c>
      <c r="H215" s="39">
        <v>0</v>
      </c>
    </row>
    <row r="216" spans="1:8" ht="51">
      <c r="A216" s="16" t="s">
        <v>146</v>
      </c>
      <c r="B216" s="16" t="s">
        <v>151</v>
      </c>
      <c r="C216" s="21" t="s">
        <v>904</v>
      </c>
      <c r="D216" s="16"/>
      <c r="E216" s="105" t="s">
        <v>905</v>
      </c>
      <c r="F216" s="192">
        <f>F217</f>
        <v>1404.8</v>
      </c>
      <c r="G216" s="192">
        <f t="shared" ref="G216:H216" si="33">G217</f>
        <v>0</v>
      </c>
      <c r="H216" s="192">
        <f t="shared" si="33"/>
        <v>0</v>
      </c>
    </row>
    <row r="217" spans="1:8" ht="38.25">
      <c r="A217" s="16" t="s">
        <v>146</v>
      </c>
      <c r="B217" s="16" t="s">
        <v>151</v>
      </c>
      <c r="C217" s="21" t="s">
        <v>904</v>
      </c>
      <c r="D217" s="84" t="s">
        <v>325</v>
      </c>
      <c r="E217" s="184" t="s">
        <v>326</v>
      </c>
      <c r="F217" s="192">
        <f>1170.7+234.1</f>
        <v>1404.8</v>
      </c>
      <c r="G217" s="41">
        <v>0</v>
      </c>
      <c r="H217" s="39">
        <v>0</v>
      </c>
    </row>
    <row r="218" spans="1:8" ht="51">
      <c r="A218" s="16" t="s">
        <v>146</v>
      </c>
      <c r="B218" s="16" t="s">
        <v>151</v>
      </c>
      <c r="C218" s="21" t="s">
        <v>906</v>
      </c>
      <c r="D218" s="16"/>
      <c r="E218" s="105" t="s">
        <v>907</v>
      </c>
      <c r="F218" s="192">
        <f>F219</f>
        <v>786.3</v>
      </c>
      <c r="G218" s="192">
        <f t="shared" ref="G218:H218" si="34">G219</f>
        <v>0</v>
      </c>
      <c r="H218" s="192">
        <f t="shared" si="34"/>
        <v>0</v>
      </c>
    </row>
    <row r="219" spans="1:8" ht="38.25">
      <c r="A219" s="16" t="s">
        <v>146</v>
      </c>
      <c r="B219" s="16" t="s">
        <v>151</v>
      </c>
      <c r="C219" s="21" t="s">
        <v>906</v>
      </c>
      <c r="D219" s="84" t="s">
        <v>325</v>
      </c>
      <c r="E219" s="184" t="s">
        <v>326</v>
      </c>
      <c r="F219" s="192">
        <f>703.8+82.5</f>
        <v>786.3</v>
      </c>
      <c r="G219" s="41">
        <v>0</v>
      </c>
      <c r="H219" s="39">
        <v>0</v>
      </c>
    </row>
    <row r="220" spans="1:8" ht="38.25">
      <c r="A220" s="16" t="s">
        <v>146</v>
      </c>
      <c r="B220" s="16" t="s">
        <v>151</v>
      </c>
      <c r="C220" s="21" t="s">
        <v>908</v>
      </c>
      <c r="D220" s="85"/>
      <c r="E220" s="54" t="s">
        <v>835</v>
      </c>
      <c r="F220" s="41">
        <f>F221</f>
        <v>1865</v>
      </c>
      <c r="G220" s="41">
        <f t="shared" ref="G220:H220" si="35">G221</f>
        <v>0</v>
      </c>
      <c r="H220" s="41">
        <f t="shared" si="35"/>
        <v>0</v>
      </c>
    </row>
    <row r="221" spans="1:8" ht="38.25">
      <c r="A221" s="16" t="s">
        <v>146</v>
      </c>
      <c r="B221" s="16" t="s">
        <v>151</v>
      </c>
      <c r="C221" s="21" t="s">
        <v>908</v>
      </c>
      <c r="D221" s="85" t="s">
        <v>325</v>
      </c>
      <c r="E221" s="103" t="s">
        <v>326</v>
      </c>
      <c r="F221" s="41">
        <f>F223+F225</f>
        <v>1865</v>
      </c>
      <c r="G221" s="41">
        <f t="shared" ref="G221:H221" si="36">G223+G225</f>
        <v>0</v>
      </c>
      <c r="H221" s="41">
        <f t="shared" si="36"/>
        <v>0</v>
      </c>
    </row>
    <row r="222" spans="1:8" ht="51">
      <c r="A222" s="16" t="s">
        <v>146</v>
      </c>
      <c r="B222" s="16" t="s">
        <v>151</v>
      </c>
      <c r="C222" s="21" t="s">
        <v>909</v>
      </c>
      <c r="D222" s="84"/>
      <c r="E222" s="105" t="s">
        <v>905</v>
      </c>
      <c r="F222" s="192">
        <f>F223</f>
        <v>1170</v>
      </c>
      <c r="G222" s="192">
        <f t="shared" ref="G222:H222" si="37">G223</f>
        <v>0</v>
      </c>
      <c r="H222" s="192">
        <f t="shared" si="37"/>
        <v>0</v>
      </c>
    </row>
    <row r="223" spans="1:8" ht="38.25">
      <c r="A223" s="16" t="s">
        <v>146</v>
      </c>
      <c r="B223" s="16" t="s">
        <v>151</v>
      </c>
      <c r="C223" s="21" t="s">
        <v>909</v>
      </c>
      <c r="D223" s="85" t="s">
        <v>325</v>
      </c>
      <c r="E223" s="103" t="s">
        <v>326</v>
      </c>
      <c r="F223" s="192">
        <v>1170</v>
      </c>
      <c r="G223" s="41">
        <v>0</v>
      </c>
      <c r="H223" s="41">
        <v>0</v>
      </c>
    </row>
    <row r="224" spans="1:8" ht="51">
      <c r="A224" s="16" t="s">
        <v>146</v>
      </c>
      <c r="B224" s="16" t="s">
        <v>151</v>
      </c>
      <c r="C224" s="21" t="s">
        <v>910</v>
      </c>
      <c r="D224" s="84"/>
      <c r="E224" s="105" t="s">
        <v>907</v>
      </c>
      <c r="F224" s="192">
        <f>F225</f>
        <v>695</v>
      </c>
      <c r="G224" s="192">
        <f t="shared" ref="G224:H224" si="38">G225</f>
        <v>0</v>
      </c>
      <c r="H224" s="192">
        <f t="shared" si="38"/>
        <v>0</v>
      </c>
    </row>
    <row r="225" spans="1:8" ht="38.25">
      <c r="A225" s="16" t="s">
        <v>146</v>
      </c>
      <c r="B225" s="16" t="s">
        <v>151</v>
      </c>
      <c r="C225" s="21" t="s">
        <v>910</v>
      </c>
      <c r="D225" s="85" t="s">
        <v>325</v>
      </c>
      <c r="E225" s="103" t="s">
        <v>326</v>
      </c>
      <c r="F225" s="192">
        <v>695</v>
      </c>
      <c r="G225" s="41">
        <v>0</v>
      </c>
      <c r="H225" s="41">
        <v>0</v>
      </c>
    </row>
    <row r="226" spans="1:8" ht="54.75" customHeight="1">
      <c r="A226" s="16" t="s">
        <v>146</v>
      </c>
      <c r="B226" s="16" t="s">
        <v>151</v>
      </c>
      <c r="C226" s="21" t="s">
        <v>923</v>
      </c>
      <c r="D226" s="84"/>
      <c r="E226" s="184" t="s">
        <v>780</v>
      </c>
      <c r="F226" s="192">
        <f>F227</f>
        <v>2602.6</v>
      </c>
      <c r="G226" s="192">
        <f t="shared" ref="G226:H226" si="39">G227</f>
        <v>4529.9000000000005</v>
      </c>
      <c r="H226" s="192">
        <f t="shared" si="39"/>
        <v>0</v>
      </c>
    </row>
    <row r="227" spans="1:8" ht="38.25">
      <c r="A227" s="16" t="s">
        <v>146</v>
      </c>
      <c r="B227" s="16" t="s">
        <v>151</v>
      </c>
      <c r="C227" s="21" t="s">
        <v>923</v>
      </c>
      <c r="D227" s="84" t="s">
        <v>325</v>
      </c>
      <c r="E227" s="184" t="s">
        <v>326</v>
      </c>
      <c r="F227" s="192">
        <f>F229+F231+F233</f>
        <v>2602.6</v>
      </c>
      <c r="G227" s="192">
        <f>412.6+4117.3</f>
        <v>4529.9000000000005</v>
      </c>
      <c r="H227" s="192">
        <f t="shared" ref="H227" si="40">H229+H231+H233</f>
        <v>0</v>
      </c>
    </row>
    <row r="228" spans="1:8" ht="51">
      <c r="A228" s="16" t="s">
        <v>146</v>
      </c>
      <c r="B228" s="16" t="s">
        <v>151</v>
      </c>
      <c r="C228" s="21" t="s">
        <v>924</v>
      </c>
      <c r="D228" s="16"/>
      <c r="E228" s="105" t="s">
        <v>901</v>
      </c>
      <c r="F228" s="192">
        <f>F229</f>
        <v>1145.5999999999999</v>
      </c>
      <c r="G228" s="192">
        <f t="shared" ref="G228:H228" si="41">G229</f>
        <v>0</v>
      </c>
      <c r="H228" s="192">
        <f t="shared" si="41"/>
        <v>0</v>
      </c>
    </row>
    <row r="229" spans="1:8" ht="38.25">
      <c r="A229" s="16" t="s">
        <v>146</v>
      </c>
      <c r="B229" s="16" t="s">
        <v>151</v>
      </c>
      <c r="C229" s="21" t="s">
        <v>924</v>
      </c>
      <c r="D229" s="84" t="s">
        <v>325</v>
      </c>
      <c r="E229" s="184" t="s">
        <v>326</v>
      </c>
      <c r="F229" s="192">
        <f>973.2+193.8-21.4</f>
        <v>1145.5999999999999</v>
      </c>
      <c r="G229" s="41">
        <v>0</v>
      </c>
      <c r="H229" s="39">
        <v>0</v>
      </c>
    </row>
    <row r="230" spans="1:8" ht="63.75">
      <c r="A230" s="16" t="s">
        <v>146</v>
      </c>
      <c r="B230" s="16" t="s">
        <v>151</v>
      </c>
      <c r="C230" s="21" t="s">
        <v>925</v>
      </c>
      <c r="D230" s="16"/>
      <c r="E230" s="105" t="s">
        <v>902</v>
      </c>
      <c r="F230" s="192">
        <f>F231</f>
        <v>813</v>
      </c>
      <c r="G230" s="192">
        <f t="shared" ref="G230:H230" si="42">G231</f>
        <v>0</v>
      </c>
      <c r="H230" s="192">
        <f t="shared" si="42"/>
        <v>0</v>
      </c>
    </row>
    <row r="231" spans="1:8" ht="38.25">
      <c r="A231" s="16" t="s">
        <v>146</v>
      </c>
      <c r="B231" s="16" t="s">
        <v>151</v>
      </c>
      <c r="C231" s="21" t="s">
        <v>925</v>
      </c>
      <c r="D231" s="84" t="s">
        <v>325</v>
      </c>
      <c r="E231" s="184" t="s">
        <v>326</v>
      </c>
      <c r="F231" s="192">
        <f>677.5+135.5</f>
        <v>813</v>
      </c>
      <c r="G231" s="41">
        <v>0</v>
      </c>
      <c r="H231" s="39">
        <v>0</v>
      </c>
    </row>
    <row r="232" spans="1:8" ht="51">
      <c r="A232" s="16" t="s">
        <v>146</v>
      </c>
      <c r="B232" s="16" t="s">
        <v>151</v>
      </c>
      <c r="C232" s="21" t="s">
        <v>926</v>
      </c>
      <c r="D232" s="16"/>
      <c r="E232" s="105" t="s">
        <v>903</v>
      </c>
      <c r="F232" s="192">
        <f>F233</f>
        <v>644</v>
      </c>
      <c r="G232" s="192">
        <f t="shared" ref="G232:H232" si="43">G233</f>
        <v>0</v>
      </c>
      <c r="H232" s="192">
        <f t="shared" si="43"/>
        <v>0</v>
      </c>
    </row>
    <row r="233" spans="1:8" ht="38.25">
      <c r="A233" s="16" t="s">
        <v>146</v>
      </c>
      <c r="B233" s="16" t="s">
        <v>151</v>
      </c>
      <c r="C233" s="21" t="s">
        <v>926</v>
      </c>
      <c r="D233" s="84" t="s">
        <v>325</v>
      </c>
      <c r="E233" s="184" t="s">
        <v>326</v>
      </c>
      <c r="F233" s="192">
        <f>535.4+108.6</f>
        <v>644</v>
      </c>
      <c r="G233" s="41">
        <v>0</v>
      </c>
      <c r="H233" s="39">
        <v>0</v>
      </c>
    </row>
    <row r="234" spans="1:8" ht="38.25">
      <c r="A234" s="16" t="s">
        <v>146</v>
      </c>
      <c r="B234" s="16" t="s">
        <v>151</v>
      </c>
      <c r="C234" s="21" t="s">
        <v>927</v>
      </c>
      <c r="D234" s="85"/>
      <c r="E234" s="54" t="s">
        <v>835</v>
      </c>
      <c r="F234" s="41">
        <f>F235</f>
        <v>2192</v>
      </c>
      <c r="G234" s="41">
        <f t="shared" ref="G234:H234" si="44">G235</f>
        <v>0</v>
      </c>
      <c r="H234" s="41">
        <f t="shared" si="44"/>
        <v>0</v>
      </c>
    </row>
    <row r="235" spans="1:8" ht="38.25">
      <c r="A235" s="16" t="s">
        <v>146</v>
      </c>
      <c r="B235" s="16" t="s">
        <v>151</v>
      </c>
      <c r="C235" s="21" t="s">
        <v>927</v>
      </c>
      <c r="D235" s="85" t="s">
        <v>325</v>
      </c>
      <c r="E235" s="103" t="s">
        <v>326</v>
      </c>
      <c r="F235" s="41">
        <f>F237+F239+F241</f>
        <v>2192</v>
      </c>
      <c r="G235" s="41">
        <f t="shared" ref="G235:H235" si="45">G237+G239+G241</f>
        <v>0</v>
      </c>
      <c r="H235" s="41">
        <f t="shared" si="45"/>
        <v>0</v>
      </c>
    </row>
    <row r="236" spans="1:8" ht="51">
      <c r="A236" s="16" t="s">
        <v>146</v>
      </c>
      <c r="B236" s="16" t="s">
        <v>151</v>
      </c>
      <c r="C236" s="21" t="s">
        <v>928</v>
      </c>
      <c r="D236" s="85"/>
      <c r="E236" s="105" t="s">
        <v>901</v>
      </c>
      <c r="F236" s="41">
        <f>F237</f>
        <v>965</v>
      </c>
      <c r="G236" s="41">
        <f t="shared" ref="G236:H236" si="46">G237</f>
        <v>0</v>
      </c>
      <c r="H236" s="41">
        <f t="shared" si="46"/>
        <v>0</v>
      </c>
    </row>
    <row r="237" spans="1:8" ht="38.25">
      <c r="A237" s="16" t="s">
        <v>146</v>
      </c>
      <c r="B237" s="16" t="s">
        <v>151</v>
      </c>
      <c r="C237" s="21" t="s">
        <v>928</v>
      </c>
      <c r="D237" s="85" t="s">
        <v>325</v>
      </c>
      <c r="E237" s="103" t="s">
        <v>326</v>
      </c>
      <c r="F237" s="41">
        <v>965</v>
      </c>
      <c r="G237" s="41">
        <v>0</v>
      </c>
      <c r="H237" s="41">
        <v>0</v>
      </c>
    </row>
    <row r="238" spans="1:8" ht="63.75">
      <c r="A238" s="16" t="s">
        <v>146</v>
      </c>
      <c r="B238" s="16" t="s">
        <v>151</v>
      </c>
      <c r="C238" s="21" t="s">
        <v>929</v>
      </c>
      <c r="D238" s="84"/>
      <c r="E238" s="105" t="s">
        <v>902</v>
      </c>
      <c r="F238" s="192">
        <f>F239</f>
        <v>677</v>
      </c>
      <c r="G238" s="192">
        <f t="shared" ref="G238:H238" si="47">G239</f>
        <v>0</v>
      </c>
      <c r="H238" s="192">
        <f t="shared" si="47"/>
        <v>0</v>
      </c>
    </row>
    <row r="239" spans="1:8" ht="38.25">
      <c r="A239" s="16" t="s">
        <v>146</v>
      </c>
      <c r="B239" s="16" t="s">
        <v>151</v>
      </c>
      <c r="C239" s="21" t="s">
        <v>929</v>
      </c>
      <c r="D239" s="85" t="s">
        <v>325</v>
      </c>
      <c r="E239" s="103" t="s">
        <v>326</v>
      </c>
      <c r="F239" s="192">
        <v>677</v>
      </c>
      <c r="G239" s="41">
        <v>0</v>
      </c>
      <c r="H239" s="41">
        <v>0</v>
      </c>
    </row>
    <row r="240" spans="1:8" ht="51">
      <c r="A240" s="16" t="s">
        <v>146</v>
      </c>
      <c r="B240" s="16" t="s">
        <v>151</v>
      </c>
      <c r="C240" s="21" t="s">
        <v>930</v>
      </c>
      <c r="D240" s="84"/>
      <c r="E240" s="105" t="s">
        <v>903</v>
      </c>
      <c r="F240" s="192">
        <f>F241</f>
        <v>550</v>
      </c>
      <c r="G240" s="192">
        <f t="shared" ref="G240:H240" si="48">G241</f>
        <v>0</v>
      </c>
      <c r="H240" s="192">
        <f t="shared" si="48"/>
        <v>0</v>
      </c>
    </row>
    <row r="241" spans="1:8" ht="38.25">
      <c r="A241" s="16" t="s">
        <v>146</v>
      </c>
      <c r="B241" s="16" t="s">
        <v>151</v>
      </c>
      <c r="C241" s="21" t="s">
        <v>930</v>
      </c>
      <c r="D241" s="85" t="s">
        <v>325</v>
      </c>
      <c r="E241" s="103" t="s">
        <v>326</v>
      </c>
      <c r="F241" s="192">
        <v>550</v>
      </c>
      <c r="G241" s="41">
        <v>0</v>
      </c>
      <c r="H241" s="41">
        <v>0</v>
      </c>
    </row>
    <row r="242" spans="1:8" ht="63.75">
      <c r="A242" s="16" t="s">
        <v>146</v>
      </c>
      <c r="B242" s="16" t="s">
        <v>151</v>
      </c>
      <c r="C242" s="52" t="s">
        <v>769</v>
      </c>
      <c r="D242" s="16"/>
      <c r="E242" s="60" t="s">
        <v>770</v>
      </c>
      <c r="F242" s="98">
        <f>F243</f>
        <v>13372.4</v>
      </c>
      <c r="G242" s="98">
        <f t="shared" ref="G242:H242" si="49">G243</f>
        <v>0</v>
      </c>
      <c r="H242" s="98">
        <f t="shared" si="49"/>
        <v>0</v>
      </c>
    </row>
    <row r="243" spans="1:8" ht="51">
      <c r="A243" s="16" t="s">
        <v>146</v>
      </c>
      <c r="B243" s="16" t="s">
        <v>151</v>
      </c>
      <c r="C243" s="21" t="s">
        <v>874</v>
      </c>
      <c r="D243" s="85"/>
      <c r="E243" s="103" t="s">
        <v>795</v>
      </c>
      <c r="F243" s="41">
        <f>F244</f>
        <v>13372.4</v>
      </c>
      <c r="G243" s="41">
        <f t="shared" ref="G243:H243" si="50">G244</f>
        <v>0</v>
      </c>
      <c r="H243" s="41">
        <f t="shared" si="50"/>
        <v>0</v>
      </c>
    </row>
    <row r="244" spans="1:8" ht="38.25">
      <c r="A244" s="16" t="s">
        <v>146</v>
      </c>
      <c r="B244" s="16" t="s">
        <v>151</v>
      </c>
      <c r="C244" s="21" t="s">
        <v>874</v>
      </c>
      <c r="D244" s="85" t="s">
        <v>325</v>
      </c>
      <c r="E244" s="103" t="s">
        <v>326</v>
      </c>
      <c r="F244" s="41">
        <f>F246+F248+F250+F252+F254+F256</f>
        <v>13372.4</v>
      </c>
      <c r="G244" s="41">
        <f t="shared" ref="G244:H244" si="51">G246+G248+G250+G252</f>
        <v>0</v>
      </c>
      <c r="H244" s="41">
        <f t="shared" si="51"/>
        <v>0</v>
      </c>
    </row>
    <row r="245" spans="1:8" ht="42" customHeight="1">
      <c r="A245" s="16" t="s">
        <v>146</v>
      </c>
      <c r="B245" s="16" t="s">
        <v>151</v>
      </c>
      <c r="C245" s="21" t="s">
        <v>870</v>
      </c>
      <c r="D245" s="85"/>
      <c r="E245" s="103" t="s">
        <v>866</v>
      </c>
      <c r="F245" s="41">
        <f>F246</f>
        <v>1338.2</v>
      </c>
      <c r="G245" s="41">
        <f t="shared" ref="G245:H245" si="52">G246</f>
        <v>0</v>
      </c>
      <c r="H245" s="41">
        <f t="shared" si="52"/>
        <v>0</v>
      </c>
    </row>
    <row r="246" spans="1:8" ht="38.25">
      <c r="A246" s="16" t="s">
        <v>146</v>
      </c>
      <c r="B246" s="16" t="s">
        <v>151</v>
      </c>
      <c r="C246" s="21" t="s">
        <v>870</v>
      </c>
      <c r="D246" s="85" t="s">
        <v>325</v>
      </c>
      <c r="E246" s="103" t="s">
        <v>326</v>
      </c>
      <c r="F246" s="41">
        <f>1310.7+27.5</f>
        <v>1338.2</v>
      </c>
      <c r="G246" s="41">
        <v>0</v>
      </c>
      <c r="H246" s="39">
        <v>0</v>
      </c>
    </row>
    <row r="247" spans="1:8" ht="42" customHeight="1">
      <c r="A247" s="16" t="s">
        <v>146</v>
      </c>
      <c r="B247" s="16" t="s">
        <v>151</v>
      </c>
      <c r="C247" s="21" t="s">
        <v>871</v>
      </c>
      <c r="D247" s="85"/>
      <c r="E247" s="103" t="s">
        <v>867</v>
      </c>
      <c r="F247" s="41">
        <f>F248</f>
        <v>1086.8</v>
      </c>
      <c r="G247" s="41">
        <f t="shared" ref="G247:H247" si="53">G248</f>
        <v>0</v>
      </c>
      <c r="H247" s="41">
        <f t="shared" si="53"/>
        <v>0</v>
      </c>
    </row>
    <row r="248" spans="1:8" ht="38.25">
      <c r="A248" s="16" t="s">
        <v>146</v>
      </c>
      <c r="B248" s="16" t="s">
        <v>151</v>
      </c>
      <c r="C248" s="21" t="s">
        <v>871</v>
      </c>
      <c r="D248" s="85" t="s">
        <v>325</v>
      </c>
      <c r="E248" s="103" t="s">
        <v>326</v>
      </c>
      <c r="F248" s="41">
        <f>1022.6+21.4+42.8</f>
        <v>1086.8</v>
      </c>
      <c r="G248" s="41">
        <v>0</v>
      </c>
      <c r="H248" s="39">
        <v>0</v>
      </c>
    </row>
    <row r="249" spans="1:8" ht="22.5" customHeight="1">
      <c r="A249" s="16" t="s">
        <v>146</v>
      </c>
      <c r="B249" s="16" t="s">
        <v>151</v>
      </c>
      <c r="C249" s="21" t="s">
        <v>872</v>
      </c>
      <c r="D249" s="85"/>
      <c r="E249" s="103" t="s">
        <v>868</v>
      </c>
      <c r="F249" s="41">
        <f>F250</f>
        <v>4042.7</v>
      </c>
      <c r="G249" s="41">
        <f t="shared" ref="G249:H249" si="54">G250</f>
        <v>0</v>
      </c>
      <c r="H249" s="41">
        <f t="shared" si="54"/>
        <v>0</v>
      </c>
    </row>
    <row r="250" spans="1:8" ht="38.25">
      <c r="A250" s="16" t="s">
        <v>146</v>
      </c>
      <c r="B250" s="16" t="s">
        <v>151</v>
      </c>
      <c r="C250" s="21" t="s">
        <v>872</v>
      </c>
      <c r="D250" s="85" t="s">
        <v>325</v>
      </c>
      <c r="E250" s="103" t="s">
        <v>326</v>
      </c>
      <c r="F250" s="41">
        <f>4012.6+30+0.1</f>
        <v>4042.7</v>
      </c>
      <c r="G250" s="41">
        <v>0</v>
      </c>
      <c r="H250" s="39">
        <v>0</v>
      </c>
    </row>
    <row r="251" spans="1:8" ht="25.5">
      <c r="A251" s="16" t="s">
        <v>146</v>
      </c>
      <c r="B251" s="16" t="s">
        <v>151</v>
      </c>
      <c r="C251" s="21" t="s">
        <v>873</v>
      </c>
      <c r="D251" s="85"/>
      <c r="E251" s="188" t="s">
        <v>869</v>
      </c>
      <c r="F251" s="41">
        <f>F252</f>
        <v>5398.2</v>
      </c>
      <c r="G251" s="41">
        <f t="shared" ref="G251:H251" si="55">G252</f>
        <v>0</v>
      </c>
      <c r="H251" s="41">
        <f t="shared" si="55"/>
        <v>0</v>
      </c>
    </row>
    <row r="252" spans="1:8" ht="38.25">
      <c r="A252" s="16" t="s">
        <v>146</v>
      </c>
      <c r="B252" s="16" t="s">
        <v>151</v>
      </c>
      <c r="C252" s="21" t="s">
        <v>873</v>
      </c>
      <c r="D252" s="85" t="s">
        <v>325</v>
      </c>
      <c r="E252" s="103" t="s">
        <v>326</v>
      </c>
      <c r="F252" s="41">
        <f>5368.2+30</f>
        <v>5398.2</v>
      </c>
      <c r="G252" s="41">
        <v>0</v>
      </c>
      <c r="H252" s="39">
        <v>0</v>
      </c>
    </row>
    <row r="253" spans="1:8" ht="38.25">
      <c r="A253" s="16" t="s">
        <v>146</v>
      </c>
      <c r="B253" s="16" t="s">
        <v>151</v>
      </c>
      <c r="C253" s="21" t="s">
        <v>913</v>
      </c>
      <c r="D253" s="85"/>
      <c r="E253" s="103" t="s">
        <v>914</v>
      </c>
      <c r="F253" s="41">
        <f>F254</f>
        <v>1278.5999999999999</v>
      </c>
      <c r="G253" s="41">
        <f t="shared" ref="G253:H253" si="56">G254</f>
        <v>0</v>
      </c>
      <c r="H253" s="41">
        <f t="shared" si="56"/>
        <v>0</v>
      </c>
    </row>
    <row r="254" spans="1:8" ht="38.25">
      <c r="A254" s="16" t="s">
        <v>146</v>
      </c>
      <c r="B254" s="16" t="s">
        <v>151</v>
      </c>
      <c r="C254" s="21" t="s">
        <v>913</v>
      </c>
      <c r="D254" s="85" t="s">
        <v>325</v>
      </c>
      <c r="E254" s="103" t="s">
        <v>326</v>
      </c>
      <c r="F254" s="95">
        <v>1278.5999999999999</v>
      </c>
      <c r="G254" s="41">
        <v>0</v>
      </c>
      <c r="H254" s="39">
        <v>0</v>
      </c>
    </row>
    <row r="255" spans="1:8" ht="25.5">
      <c r="A255" s="16" t="s">
        <v>146</v>
      </c>
      <c r="B255" s="16" t="s">
        <v>151</v>
      </c>
      <c r="C255" s="21" t="s">
        <v>969</v>
      </c>
      <c r="D255" s="85"/>
      <c r="E255" s="184" t="s">
        <v>970</v>
      </c>
      <c r="F255" s="158">
        <f>F256</f>
        <v>227.9</v>
      </c>
      <c r="G255" s="158">
        <f t="shared" ref="G255:H255" si="57">G256</f>
        <v>0</v>
      </c>
      <c r="H255" s="158">
        <f t="shared" si="57"/>
        <v>0</v>
      </c>
    </row>
    <row r="256" spans="1:8" ht="38.25">
      <c r="A256" s="16" t="s">
        <v>146</v>
      </c>
      <c r="B256" s="16" t="s">
        <v>151</v>
      </c>
      <c r="C256" s="21" t="s">
        <v>969</v>
      </c>
      <c r="D256" s="85" t="s">
        <v>325</v>
      </c>
      <c r="E256" s="103" t="s">
        <v>326</v>
      </c>
      <c r="F256" s="95">
        <v>227.9</v>
      </c>
      <c r="G256" s="41">
        <v>0</v>
      </c>
      <c r="H256" s="39">
        <v>0</v>
      </c>
    </row>
    <row r="257" spans="1:8" ht="66" customHeight="1">
      <c r="A257" s="73" t="s">
        <v>146</v>
      </c>
      <c r="B257" s="73" t="s">
        <v>151</v>
      </c>
      <c r="C257" s="73" t="s">
        <v>347</v>
      </c>
      <c r="D257" s="16"/>
      <c r="E257" s="64" t="s">
        <v>529</v>
      </c>
      <c r="F257" s="101">
        <f>F258</f>
        <v>7264.2999999999993</v>
      </c>
      <c r="G257" s="101">
        <f t="shared" ref="G257:H257" si="58">G258</f>
        <v>4999.2</v>
      </c>
      <c r="H257" s="101">
        <f t="shared" si="58"/>
        <v>4992.3</v>
      </c>
    </row>
    <row r="258" spans="1:8" ht="51">
      <c r="A258" s="21" t="s">
        <v>146</v>
      </c>
      <c r="B258" s="21" t="s">
        <v>151</v>
      </c>
      <c r="C258" s="52" t="s">
        <v>348</v>
      </c>
      <c r="D258" s="16"/>
      <c r="E258" s="48" t="s">
        <v>349</v>
      </c>
      <c r="F258" s="58">
        <f>F259+F261+F263+F265+F267+F269</f>
        <v>7264.2999999999993</v>
      </c>
      <c r="G258" s="58">
        <f t="shared" ref="G258:H258" si="59">G259+G261+G263+G265+G267+G269</f>
        <v>4999.2</v>
      </c>
      <c r="H258" s="58">
        <f t="shared" si="59"/>
        <v>4992.3</v>
      </c>
    </row>
    <row r="259" spans="1:8" ht="38.25">
      <c r="A259" s="21" t="s">
        <v>146</v>
      </c>
      <c r="B259" s="21" t="s">
        <v>151</v>
      </c>
      <c r="C259" s="21" t="s">
        <v>352</v>
      </c>
      <c r="D259" s="16"/>
      <c r="E259" s="103" t="s">
        <v>615</v>
      </c>
      <c r="F259" s="99">
        <f>F260</f>
        <v>1893.1</v>
      </c>
      <c r="G259" s="99">
        <f>G260</f>
        <v>500</v>
      </c>
      <c r="H259" s="99">
        <f>H260</f>
        <v>500</v>
      </c>
    </row>
    <row r="260" spans="1:8" ht="38.25">
      <c r="A260" s="21" t="s">
        <v>146</v>
      </c>
      <c r="B260" s="21" t="s">
        <v>151</v>
      </c>
      <c r="C260" s="21" t="s">
        <v>352</v>
      </c>
      <c r="D260" s="85" t="s">
        <v>325</v>
      </c>
      <c r="E260" s="103" t="s">
        <v>326</v>
      </c>
      <c r="F260" s="41">
        <f>2381.2-488.1</f>
        <v>1893.1</v>
      </c>
      <c r="G260" s="41">
        <v>500</v>
      </c>
      <c r="H260" s="41">
        <v>500</v>
      </c>
    </row>
    <row r="261" spans="1:8" ht="25.5">
      <c r="A261" s="21" t="s">
        <v>146</v>
      </c>
      <c r="B261" s="21" t="s">
        <v>151</v>
      </c>
      <c r="C261" s="21" t="s">
        <v>530</v>
      </c>
      <c r="D261" s="85"/>
      <c r="E261" s="103" t="s">
        <v>531</v>
      </c>
      <c r="F261" s="41">
        <f t="shared" ref="F261:H261" si="60">F262</f>
        <v>362.6</v>
      </c>
      <c r="G261" s="41">
        <f t="shared" si="60"/>
        <v>275</v>
      </c>
      <c r="H261" s="41">
        <f t="shared" si="60"/>
        <v>275</v>
      </c>
    </row>
    <row r="262" spans="1:8" ht="38.25">
      <c r="A262" s="21" t="s">
        <v>146</v>
      </c>
      <c r="B262" s="21" t="s">
        <v>151</v>
      </c>
      <c r="C262" s="21" t="s">
        <v>530</v>
      </c>
      <c r="D262" s="85" t="s">
        <v>325</v>
      </c>
      <c r="E262" s="103" t="s">
        <v>326</v>
      </c>
      <c r="F262" s="41">
        <f>22.6+350-10</f>
        <v>362.6</v>
      </c>
      <c r="G262" s="41">
        <v>275</v>
      </c>
      <c r="H262" s="41">
        <v>275</v>
      </c>
    </row>
    <row r="263" spans="1:8" ht="38.25">
      <c r="A263" s="21" t="s">
        <v>146</v>
      </c>
      <c r="B263" s="21" t="s">
        <v>151</v>
      </c>
      <c r="C263" s="21" t="s">
        <v>812</v>
      </c>
      <c r="D263" s="85"/>
      <c r="E263" s="54" t="s">
        <v>739</v>
      </c>
      <c r="F263" s="41">
        <f>F264</f>
        <v>184.4</v>
      </c>
      <c r="G263" s="41">
        <f t="shared" ref="G263:H263" si="61">G264</f>
        <v>0</v>
      </c>
      <c r="H263" s="41">
        <f t="shared" si="61"/>
        <v>0</v>
      </c>
    </row>
    <row r="264" spans="1:8" ht="38.25">
      <c r="A264" s="21" t="s">
        <v>146</v>
      </c>
      <c r="B264" s="21" t="s">
        <v>151</v>
      </c>
      <c r="C264" s="21" t="s">
        <v>812</v>
      </c>
      <c r="D264" s="85" t="s">
        <v>325</v>
      </c>
      <c r="E264" s="103" t="s">
        <v>326</v>
      </c>
      <c r="F264" s="41">
        <v>184.4</v>
      </c>
      <c r="G264" s="41">
        <v>0</v>
      </c>
      <c r="H264" s="41">
        <v>0</v>
      </c>
    </row>
    <row r="265" spans="1:8">
      <c r="A265" s="21" t="s">
        <v>146</v>
      </c>
      <c r="B265" s="21" t="s">
        <v>151</v>
      </c>
      <c r="C265" s="21" t="s">
        <v>813</v>
      </c>
      <c r="D265" s="85"/>
      <c r="E265" s="54" t="s">
        <v>798</v>
      </c>
      <c r="F265" s="41">
        <f>F266</f>
        <v>600</v>
      </c>
      <c r="G265" s="41">
        <f t="shared" ref="G265:H265" si="62">G266</f>
        <v>0</v>
      </c>
      <c r="H265" s="41">
        <f t="shared" si="62"/>
        <v>0</v>
      </c>
    </row>
    <row r="266" spans="1:8" ht="38.25">
      <c r="A266" s="21" t="s">
        <v>146</v>
      </c>
      <c r="B266" s="21" t="s">
        <v>151</v>
      </c>
      <c r="C266" s="21" t="s">
        <v>813</v>
      </c>
      <c r="D266" s="85" t="s">
        <v>325</v>
      </c>
      <c r="E266" s="103" t="s">
        <v>326</v>
      </c>
      <c r="F266" s="41">
        <v>600</v>
      </c>
      <c r="G266" s="41">
        <v>0</v>
      </c>
      <c r="H266" s="41">
        <v>0</v>
      </c>
    </row>
    <row r="267" spans="1:8" ht="37.5" customHeight="1">
      <c r="A267" s="21" t="s">
        <v>146</v>
      </c>
      <c r="B267" s="21" t="s">
        <v>151</v>
      </c>
      <c r="C267" s="51" t="s">
        <v>636</v>
      </c>
      <c r="D267" s="85"/>
      <c r="E267" s="103" t="s">
        <v>632</v>
      </c>
      <c r="F267" s="41">
        <f t="shared" ref="F267:H267" si="63">F268</f>
        <v>844.8</v>
      </c>
      <c r="G267" s="41">
        <f t="shared" si="63"/>
        <v>844.8</v>
      </c>
      <c r="H267" s="41">
        <f t="shared" si="63"/>
        <v>843.5</v>
      </c>
    </row>
    <row r="268" spans="1:8" ht="38.25">
      <c r="A268" s="21" t="s">
        <v>146</v>
      </c>
      <c r="B268" s="21" t="s">
        <v>151</v>
      </c>
      <c r="C268" s="51" t="s">
        <v>636</v>
      </c>
      <c r="D268" s="85" t="s">
        <v>325</v>
      </c>
      <c r="E268" s="103" t="s">
        <v>326</v>
      </c>
      <c r="F268" s="41">
        <v>844.8</v>
      </c>
      <c r="G268" s="41">
        <v>844.8</v>
      </c>
      <c r="H268" s="41">
        <v>843.5</v>
      </c>
    </row>
    <row r="269" spans="1:8" ht="54" customHeight="1">
      <c r="A269" s="21" t="s">
        <v>146</v>
      </c>
      <c r="B269" s="21" t="s">
        <v>151</v>
      </c>
      <c r="C269" s="51" t="s">
        <v>637</v>
      </c>
      <c r="D269" s="85"/>
      <c r="E269" s="103" t="s">
        <v>629</v>
      </c>
      <c r="F269" s="41">
        <f t="shared" ref="F269:H269" si="64">F270</f>
        <v>3379.4</v>
      </c>
      <c r="G269" s="41">
        <f t="shared" si="64"/>
        <v>3379.4</v>
      </c>
      <c r="H269" s="41">
        <f t="shared" si="64"/>
        <v>3373.8</v>
      </c>
    </row>
    <row r="270" spans="1:8" ht="38.25">
      <c r="A270" s="21" t="s">
        <v>146</v>
      </c>
      <c r="B270" s="21" t="s">
        <v>151</v>
      </c>
      <c r="C270" s="51" t="s">
        <v>637</v>
      </c>
      <c r="D270" s="85" t="s">
        <v>325</v>
      </c>
      <c r="E270" s="103" t="s">
        <v>326</v>
      </c>
      <c r="F270" s="41">
        <v>3379.4</v>
      </c>
      <c r="G270" s="41">
        <v>3379.4</v>
      </c>
      <c r="H270" s="41">
        <v>3373.8</v>
      </c>
    </row>
    <row r="271" spans="1:8" ht="38.25">
      <c r="A271" s="21" t="s">
        <v>146</v>
      </c>
      <c r="B271" s="21" t="s">
        <v>151</v>
      </c>
      <c r="C271" s="85" t="s">
        <v>32</v>
      </c>
      <c r="D271" s="85"/>
      <c r="E271" s="105" t="s">
        <v>56</v>
      </c>
      <c r="F271" s="41">
        <f>F272</f>
        <v>50</v>
      </c>
      <c r="G271" s="41">
        <f t="shared" ref="G271:H271" si="65">G272</f>
        <v>0</v>
      </c>
      <c r="H271" s="41">
        <f t="shared" si="65"/>
        <v>0</v>
      </c>
    </row>
    <row r="272" spans="1:8" ht="51">
      <c r="A272" s="21" t="s">
        <v>146</v>
      </c>
      <c r="B272" s="21" t="s">
        <v>151</v>
      </c>
      <c r="C272" s="85" t="s">
        <v>592</v>
      </c>
      <c r="D272" s="16"/>
      <c r="E272" s="54" t="s">
        <v>593</v>
      </c>
      <c r="F272" s="41">
        <f>SUM(F273:F273)</f>
        <v>50</v>
      </c>
      <c r="G272" s="41">
        <f>SUM(G273:G273)</f>
        <v>0</v>
      </c>
      <c r="H272" s="41">
        <f>SUM(H273:H273)</f>
        <v>0</v>
      </c>
    </row>
    <row r="273" spans="1:8" ht="38.25">
      <c r="A273" s="21" t="s">
        <v>146</v>
      </c>
      <c r="B273" s="21" t="s">
        <v>151</v>
      </c>
      <c r="C273" s="85" t="s">
        <v>592</v>
      </c>
      <c r="D273" s="85" t="s">
        <v>325</v>
      </c>
      <c r="E273" s="103" t="s">
        <v>326</v>
      </c>
      <c r="F273" s="39">
        <v>50</v>
      </c>
      <c r="G273" s="39">
        <v>0</v>
      </c>
      <c r="H273" s="39">
        <v>0</v>
      </c>
    </row>
    <row r="274" spans="1:8" ht="25.5">
      <c r="A274" s="21" t="s">
        <v>146</v>
      </c>
      <c r="B274" s="21" t="s">
        <v>174</v>
      </c>
      <c r="C274" s="30"/>
      <c r="D274" s="30"/>
      <c r="E274" s="46" t="s">
        <v>4</v>
      </c>
      <c r="F274" s="40">
        <f>F275+F279+F287+F301</f>
        <v>8613.5</v>
      </c>
      <c r="G274" s="40">
        <f>G275+G279+G287+G301</f>
        <v>1060</v>
      </c>
      <c r="H274" s="40">
        <f>H275+H279+H287+H301</f>
        <v>1060</v>
      </c>
    </row>
    <row r="275" spans="1:8" ht="51" customHeight="1">
      <c r="A275" s="5" t="s">
        <v>146</v>
      </c>
      <c r="B275" s="5" t="s">
        <v>174</v>
      </c>
      <c r="C275" s="73" t="s">
        <v>101</v>
      </c>
      <c r="D275" s="35"/>
      <c r="E275" s="53" t="s">
        <v>556</v>
      </c>
      <c r="F275" s="40">
        <f t="shared" ref="F275:H277" si="66">F276</f>
        <v>0</v>
      </c>
      <c r="G275" s="40">
        <f t="shared" si="66"/>
        <v>140</v>
      </c>
      <c r="H275" s="40">
        <f t="shared" si="66"/>
        <v>140</v>
      </c>
    </row>
    <row r="276" spans="1:8" ht="25.5">
      <c r="A276" s="85" t="s">
        <v>146</v>
      </c>
      <c r="B276" s="85" t="s">
        <v>174</v>
      </c>
      <c r="C276" s="75">
        <v>250000000</v>
      </c>
      <c r="D276" s="85"/>
      <c r="E276" s="48" t="s">
        <v>457</v>
      </c>
      <c r="F276" s="98">
        <f>F277</f>
        <v>0</v>
      </c>
      <c r="G276" s="98">
        <f>G277</f>
        <v>140</v>
      </c>
      <c r="H276" s="98">
        <f>H277</f>
        <v>140</v>
      </c>
    </row>
    <row r="277" spans="1:8" ht="38.25">
      <c r="A277" s="21" t="s">
        <v>146</v>
      </c>
      <c r="B277" s="21" t="s">
        <v>174</v>
      </c>
      <c r="C277" s="74" t="s">
        <v>261</v>
      </c>
      <c r="D277" s="85"/>
      <c r="E277" s="103" t="s">
        <v>456</v>
      </c>
      <c r="F277" s="41">
        <f t="shared" si="66"/>
        <v>0</v>
      </c>
      <c r="G277" s="41">
        <f t="shared" si="66"/>
        <v>140</v>
      </c>
      <c r="H277" s="41">
        <f t="shared" si="66"/>
        <v>140</v>
      </c>
    </row>
    <row r="278" spans="1:8" ht="38.25">
      <c r="A278" s="21" t="s">
        <v>146</v>
      </c>
      <c r="B278" s="21" t="s">
        <v>174</v>
      </c>
      <c r="C278" s="74" t="s">
        <v>261</v>
      </c>
      <c r="D278" s="85" t="s">
        <v>325</v>
      </c>
      <c r="E278" s="103" t="s">
        <v>326</v>
      </c>
      <c r="F278" s="41">
        <f>90-90</f>
        <v>0</v>
      </c>
      <c r="G278" s="41">
        <v>140</v>
      </c>
      <c r="H278" s="41">
        <v>140</v>
      </c>
    </row>
    <row r="279" spans="1:8" ht="63.75">
      <c r="A279" s="5" t="s">
        <v>146</v>
      </c>
      <c r="B279" s="5" t="s">
        <v>174</v>
      </c>
      <c r="C279" s="73" t="s">
        <v>114</v>
      </c>
      <c r="D279" s="16"/>
      <c r="E279" s="53" t="s">
        <v>553</v>
      </c>
      <c r="F279" s="101">
        <f>F280</f>
        <v>6703.7</v>
      </c>
      <c r="G279" s="101">
        <f>G280</f>
        <v>200</v>
      </c>
      <c r="H279" s="101">
        <f>H280</f>
        <v>200</v>
      </c>
    </row>
    <row r="280" spans="1:8" ht="38.25">
      <c r="A280" s="16" t="s">
        <v>146</v>
      </c>
      <c r="B280" s="16" t="s">
        <v>174</v>
      </c>
      <c r="C280" s="52" t="s">
        <v>233</v>
      </c>
      <c r="D280" s="16"/>
      <c r="E280" s="48" t="s">
        <v>232</v>
      </c>
      <c r="F280" s="41">
        <f>F281+F283+F285</f>
        <v>6703.7</v>
      </c>
      <c r="G280" s="41">
        <f>G281+G283</f>
        <v>200</v>
      </c>
      <c r="H280" s="41">
        <f>H281+H283</f>
        <v>200</v>
      </c>
    </row>
    <row r="281" spans="1:8" ht="51">
      <c r="A281" s="16" t="s">
        <v>146</v>
      </c>
      <c r="B281" s="16" t="s">
        <v>174</v>
      </c>
      <c r="C281" s="21" t="s">
        <v>235</v>
      </c>
      <c r="D281" s="30"/>
      <c r="E281" s="102" t="s">
        <v>234</v>
      </c>
      <c r="F281" s="41">
        <f>F282</f>
        <v>157</v>
      </c>
      <c r="G281" s="41">
        <f>G282</f>
        <v>164</v>
      </c>
      <c r="H281" s="41">
        <f>H282</f>
        <v>164</v>
      </c>
    </row>
    <row r="282" spans="1:8" ht="38.25">
      <c r="A282" s="16" t="s">
        <v>146</v>
      </c>
      <c r="B282" s="16" t="s">
        <v>174</v>
      </c>
      <c r="C282" s="21" t="s">
        <v>235</v>
      </c>
      <c r="D282" s="85" t="s">
        <v>325</v>
      </c>
      <c r="E282" s="103" t="s">
        <v>326</v>
      </c>
      <c r="F282" s="39">
        <f>164-7</f>
        <v>157</v>
      </c>
      <c r="G282" s="39">
        <v>164</v>
      </c>
      <c r="H282" s="39">
        <v>164</v>
      </c>
    </row>
    <row r="283" spans="1:8" ht="38.25">
      <c r="A283" s="16" t="s">
        <v>146</v>
      </c>
      <c r="B283" s="16" t="s">
        <v>174</v>
      </c>
      <c r="C283" s="85" t="s">
        <v>611</v>
      </c>
      <c r="D283" s="16"/>
      <c r="E283" s="102" t="s">
        <v>242</v>
      </c>
      <c r="F283" s="41">
        <f>F284</f>
        <v>24</v>
      </c>
      <c r="G283" s="41">
        <f>G284</f>
        <v>36</v>
      </c>
      <c r="H283" s="41">
        <f>H284</f>
        <v>36</v>
      </c>
    </row>
    <row r="284" spans="1:8" ht="38.25">
      <c r="A284" s="16" t="s">
        <v>146</v>
      </c>
      <c r="B284" s="16" t="s">
        <v>174</v>
      </c>
      <c r="C284" s="85" t="s">
        <v>611</v>
      </c>
      <c r="D284" s="85" t="s">
        <v>325</v>
      </c>
      <c r="E284" s="103" t="s">
        <v>326</v>
      </c>
      <c r="F284" s="41">
        <f>36-12</f>
        <v>24</v>
      </c>
      <c r="G284" s="41">
        <v>36</v>
      </c>
      <c r="H284" s="41">
        <v>36</v>
      </c>
    </row>
    <row r="285" spans="1:8" ht="38.25">
      <c r="A285" s="16" t="s">
        <v>146</v>
      </c>
      <c r="B285" s="16" t="s">
        <v>174</v>
      </c>
      <c r="C285" s="85" t="s">
        <v>720</v>
      </c>
      <c r="D285" s="85"/>
      <c r="E285" s="103" t="s">
        <v>721</v>
      </c>
      <c r="F285" s="41">
        <f>F286</f>
        <v>6522.7</v>
      </c>
      <c r="G285" s="41">
        <f t="shared" ref="G285:H285" si="67">G286</f>
        <v>0</v>
      </c>
      <c r="H285" s="41">
        <f t="shared" si="67"/>
        <v>0</v>
      </c>
    </row>
    <row r="286" spans="1:8" ht="38.25">
      <c r="A286" s="16" t="s">
        <v>146</v>
      </c>
      <c r="B286" s="16" t="s">
        <v>174</v>
      </c>
      <c r="C286" s="85" t="s">
        <v>720</v>
      </c>
      <c r="D286" s="85" t="s">
        <v>325</v>
      </c>
      <c r="E286" s="103" t="s">
        <v>326</v>
      </c>
      <c r="F286" s="41">
        <f>430.7+6093.8-1.8</f>
        <v>6522.7</v>
      </c>
      <c r="G286" s="41">
        <v>0</v>
      </c>
      <c r="H286" s="41">
        <v>0</v>
      </c>
    </row>
    <row r="287" spans="1:8" ht="63.75">
      <c r="A287" s="5" t="s">
        <v>146</v>
      </c>
      <c r="B287" s="5" t="s">
        <v>174</v>
      </c>
      <c r="C287" s="76">
        <v>400000000</v>
      </c>
      <c r="D287" s="16"/>
      <c r="E287" s="64" t="s">
        <v>532</v>
      </c>
      <c r="F287" s="101">
        <f>F288</f>
        <v>1469.8</v>
      </c>
      <c r="G287" s="101">
        <f>G288</f>
        <v>720</v>
      </c>
      <c r="H287" s="101">
        <f>H288</f>
        <v>720</v>
      </c>
    </row>
    <row r="288" spans="1:8" ht="38.25">
      <c r="A288" s="47" t="s">
        <v>146</v>
      </c>
      <c r="B288" s="47" t="s">
        <v>174</v>
      </c>
      <c r="C288" s="75">
        <v>440000000</v>
      </c>
      <c r="D288" s="16"/>
      <c r="E288" s="48" t="s">
        <v>373</v>
      </c>
      <c r="F288" s="98">
        <f>F289+F291+F293+F295+F297+F299</f>
        <v>1469.8</v>
      </c>
      <c r="G288" s="98">
        <f t="shared" ref="G288:H288" si="68">G289+G291+G293+G295+G297+G299</f>
        <v>720</v>
      </c>
      <c r="H288" s="98">
        <f t="shared" si="68"/>
        <v>720</v>
      </c>
    </row>
    <row r="289" spans="1:8" ht="76.5">
      <c r="A289" s="16" t="s">
        <v>146</v>
      </c>
      <c r="B289" s="16" t="s">
        <v>174</v>
      </c>
      <c r="C289" s="74" t="s">
        <v>700</v>
      </c>
      <c r="D289" s="16"/>
      <c r="E289" s="105" t="s">
        <v>933</v>
      </c>
      <c r="F289" s="104">
        <f t="shared" ref="F289:H289" si="69">F290</f>
        <v>50</v>
      </c>
      <c r="G289" s="104">
        <f t="shared" si="69"/>
        <v>0</v>
      </c>
      <c r="H289" s="104">
        <f t="shared" si="69"/>
        <v>0</v>
      </c>
    </row>
    <row r="290" spans="1:8" ht="38.25">
      <c r="A290" s="16" t="s">
        <v>146</v>
      </c>
      <c r="B290" s="16" t="s">
        <v>174</v>
      </c>
      <c r="C290" s="74" t="s">
        <v>700</v>
      </c>
      <c r="D290" s="85" t="s">
        <v>325</v>
      </c>
      <c r="E290" s="103" t="s">
        <v>326</v>
      </c>
      <c r="F290" s="104">
        <v>50</v>
      </c>
      <c r="G290" s="104">
        <v>0</v>
      </c>
      <c r="H290" s="104">
        <v>0</v>
      </c>
    </row>
    <row r="291" spans="1:8" ht="25.5">
      <c r="A291" s="16" t="s">
        <v>146</v>
      </c>
      <c r="B291" s="16" t="s">
        <v>174</v>
      </c>
      <c r="C291" s="74" t="s">
        <v>643</v>
      </c>
      <c r="D291" s="85"/>
      <c r="E291" s="103" t="s">
        <v>331</v>
      </c>
      <c r="F291" s="41">
        <f>F292</f>
        <v>30</v>
      </c>
      <c r="G291" s="41">
        <f>G292</f>
        <v>7</v>
      </c>
      <c r="H291" s="41">
        <f>H292</f>
        <v>7</v>
      </c>
    </row>
    <row r="292" spans="1:8" ht="38.25">
      <c r="A292" s="16" t="s">
        <v>146</v>
      </c>
      <c r="B292" s="16" t="s">
        <v>174</v>
      </c>
      <c r="C292" s="74" t="s">
        <v>643</v>
      </c>
      <c r="D292" s="85" t="s">
        <v>325</v>
      </c>
      <c r="E292" s="103" t="s">
        <v>326</v>
      </c>
      <c r="F292" s="41">
        <f>20+10</f>
        <v>30</v>
      </c>
      <c r="G292" s="41">
        <v>7</v>
      </c>
      <c r="H292" s="41">
        <v>7</v>
      </c>
    </row>
    <row r="293" spans="1:8" ht="63.75">
      <c r="A293" s="16" t="s">
        <v>146</v>
      </c>
      <c r="B293" s="16" t="s">
        <v>174</v>
      </c>
      <c r="C293" s="74" t="s">
        <v>644</v>
      </c>
      <c r="D293" s="85"/>
      <c r="E293" s="103" t="s">
        <v>822</v>
      </c>
      <c r="F293" s="41">
        <f>F294</f>
        <v>449.8</v>
      </c>
      <c r="G293" s="41">
        <f>G294</f>
        <v>13</v>
      </c>
      <c r="H293" s="41">
        <f>H294</f>
        <v>13</v>
      </c>
    </row>
    <row r="294" spans="1:8" ht="38.25" customHeight="1">
      <c r="A294" s="16" t="s">
        <v>146</v>
      </c>
      <c r="B294" s="16" t="s">
        <v>174</v>
      </c>
      <c r="C294" s="74" t="s">
        <v>644</v>
      </c>
      <c r="D294" s="16" t="s">
        <v>15</v>
      </c>
      <c r="E294" s="103" t="s">
        <v>663</v>
      </c>
      <c r="F294" s="41">
        <f>500-50.2</f>
        <v>449.8</v>
      </c>
      <c r="G294" s="41">
        <v>13</v>
      </c>
      <c r="H294" s="41">
        <v>13</v>
      </c>
    </row>
    <row r="295" spans="1:8" ht="51">
      <c r="A295" s="16" t="s">
        <v>146</v>
      </c>
      <c r="B295" s="16" t="s">
        <v>174</v>
      </c>
      <c r="C295" s="74" t="s">
        <v>645</v>
      </c>
      <c r="D295" s="16"/>
      <c r="E295" s="103" t="s">
        <v>697</v>
      </c>
      <c r="F295" s="41">
        <f t="shared" ref="F295:H295" si="70">F296</f>
        <v>140</v>
      </c>
      <c r="G295" s="41">
        <f t="shared" si="70"/>
        <v>100</v>
      </c>
      <c r="H295" s="41">
        <f t="shared" si="70"/>
        <v>100</v>
      </c>
    </row>
    <row r="296" spans="1:8" ht="63.75">
      <c r="A296" s="16" t="s">
        <v>146</v>
      </c>
      <c r="B296" s="16" t="s">
        <v>174</v>
      </c>
      <c r="C296" s="74" t="s">
        <v>645</v>
      </c>
      <c r="D296" s="16" t="s">
        <v>15</v>
      </c>
      <c r="E296" s="103" t="s">
        <v>663</v>
      </c>
      <c r="F296" s="41">
        <f>150-10</f>
        <v>140</v>
      </c>
      <c r="G296" s="41">
        <v>100</v>
      </c>
      <c r="H296" s="41">
        <v>100</v>
      </c>
    </row>
    <row r="297" spans="1:8" ht="104.25" customHeight="1">
      <c r="A297" s="16" t="s">
        <v>146</v>
      </c>
      <c r="B297" s="16" t="s">
        <v>174</v>
      </c>
      <c r="C297" s="74" t="s">
        <v>726</v>
      </c>
      <c r="D297" s="16"/>
      <c r="E297" s="103" t="s">
        <v>934</v>
      </c>
      <c r="F297" s="41">
        <f t="shared" ref="F297:H299" si="71">F298</f>
        <v>100</v>
      </c>
      <c r="G297" s="41">
        <f t="shared" si="71"/>
        <v>100</v>
      </c>
      <c r="H297" s="41">
        <f t="shared" si="71"/>
        <v>100</v>
      </c>
    </row>
    <row r="298" spans="1:8" ht="63.75">
      <c r="A298" s="16" t="s">
        <v>146</v>
      </c>
      <c r="B298" s="16" t="s">
        <v>174</v>
      </c>
      <c r="C298" s="74" t="s">
        <v>726</v>
      </c>
      <c r="D298" s="16" t="s">
        <v>15</v>
      </c>
      <c r="E298" s="103" t="s">
        <v>508</v>
      </c>
      <c r="F298" s="41">
        <v>100</v>
      </c>
      <c r="G298" s="41">
        <v>100</v>
      </c>
      <c r="H298" s="41">
        <v>100</v>
      </c>
    </row>
    <row r="299" spans="1:8" ht="102">
      <c r="A299" s="16" t="s">
        <v>146</v>
      </c>
      <c r="B299" s="16" t="s">
        <v>174</v>
      </c>
      <c r="C299" s="74" t="s">
        <v>727</v>
      </c>
      <c r="D299" s="16"/>
      <c r="E299" s="103" t="s">
        <v>728</v>
      </c>
      <c r="F299" s="41">
        <f t="shared" si="71"/>
        <v>700</v>
      </c>
      <c r="G299" s="41">
        <f t="shared" si="71"/>
        <v>500</v>
      </c>
      <c r="H299" s="41">
        <f t="shared" si="71"/>
        <v>500</v>
      </c>
    </row>
    <row r="300" spans="1:8" ht="63.75">
      <c r="A300" s="16" t="s">
        <v>146</v>
      </c>
      <c r="B300" s="16" t="s">
        <v>174</v>
      </c>
      <c r="C300" s="74" t="s">
        <v>727</v>
      </c>
      <c r="D300" s="16" t="s">
        <v>15</v>
      </c>
      <c r="E300" s="103" t="s">
        <v>508</v>
      </c>
      <c r="F300" s="41">
        <v>700</v>
      </c>
      <c r="G300" s="41">
        <v>500</v>
      </c>
      <c r="H300" s="41">
        <v>500</v>
      </c>
    </row>
    <row r="301" spans="1:8" ht="63.75">
      <c r="A301" s="5" t="s">
        <v>146</v>
      </c>
      <c r="B301" s="5" t="s">
        <v>174</v>
      </c>
      <c r="C301" s="73" t="s">
        <v>203</v>
      </c>
      <c r="D301" s="16"/>
      <c r="E301" s="63" t="s">
        <v>542</v>
      </c>
      <c r="F301" s="101">
        <f>F302</f>
        <v>440</v>
      </c>
      <c r="G301" s="101">
        <f>G302</f>
        <v>0</v>
      </c>
      <c r="H301" s="101">
        <f>H302</f>
        <v>0</v>
      </c>
    </row>
    <row r="302" spans="1:8" ht="51">
      <c r="A302" s="47" t="s">
        <v>146</v>
      </c>
      <c r="B302" s="47" t="s">
        <v>174</v>
      </c>
      <c r="C302" s="52" t="s">
        <v>204</v>
      </c>
      <c r="D302" s="16"/>
      <c r="E302" s="48" t="s">
        <v>205</v>
      </c>
      <c r="F302" s="98">
        <f>F303+F305</f>
        <v>440</v>
      </c>
      <c r="G302" s="98">
        <f t="shared" ref="G302:H302" si="72">G303+G305</f>
        <v>0</v>
      </c>
      <c r="H302" s="98">
        <f t="shared" si="72"/>
        <v>0</v>
      </c>
    </row>
    <row r="303" spans="1:8" ht="51">
      <c r="A303" s="16" t="s">
        <v>146</v>
      </c>
      <c r="B303" s="16" t="s">
        <v>174</v>
      </c>
      <c r="C303" s="74" t="s">
        <v>536</v>
      </c>
      <c r="D303" s="16"/>
      <c r="E303" s="105" t="s">
        <v>598</v>
      </c>
      <c r="F303" s="39">
        <f>F304</f>
        <v>300</v>
      </c>
      <c r="G303" s="39">
        <f>G304</f>
        <v>0</v>
      </c>
      <c r="H303" s="39">
        <f>H304</f>
        <v>0</v>
      </c>
    </row>
    <row r="304" spans="1:8" ht="38.25">
      <c r="A304" s="16" t="s">
        <v>146</v>
      </c>
      <c r="B304" s="16" t="s">
        <v>174</v>
      </c>
      <c r="C304" s="74" t="s">
        <v>536</v>
      </c>
      <c r="D304" s="85" t="s">
        <v>325</v>
      </c>
      <c r="E304" s="103" t="s">
        <v>326</v>
      </c>
      <c r="F304" s="39">
        <v>300</v>
      </c>
      <c r="G304" s="39">
        <v>0</v>
      </c>
      <c r="H304" s="39"/>
    </row>
    <row r="305" spans="1:8" ht="76.5">
      <c r="A305" s="16" t="s">
        <v>146</v>
      </c>
      <c r="B305" s="16" t="s">
        <v>174</v>
      </c>
      <c r="C305" s="74" t="s">
        <v>537</v>
      </c>
      <c r="D305" s="16"/>
      <c r="E305" s="105" t="s">
        <v>599</v>
      </c>
      <c r="F305" s="39">
        <f>F306</f>
        <v>140</v>
      </c>
      <c r="G305" s="39">
        <f>G306</f>
        <v>0</v>
      </c>
      <c r="H305" s="39">
        <f>H306</f>
        <v>0</v>
      </c>
    </row>
    <row r="306" spans="1:8" ht="38.25">
      <c r="A306" s="16" t="s">
        <v>146</v>
      </c>
      <c r="B306" s="16" t="s">
        <v>174</v>
      </c>
      <c r="C306" s="74" t="s">
        <v>537</v>
      </c>
      <c r="D306" s="85" t="s">
        <v>325</v>
      </c>
      <c r="E306" s="103" t="s">
        <v>326</v>
      </c>
      <c r="F306" s="39">
        <f>1621.4-1481.4</f>
        <v>140</v>
      </c>
      <c r="G306" s="39">
        <v>0</v>
      </c>
      <c r="H306" s="39">
        <v>0</v>
      </c>
    </row>
    <row r="307" spans="1:8" ht="30">
      <c r="A307" s="4" t="s">
        <v>147</v>
      </c>
      <c r="B307" s="3"/>
      <c r="C307" s="3"/>
      <c r="D307" s="3"/>
      <c r="E307" s="49" t="s">
        <v>72</v>
      </c>
      <c r="F307" s="97">
        <f>F308+F333+F378</f>
        <v>146278.9</v>
      </c>
      <c r="G307" s="97">
        <f>G308+G333+G378</f>
        <v>37600.5</v>
      </c>
      <c r="H307" s="97">
        <f>H308+H333+H378</f>
        <v>32584.100000000002</v>
      </c>
    </row>
    <row r="308" spans="1:8" ht="14.25">
      <c r="A308" s="30" t="s">
        <v>147</v>
      </c>
      <c r="B308" s="30" t="s">
        <v>140</v>
      </c>
      <c r="C308" s="30"/>
      <c r="D308" s="30"/>
      <c r="E308" s="27" t="s">
        <v>60</v>
      </c>
      <c r="F308" s="40">
        <f>F309+F329</f>
        <v>10030.6</v>
      </c>
      <c r="G308" s="40">
        <f t="shared" ref="G308:H308" si="73">G309+G329</f>
        <v>6296.5</v>
      </c>
      <c r="H308" s="40">
        <f t="shared" si="73"/>
        <v>6296.5</v>
      </c>
    </row>
    <row r="309" spans="1:8" ht="51">
      <c r="A309" s="5" t="s">
        <v>147</v>
      </c>
      <c r="B309" s="5" t="s">
        <v>140</v>
      </c>
      <c r="C309" s="73" t="s">
        <v>219</v>
      </c>
      <c r="D309" s="16"/>
      <c r="E309" s="53" t="s">
        <v>535</v>
      </c>
      <c r="F309" s="101">
        <f>F310+F315+F324</f>
        <v>7003.1</v>
      </c>
      <c r="G309" s="101">
        <f>G310+G315+G324</f>
        <v>6296.5</v>
      </c>
      <c r="H309" s="101">
        <f>H310+H315+H324</f>
        <v>6296.5</v>
      </c>
    </row>
    <row r="310" spans="1:8" ht="38.25">
      <c r="A310" s="47" t="s">
        <v>147</v>
      </c>
      <c r="B310" s="47" t="s">
        <v>140</v>
      </c>
      <c r="C310" s="52" t="s">
        <v>213</v>
      </c>
      <c r="D310" s="16"/>
      <c r="E310" s="48" t="s">
        <v>462</v>
      </c>
      <c r="F310" s="98">
        <f>F311+F313</f>
        <v>760.1</v>
      </c>
      <c r="G310" s="98">
        <f>G311+G313</f>
        <v>454.8</v>
      </c>
      <c r="H310" s="98">
        <f>H311+H313</f>
        <v>454.8</v>
      </c>
    </row>
    <row r="311" spans="1:8" ht="51">
      <c r="A311" s="16" t="s">
        <v>147</v>
      </c>
      <c r="B311" s="16" t="s">
        <v>140</v>
      </c>
      <c r="C311" s="80" t="s">
        <v>208</v>
      </c>
      <c r="D311" s="3"/>
      <c r="E311" s="103" t="s">
        <v>399</v>
      </c>
      <c r="F311" s="41">
        <f>SUM(F312:F312)</f>
        <v>186.9</v>
      </c>
      <c r="G311" s="41">
        <f>SUM(G312:G312)</f>
        <v>100</v>
      </c>
      <c r="H311" s="41">
        <f>SUM(H312:H312)</f>
        <v>100</v>
      </c>
    </row>
    <row r="312" spans="1:8" ht="38.25">
      <c r="A312" s="16" t="s">
        <v>147</v>
      </c>
      <c r="B312" s="16" t="s">
        <v>140</v>
      </c>
      <c r="C312" s="80" t="s">
        <v>208</v>
      </c>
      <c r="D312" s="85" t="s">
        <v>325</v>
      </c>
      <c r="E312" s="103" t="s">
        <v>326</v>
      </c>
      <c r="F312" s="41">
        <f>100+23.9+63</f>
        <v>186.9</v>
      </c>
      <c r="G312" s="41">
        <v>100</v>
      </c>
      <c r="H312" s="41">
        <v>100</v>
      </c>
    </row>
    <row r="313" spans="1:8" ht="25.5">
      <c r="A313" s="16" t="s">
        <v>147</v>
      </c>
      <c r="B313" s="16" t="s">
        <v>140</v>
      </c>
      <c r="C313" s="80" t="s">
        <v>209</v>
      </c>
      <c r="D313" s="3"/>
      <c r="E313" s="103" t="s">
        <v>596</v>
      </c>
      <c r="F313" s="41">
        <f>F314</f>
        <v>573.20000000000005</v>
      </c>
      <c r="G313" s="41">
        <f>G314</f>
        <v>354.8</v>
      </c>
      <c r="H313" s="41">
        <f>H314</f>
        <v>354.8</v>
      </c>
    </row>
    <row r="314" spans="1:8" ht="38.25">
      <c r="A314" s="16" t="s">
        <v>147</v>
      </c>
      <c r="B314" s="16" t="s">
        <v>140</v>
      </c>
      <c r="C314" s="80" t="s">
        <v>209</v>
      </c>
      <c r="D314" s="85" t="s">
        <v>325</v>
      </c>
      <c r="E314" s="103" t="s">
        <v>326</v>
      </c>
      <c r="F314" s="39">
        <f>783.3-23.9-186.2</f>
        <v>573.20000000000005</v>
      </c>
      <c r="G314" s="39">
        <v>354.8</v>
      </c>
      <c r="H314" s="39">
        <v>354.8</v>
      </c>
    </row>
    <row r="315" spans="1:8" ht="38.25">
      <c r="A315" s="47" t="s">
        <v>147</v>
      </c>
      <c r="B315" s="47" t="s">
        <v>140</v>
      </c>
      <c r="C315" s="52" t="s">
        <v>214</v>
      </c>
      <c r="D315" s="16"/>
      <c r="E315" s="48" t="s">
        <v>210</v>
      </c>
      <c r="F315" s="98">
        <f>F316+F318+F320+F322</f>
        <v>3343.7</v>
      </c>
      <c r="G315" s="98">
        <f t="shared" ref="G315:H315" si="74">G316+G318+G320+G322</f>
        <v>2406</v>
      </c>
      <c r="H315" s="98">
        <f t="shared" si="74"/>
        <v>2406</v>
      </c>
    </row>
    <row r="316" spans="1:8" ht="130.5" customHeight="1">
      <c r="A316" s="16" t="s">
        <v>147</v>
      </c>
      <c r="B316" s="16" t="s">
        <v>140</v>
      </c>
      <c r="C316" s="80" t="s">
        <v>589</v>
      </c>
      <c r="D316" s="3"/>
      <c r="E316" s="103" t="s">
        <v>404</v>
      </c>
      <c r="F316" s="41">
        <f>F317</f>
        <v>100</v>
      </c>
      <c r="G316" s="41">
        <f>G317</f>
        <v>100</v>
      </c>
      <c r="H316" s="41">
        <f>H317</f>
        <v>100</v>
      </c>
    </row>
    <row r="317" spans="1:8" ht="38.25">
      <c r="A317" s="16" t="s">
        <v>147</v>
      </c>
      <c r="B317" s="16" t="s">
        <v>140</v>
      </c>
      <c r="C317" s="80" t="s">
        <v>589</v>
      </c>
      <c r="D317" s="85" t="s">
        <v>325</v>
      </c>
      <c r="E317" s="103" t="s">
        <v>326</v>
      </c>
      <c r="F317" s="41">
        <v>100</v>
      </c>
      <c r="G317" s="41">
        <v>100</v>
      </c>
      <c r="H317" s="41">
        <v>100</v>
      </c>
    </row>
    <row r="318" spans="1:8" ht="36.75" customHeight="1">
      <c r="A318" s="16" t="s">
        <v>147</v>
      </c>
      <c r="B318" s="16" t="s">
        <v>140</v>
      </c>
      <c r="C318" s="80" t="s">
        <v>211</v>
      </c>
      <c r="D318" s="16"/>
      <c r="E318" s="103" t="s">
        <v>464</v>
      </c>
      <c r="F318" s="41">
        <f>F319</f>
        <v>20</v>
      </c>
      <c r="G318" s="41">
        <f>G319</f>
        <v>20</v>
      </c>
      <c r="H318" s="41">
        <f>H319</f>
        <v>20</v>
      </c>
    </row>
    <row r="319" spans="1:8" ht="38.25">
      <c r="A319" s="16" t="s">
        <v>147</v>
      </c>
      <c r="B319" s="16" t="s">
        <v>140</v>
      </c>
      <c r="C319" s="80" t="s">
        <v>211</v>
      </c>
      <c r="D319" s="85" t="s">
        <v>325</v>
      </c>
      <c r="E319" s="103" t="s">
        <v>326</v>
      </c>
      <c r="F319" s="41">
        <v>20</v>
      </c>
      <c r="G319" s="41">
        <v>20</v>
      </c>
      <c r="H319" s="41">
        <v>20</v>
      </c>
    </row>
    <row r="320" spans="1:8" ht="63.75">
      <c r="A320" s="16" t="s">
        <v>147</v>
      </c>
      <c r="B320" s="16" t="s">
        <v>140</v>
      </c>
      <c r="C320" s="21" t="s">
        <v>407</v>
      </c>
      <c r="D320" s="85"/>
      <c r="E320" s="105" t="s">
        <v>493</v>
      </c>
      <c r="F320" s="41">
        <f>F321</f>
        <v>3223.7</v>
      </c>
      <c r="G320" s="41">
        <f>G321</f>
        <v>1286</v>
      </c>
      <c r="H320" s="41">
        <f>H321</f>
        <v>1286</v>
      </c>
    </row>
    <row r="321" spans="1:8">
      <c r="A321" s="16" t="s">
        <v>147</v>
      </c>
      <c r="B321" s="16" t="s">
        <v>140</v>
      </c>
      <c r="C321" s="21" t="s">
        <v>407</v>
      </c>
      <c r="D321" s="115" t="s">
        <v>382</v>
      </c>
      <c r="E321" s="112" t="s">
        <v>410</v>
      </c>
      <c r="F321" s="114">
        <f>2098+1125.7</f>
        <v>3223.7</v>
      </c>
      <c r="G321" s="114">
        <v>1286</v>
      </c>
      <c r="H321" s="114">
        <v>1286</v>
      </c>
    </row>
    <row r="322" spans="1:8" ht="38.25">
      <c r="A322" s="16" t="s">
        <v>147</v>
      </c>
      <c r="B322" s="16" t="s">
        <v>140</v>
      </c>
      <c r="C322" s="21" t="s">
        <v>409</v>
      </c>
      <c r="D322" s="85"/>
      <c r="E322" s="105" t="s">
        <v>411</v>
      </c>
      <c r="F322" s="41">
        <f>F323</f>
        <v>0</v>
      </c>
      <c r="G322" s="41">
        <f>G323</f>
        <v>1000</v>
      </c>
      <c r="H322" s="41">
        <f>H323</f>
        <v>1000</v>
      </c>
    </row>
    <row r="323" spans="1:8" ht="38.25">
      <c r="A323" s="16" t="s">
        <v>147</v>
      </c>
      <c r="B323" s="16" t="s">
        <v>140</v>
      </c>
      <c r="C323" s="21" t="s">
        <v>409</v>
      </c>
      <c r="D323" s="85" t="s">
        <v>325</v>
      </c>
      <c r="E323" s="103" t="s">
        <v>326</v>
      </c>
      <c r="F323" s="113">
        <v>0</v>
      </c>
      <c r="G323" s="114">
        <v>1000</v>
      </c>
      <c r="H323" s="114">
        <v>1000</v>
      </c>
    </row>
    <row r="324" spans="1:8" ht="63.75">
      <c r="A324" s="47" t="s">
        <v>147</v>
      </c>
      <c r="B324" s="47" t="s">
        <v>140</v>
      </c>
      <c r="C324" s="52" t="s">
        <v>215</v>
      </c>
      <c r="D324" s="16"/>
      <c r="E324" s="48" t="s">
        <v>212</v>
      </c>
      <c r="F324" s="98">
        <f>F325+F327</f>
        <v>2899.3</v>
      </c>
      <c r="G324" s="98">
        <f t="shared" ref="G324:H324" si="75">G325+G327</f>
        <v>3435.7</v>
      </c>
      <c r="H324" s="98">
        <f t="shared" si="75"/>
        <v>3435.7</v>
      </c>
    </row>
    <row r="325" spans="1:8" ht="66.75" customHeight="1">
      <c r="A325" s="85" t="s">
        <v>147</v>
      </c>
      <c r="B325" s="85" t="s">
        <v>140</v>
      </c>
      <c r="C325" s="80" t="s">
        <v>217</v>
      </c>
      <c r="D325" s="16"/>
      <c r="E325" s="103" t="s">
        <v>216</v>
      </c>
      <c r="F325" s="41">
        <f>F326</f>
        <v>1635.7</v>
      </c>
      <c r="G325" s="41">
        <f>G326</f>
        <v>1635.7</v>
      </c>
      <c r="H325" s="41">
        <f>H326</f>
        <v>1635.7</v>
      </c>
    </row>
    <row r="326" spans="1:8" ht="38.25">
      <c r="A326" s="16" t="s">
        <v>147</v>
      </c>
      <c r="B326" s="16" t="s">
        <v>140</v>
      </c>
      <c r="C326" s="80" t="s">
        <v>217</v>
      </c>
      <c r="D326" s="85" t="s">
        <v>325</v>
      </c>
      <c r="E326" s="103" t="s">
        <v>326</v>
      </c>
      <c r="F326" s="158">
        <v>1635.7</v>
      </c>
      <c r="G326" s="158">
        <v>1635.7</v>
      </c>
      <c r="H326" s="158">
        <v>1635.7</v>
      </c>
    </row>
    <row r="327" spans="1:8" ht="63.75">
      <c r="A327" s="16" t="s">
        <v>147</v>
      </c>
      <c r="B327" s="16" t="s">
        <v>140</v>
      </c>
      <c r="C327" s="80" t="s">
        <v>218</v>
      </c>
      <c r="D327" s="16"/>
      <c r="E327" s="103" t="s">
        <v>474</v>
      </c>
      <c r="F327" s="41">
        <f>F328</f>
        <v>1263.5999999999999</v>
      </c>
      <c r="G327" s="41">
        <f>G328</f>
        <v>1800</v>
      </c>
      <c r="H327" s="41">
        <f>H328</f>
        <v>1800</v>
      </c>
    </row>
    <row r="328" spans="1:8" ht="38.25">
      <c r="A328" s="16" t="s">
        <v>147</v>
      </c>
      <c r="B328" s="16" t="s">
        <v>140</v>
      </c>
      <c r="C328" s="80" t="s">
        <v>218</v>
      </c>
      <c r="D328" s="85" t="s">
        <v>325</v>
      </c>
      <c r="E328" s="103" t="s">
        <v>326</v>
      </c>
      <c r="F328" s="41">
        <f>1800-130-249-20-137.4</f>
        <v>1263.5999999999999</v>
      </c>
      <c r="G328" s="41">
        <v>1800</v>
      </c>
      <c r="H328" s="41">
        <v>1800</v>
      </c>
    </row>
    <row r="329" spans="1:8" ht="63.75">
      <c r="A329" s="5" t="s">
        <v>147</v>
      </c>
      <c r="B329" s="5" t="s">
        <v>140</v>
      </c>
      <c r="C329" s="73" t="s">
        <v>87</v>
      </c>
      <c r="D329" s="16"/>
      <c r="E329" s="53" t="s">
        <v>550</v>
      </c>
      <c r="F329" s="41">
        <f>F330</f>
        <v>3027.5</v>
      </c>
      <c r="G329" s="41">
        <f t="shared" ref="G329:H329" si="76">G330</f>
        <v>0</v>
      </c>
      <c r="H329" s="41">
        <f t="shared" si="76"/>
        <v>0</v>
      </c>
    </row>
    <row r="330" spans="1:8" ht="63.75">
      <c r="A330" s="16" t="s">
        <v>147</v>
      </c>
      <c r="B330" s="16" t="s">
        <v>140</v>
      </c>
      <c r="C330" s="21" t="s">
        <v>769</v>
      </c>
      <c r="D330" s="85"/>
      <c r="E330" s="60" t="s">
        <v>770</v>
      </c>
      <c r="F330" s="41">
        <f>F331</f>
        <v>3027.5</v>
      </c>
      <c r="G330" s="41">
        <f t="shared" ref="G330:H330" si="77">G331</f>
        <v>0</v>
      </c>
      <c r="H330" s="41">
        <f t="shared" si="77"/>
        <v>0</v>
      </c>
    </row>
    <row r="331" spans="1:8" ht="51">
      <c r="A331" s="16" t="s">
        <v>147</v>
      </c>
      <c r="B331" s="85" t="s">
        <v>140</v>
      </c>
      <c r="C331" s="21" t="s">
        <v>865</v>
      </c>
      <c r="D331" s="85"/>
      <c r="E331" s="103" t="s">
        <v>864</v>
      </c>
      <c r="F331" s="41">
        <f>F332</f>
        <v>3027.5</v>
      </c>
      <c r="G331" s="41">
        <f t="shared" ref="G331:H331" si="78">G332</f>
        <v>0</v>
      </c>
      <c r="H331" s="41">
        <f t="shared" si="78"/>
        <v>0</v>
      </c>
    </row>
    <row r="332" spans="1:8" ht="38.25">
      <c r="A332" s="16" t="s">
        <v>147</v>
      </c>
      <c r="B332" s="85" t="s">
        <v>140</v>
      </c>
      <c r="C332" s="21" t="s">
        <v>865</v>
      </c>
      <c r="D332" s="85" t="s">
        <v>325</v>
      </c>
      <c r="E332" s="103" t="s">
        <v>326</v>
      </c>
      <c r="F332" s="41">
        <f>481.4+2500+527.5-481.4</f>
        <v>3027.5</v>
      </c>
      <c r="G332" s="41">
        <v>0</v>
      </c>
      <c r="H332" s="41">
        <v>0</v>
      </c>
    </row>
    <row r="333" spans="1:8" ht="14.25">
      <c r="A333" s="30" t="s">
        <v>147</v>
      </c>
      <c r="B333" s="30" t="s">
        <v>141</v>
      </c>
      <c r="C333" s="30"/>
      <c r="D333" s="30"/>
      <c r="E333" s="27" t="s">
        <v>59</v>
      </c>
      <c r="F333" s="40">
        <f>F334+F338+F365+F374</f>
        <v>42928.3</v>
      </c>
      <c r="G333" s="40">
        <f t="shared" ref="G333:H333" si="79">G334+G338+G365+G374</f>
        <v>5369.2000000000007</v>
      </c>
      <c r="H333" s="40">
        <f t="shared" si="79"/>
        <v>4484.7</v>
      </c>
    </row>
    <row r="334" spans="1:8" ht="63.75">
      <c r="A334" s="5" t="s">
        <v>147</v>
      </c>
      <c r="B334" s="5" t="s">
        <v>141</v>
      </c>
      <c r="C334" s="76">
        <v>400000000</v>
      </c>
      <c r="D334" s="5"/>
      <c r="E334" s="64" t="s">
        <v>532</v>
      </c>
      <c r="F334" s="101">
        <f t="shared" ref="F334:H336" si="80">F335</f>
        <v>10688</v>
      </c>
      <c r="G334" s="101">
        <f t="shared" si="80"/>
        <v>2847.8</v>
      </c>
      <c r="H334" s="101">
        <f t="shared" si="80"/>
        <v>2847.8</v>
      </c>
    </row>
    <row r="335" spans="1:8" ht="127.5">
      <c r="A335" s="16" t="s">
        <v>147</v>
      </c>
      <c r="B335" s="16" t="s">
        <v>141</v>
      </c>
      <c r="C335" s="75">
        <v>430000000</v>
      </c>
      <c r="D335" s="16"/>
      <c r="E335" s="46" t="s">
        <v>466</v>
      </c>
      <c r="F335" s="98">
        <f t="shared" si="80"/>
        <v>10688</v>
      </c>
      <c r="G335" s="98">
        <f t="shared" si="80"/>
        <v>2847.8</v>
      </c>
      <c r="H335" s="98">
        <f t="shared" si="80"/>
        <v>2847.8</v>
      </c>
    </row>
    <row r="336" spans="1:8" ht="63" customHeight="1">
      <c r="A336" s="16" t="s">
        <v>147</v>
      </c>
      <c r="B336" s="16" t="s">
        <v>141</v>
      </c>
      <c r="C336" s="74" t="s">
        <v>243</v>
      </c>
      <c r="D336" s="16"/>
      <c r="E336" s="103" t="s">
        <v>248</v>
      </c>
      <c r="F336" s="41">
        <f t="shared" si="80"/>
        <v>10688</v>
      </c>
      <c r="G336" s="41">
        <f t="shared" si="80"/>
        <v>2847.8</v>
      </c>
      <c r="H336" s="41">
        <f t="shared" si="80"/>
        <v>2847.8</v>
      </c>
    </row>
    <row r="337" spans="1:8" ht="68.25" customHeight="1">
      <c r="A337" s="16" t="s">
        <v>147</v>
      </c>
      <c r="B337" s="16" t="s">
        <v>141</v>
      </c>
      <c r="C337" s="74" t="s">
        <v>243</v>
      </c>
      <c r="D337" s="16" t="s">
        <v>15</v>
      </c>
      <c r="E337" s="103" t="s">
        <v>663</v>
      </c>
      <c r="F337" s="39">
        <f>3900+2129.4+1000+1000+2608.4+50.2</f>
        <v>10688</v>
      </c>
      <c r="G337" s="39">
        <v>2847.8</v>
      </c>
      <c r="H337" s="39">
        <v>2847.8</v>
      </c>
    </row>
    <row r="338" spans="1:8" ht="64.5" customHeight="1">
      <c r="A338" s="5" t="s">
        <v>147</v>
      </c>
      <c r="B338" s="5" t="s">
        <v>141</v>
      </c>
      <c r="C338" s="83" t="s">
        <v>44</v>
      </c>
      <c r="D338" s="16"/>
      <c r="E338" s="53" t="s">
        <v>543</v>
      </c>
      <c r="F338" s="101">
        <f>F339+F344+F347+F360</f>
        <v>30332.100000000002</v>
      </c>
      <c r="G338" s="101">
        <f>G339+G344+G347+G360</f>
        <v>600</v>
      </c>
      <c r="H338" s="101">
        <f>H339+H344+H347+H360</f>
        <v>650</v>
      </c>
    </row>
    <row r="339" spans="1:8" ht="38.25">
      <c r="A339" s="16" t="s">
        <v>147</v>
      </c>
      <c r="B339" s="16" t="s">
        <v>141</v>
      </c>
      <c r="C339" s="52" t="s">
        <v>45</v>
      </c>
      <c r="D339" s="16"/>
      <c r="E339" s="48" t="s">
        <v>837</v>
      </c>
      <c r="F339" s="98">
        <f>F340+F342</f>
        <v>440</v>
      </c>
      <c r="G339" s="98">
        <f t="shared" ref="G339:H339" si="81">G340+G342</f>
        <v>500</v>
      </c>
      <c r="H339" s="98">
        <f t="shared" si="81"/>
        <v>500</v>
      </c>
    </row>
    <row r="340" spans="1:8" ht="25.5">
      <c r="A340" s="16" t="s">
        <v>147</v>
      </c>
      <c r="B340" s="16" t="s">
        <v>141</v>
      </c>
      <c r="C340" s="21" t="s">
        <v>300</v>
      </c>
      <c r="D340" s="16"/>
      <c r="E340" s="103" t="s">
        <v>274</v>
      </c>
      <c r="F340" s="41">
        <f>F341</f>
        <v>426</v>
      </c>
      <c r="G340" s="41">
        <f t="shared" ref="G340:H340" si="82">G341</f>
        <v>460</v>
      </c>
      <c r="H340" s="41">
        <f t="shared" si="82"/>
        <v>460</v>
      </c>
    </row>
    <row r="341" spans="1:8" ht="38.25">
      <c r="A341" s="16" t="s">
        <v>147</v>
      </c>
      <c r="B341" s="16" t="s">
        <v>141</v>
      </c>
      <c r="C341" s="21" t="s">
        <v>300</v>
      </c>
      <c r="D341" s="85" t="s">
        <v>325</v>
      </c>
      <c r="E341" s="103" t="s">
        <v>326</v>
      </c>
      <c r="F341" s="41">
        <v>426</v>
      </c>
      <c r="G341" s="39">
        <v>460</v>
      </c>
      <c r="H341" s="39">
        <v>460</v>
      </c>
    </row>
    <row r="342" spans="1:8" ht="25.5">
      <c r="A342" s="16" t="s">
        <v>147</v>
      </c>
      <c r="B342" s="16" t="s">
        <v>141</v>
      </c>
      <c r="C342" s="21" t="s">
        <v>580</v>
      </c>
      <c r="D342" s="16"/>
      <c r="E342" s="103" t="s">
        <v>581</v>
      </c>
      <c r="F342" s="41">
        <f>F343</f>
        <v>14</v>
      </c>
      <c r="G342" s="41">
        <f>G343</f>
        <v>40</v>
      </c>
      <c r="H342" s="41">
        <f>H343</f>
        <v>40</v>
      </c>
    </row>
    <row r="343" spans="1:8" ht="38.25">
      <c r="A343" s="16" t="s">
        <v>147</v>
      </c>
      <c r="B343" s="16" t="s">
        <v>141</v>
      </c>
      <c r="C343" s="21" t="s">
        <v>580</v>
      </c>
      <c r="D343" s="85" t="s">
        <v>325</v>
      </c>
      <c r="E343" s="103" t="s">
        <v>326</v>
      </c>
      <c r="F343" s="41">
        <v>14</v>
      </c>
      <c r="G343" s="41">
        <v>40</v>
      </c>
      <c r="H343" s="41">
        <v>40</v>
      </c>
    </row>
    <row r="344" spans="1:8" ht="38.25">
      <c r="A344" s="47" t="s">
        <v>147</v>
      </c>
      <c r="B344" s="47" t="s">
        <v>141</v>
      </c>
      <c r="C344" s="52" t="s">
        <v>677</v>
      </c>
      <c r="D344" s="16"/>
      <c r="E344" s="60" t="s">
        <v>678</v>
      </c>
      <c r="F344" s="98">
        <f>F345</f>
        <v>0</v>
      </c>
      <c r="G344" s="98">
        <f t="shared" ref="G344:H344" si="83">G345</f>
        <v>0</v>
      </c>
      <c r="H344" s="98">
        <f t="shared" si="83"/>
        <v>50</v>
      </c>
    </row>
    <row r="345" spans="1:8" ht="89.25">
      <c r="A345" s="16" t="s">
        <v>147</v>
      </c>
      <c r="B345" s="16" t="s">
        <v>141</v>
      </c>
      <c r="C345" s="21" t="s">
        <v>731</v>
      </c>
      <c r="D345" s="16"/>
      <c r="E345" s="103" t="s">
        <v>733</v>
      </c>
      <c r="F345" s="41">
        <f>F346</f>
        <v>0</v>
      </c>
      <c r="G345" s="41">
        <f>G346</f>
        <v>0</v>
      </c>
      <c r="H345" s="41">
        <f>H346</f>
        <v>50</v>
      </c>
    </row>
    <row r="346" spans="1:8" ht="38.25">
      <c r="A346" s="16" t="s">
        <v>147</v>
      </c>
      <c r="B346" s="16" t="s">
        <v>141</v>
      </c>
      <c r="C346" s="21" t="s">
        <v>731</v>
      </c>
      <c r="D346" s="85" t="s">
        <v>325</v>
      </c>
      <c r="E346" s="103" t="s">
        <v>326</v>
      </c>
      <c r="F346" s="41">
        <v>0</v>
      </c>
      <c r="G346" s="41">
        <v>0</v>
      </c>
      <c r="H346" s="41">
        <v>50</v>
      </c>
    </row>
    <row r="347" spans="1:8" ht="25.5">
      <c r="A347" s="16" t="s">
        <v>147</v>
      </c>
      <c r="B347" s="16" t="s">
        <v>141</v>
      </c>
      <c r="C347" s="52" t="s">
        <v>46</v>
      </c>
      <c r="D347" s="16"/>
      <c r="E347" s="46" t="s">
        <v>621</v>
      </c>
      <c r="F347" s="98">
        <f>F348+F350+F352+F354+F356+F358</f>
        <v>26330.400000000001</v>
      </c>
      <c r="G347" s="98">
        <f t="shared" ref="G347:H347" si="84">G348+G350+G352+G354+G356+G358</f>
        <v>100</v>
      </c>
      <c r="H347" s="98">
        <f t="shared" si="84"/>
        <v>100</v>
      </c>
    </row>
    <row r="348" spans="1:8" ht="38.25">
      <c r="A348" s="16" t="s">
        <v>147</v>
      </c>
      <c r="B348" s="16" t="s">
        <v>141</v>
      </c>
      <c r="C348" s="21" t="s">
        <v>47</v>
      </c>
      <c r="D348" s="16"/>
      <c r="E348" s="102" t="s">
        <v>278</v>
      </c>
      <c r="F348" s="41">
        <f>F349</f>
        <v>93</v>
      </c>
      <c r="G348" s="41">
        <f>G349</f>
        <v>100</v>
      </c>
      <c r="H348" s="41">
        <f>H349</f>
        <v>100</v>
      </c>
    </row>
    <row r="349" spans="1:8" ht="38.25">
      <c r="A349" s="16" t="s">
        <v>147</v>
      </c>
      <c r="B349" s="16" t="s">
        <v>141</v>
      </c>
      <c r="C349" s="21" t="s">
        <v>47</v>
      </c>
      <c r="D349" s="85" t="s">
        <v>325</v>
      </c>
      <c r="E349" s="103" t="s">
        <v>326</v>
      </c>
      <c r="F349" s="41">
        <f>100-7</f>
        <v>93</v>
      </c>
      <c r="G349" s="41">
        <v>100</v>
      </c>
      <c r="H349" s="41">
        <v>100</v>
      </c>
    </row>
    <row r="350" spans="1:8" ht="25.5">
      <c r="A350" s="16" t="s">
        <v>147</v>
      </c>
      <c r="B350" s="16" t="s">
        <v>141</v>
      </c>
      <c r="C350" s="21" t="s">
        <v>793</v>
      </c>
      <c r="D350" s="16"/>
      <c r="E350" s="103" t="s">
        <v>794</v>
      </c>
      <c r="F350" s="41">
        <f>F351</f>
        <v>3246.2</v>
      </c>
      <c r="G350" s="41">
        <f>G351</f>
        <v>0</v>
      </c>
      <c r="H350" s="41">
        <f>H351</f>
        <v>0</v>
      </c>
    </row>
    <row r="351" spans="1:8" ht="38.25">
      <c r="A351" s="16" t="s">
        <v>147</v>
      </c>
      <c r="B351" s="16" t="s">
        <v>141</v>
      </c>
      <c r="C351" s="21" t="s">
        <v>793</v>
      </c>
      <c r="D351" s="85" t="s">
        <v>325</v>
      </c>
      <c r="E351" s="103" t="s">
        <v>326</v>
      </c>
      <c r="F351" s="41">
        <f>72.8+1543.4+1630</f>
        <v>3246.2</v>
      </c>
      <c r="G351" s="41">
        <v>0</v>
      </c>
      <c r="H351" s="41">
        <v>0</v>
      </c>
    </row>
    <row r="352" spans="1:8" ht="63.75" customHeight="1">
      <c r="A352" s="16" t="s">
        <v>147</v>
      </c>
      <c r="B352" s="16" t="s">
        <v>141</v>
      </c>
      <c r="C352" s="21" t="s">
        <v>920</v>
      </c>
      <c r="D352" s="85"/>
      <c r="E352" s="103" t="s">
        <v>935</v>
      </c>
      <c r="F352" s="41">
        <f>F353</f>
        <v>537.5</v>
      </c>
      <c r="G352" s="41">
        <f t="shared" ref="G352:H352" si="85">G353</f>
        <v>0</v>
      </c>
      <c r="H352" s="41">
        <f t="shared" si="85"/>
        <v>0</v>
      </c>
    </row>
    <row r="353" spans="1:8" ht="38.25">
      <c r="A353" s="16" t="s">
        <v>147</v>
      </c>
      <c r="B353" s="16" t="s">
        <v>141</v>
      </c>
      <c r="C353" s="21" t="s">
        <v>920</v>
      </c>
      <c r="D353" s="85" t="s">
        <v>325</v>
      </c>
      <c r="E353" s="103" t="s">
        <v>326</v>
      </c>
      <c r="F353" s="41">
        <f>149.5+350+38</f>
        <v>537.5</v>
      </c>
      <c r="G353" s="41">
        <v>0</v>
      </c>
      <c r="H353" s="41">
        <v>0</v>
      </c>
    </row>
    <row r="354" spans="1:8" ht="38.25">
      <c r="A354" s="16" t="s">
        <v>147</v>
      </c>
      <c r="B354" s="16" t="s">
        <v>141</v>
      </c>
      <c r="C354" s="21" t="s">
        <v>675</v>
      </c>
      <c r="D354" s="16"/>
      <c r="E354" s="103" t="s">
        <v>676</v>
      </c>
      <c r="F354" s="113">
        <f>F355</f>
        <v>1022.3</v>
      </c>
      <c r="G354" s="41">
        <f>G355</f>
        <v>0</v>
      </c>
      <c r="H354" s="41">
        <f>H355</f>
        <v>0</v>
      </c>
    </row>
    <row r="355" spans="1:8" ht="38.25">
      <c r="A355" s="16" t="s">
        <v>147</v>
      </c>
      <c r="B355" s="16" t="s">
        <v>141</v>
      </c>
      <c r="C355" s="21" t="s">
        <v>675</v>
      </c>
      <c r="D355" s="85" t="s">
        <v>325</v>
      </c>
      <c r="E355" s="103" t="s">
        <v>326</v>
      </c>
      <c r="F355" s="113">
        <f>1525-502.7</f>
        <v>1022.3</v>
      </c>
      <c r="G355" s="41">
        <v>0</v>
      </c>
      <c r="H355" s="41">
        <v>0</v>
      </c>
    </row>
    <row r="356" spans="1:8" ht="48" customHeight="1">
      <c r="A356" s="16" t="s">
        <v>147</v>
      </c>
      <c r="B356" s="16" t="s">
        <v>141</v>
      </c>
      <c r="C356" s="21" t="s">
        <v>819</v>
      </c>
      <c r="D356" s="85"/>
      <c r="E356" s="103" t="s">
        <v>820</v>
      </c>
      <c r="F356" s="113">
        <f>F357</f>
        <v>4089</v>
      </c>
      <c r="G356" s="113">
        <f t="shared" ref="G356:H356" si="86">G357</f>
        <v>0</v>
      </c>
      <c r="H356" s="113">
        <f t="shared" si="86"/>
        <v>0</v>
      </c>
    </row>
    <row r="357" spans="1:8" ht="38.25">
      <c r="A357" s="16" t="s">
        <v>147</v>
      </c>
      <c r="B357" s="16" t="s">
        <v>141</v>
      </c>
      <c r="C357" s="21" t="s">
        <v>819</v>
      </c>
      <c r="D357" s="85" t="s">
        <v>325</v>
      </c>
      <c r="E357" s="103" t="s">
        <v>326</v>
      </c>
      <c r="F357" s="113">
        <v>4089</v>
      </c>
      <c r="G357" s="41">
        <v>0</v>
      </c>
      <c r="H357" s="41">
        <v>0</v>
      </c>
    </row>
    <row r="358" spans="1:8" ht="25.5">
      <c r="A358" s="16" t="s">
        <v>147</v>
      </c>
      <c r="B358" s="16" t="s">
        <v>141</v>
      </c>
      <c r="C358" s="168" t="s">
        <v>682</v>
      </c>
      <c r="D358" s="85"/>
      <c r="E358" s="167" t="s">
        <v>683</v>
      </c>
      <c r="F358" s="41">
        <f>F359</f>
        <v>17342.400000000001</v>
      </c>
      <c r="G358" s="41">
        <f>G359</f>
        <v>0</v>
      </c>
      <c r="H358" s="41">
        <f>H359</f>
        <v>0</v>
      </c>
    </row>
    <row r="359" spans="1:8">
      <c r="A359" s="16" t="s">
        <v>147</v>
      </c>
      <c r="B359" s="16" t="s">
        <v>141</v>
      </c>
      <c r="C359" s="51" t="s">
        <v>682</v>
      </c>
      <c r="D359" s="115" t="s">
        <v>382</v>
      </c>
      <c r="E359" s="112" t="s">
        <v>410</v>
      </c>
      <c r="F359" s="41">
        <f>1543.7+17984.4-2785.7+600</f>
        <v>17342.400000000001</v>
      </c>
      <c r="G359" s="41">
        <v>0</v>
      </c>
      <c r="H359" s="41">
        <v>0</v>
      </c>
    </row>
    <row r="360" spans="1:8" ht="51">
      <c r="A360" s="16" t="s">
        <v>147</v>
      </c>
      <c r="B360" s="16" t="s">
        <v>141</v>
      </c>
      <c r="C360" s="52" t="s">
        <v>275</v>
      </c>
      <c r="D360" s="16"/>
      <c r="E360" s="60" t="s">
        <v>301</v>
      </c>
      <c r="F360" s="98">
        <f>F361+F363</f>
        <v>3561.7000000000003</v>
      </c>
      <c r="G360" s="98">
        <f t="shared" ref="G360:H360" si="87">G361</f>
        <v>0</v>
      </c>
      <c r="H360" s="98">
        <f t="shared" si="87"/>
        <v>0</v>
      </c>
    </row>
    <row r="361" spans="1:8" ht="51">
      <c r="A361" s="16" t="s">
        <v>147</v>
      </c>
      <c r="B361" s="16" t="s">
        <v>141</v>
      </c>
      <c r="C361" s="21" t="s">
        <v>279</v>
      </c>
      <c r="D361" s="85"/>
      <c r="E361" s="103" t="s">
        <v>609</v>
      </c>
      <c r="F361" s="41">
        <f>F362</f>
        <v>3151.8</v>
      </c>
      <c r="G361" s="41">
        <f>G362</f>
        <v>0</v>
      </c>
      <c r="H361" s="41">
        <f>H362</f>
        <v>0</v>
      </c>
    </row>
    <row r="362" spans="1:8" ht="38.25">
      <c r="A362" s="16" t="s">
        <v>147</v>
      </c>
      <c r="B362" s="16" t="s">
        <v>141</v>
      </c>
      <c r="C362" s="21" t="s">
        <v>279</v>
      </c>
      <c r="D362" s="85" t="s">
        <v>325</v>
      </c>
      <c r="E362" s="103" t="s">
        <v>326</v>
      </c>
      <c r="F362" s="41">
        <f>5738.8-2129.4-175.4-282.2</f>
        <v>3151.8</v>
      </c>
      <c r="G362" s="41">
        <v>0</v>
      </c>
      <c r="H362" s="41">
        <v>0</v>
      </c>
    </row>
    <row r="363" spans="1:8" ht="25.5">
      <c r="A363" s="16" t="s">
        <v>147</v>
      </c>
      <c r="B363" s="16" t="s">
        <v>141</v>
      </c>
      <c r="C363" s="21" t="s">
        <v>749</v>
      </c>
      <c r="D363" s="16"/>
      <c r="E363" s="103" t="s">
        <v>750</v>
      </c>
      <c r="F363" s="41">
        <f>F364</f>
        <v>409.9</v>
      </c>
      <c r="G363" s="41">
        <f t="shared" ref="G363:H363" si="88">G364</f>
        <v>0</v>
      </c>
      <c r="H363" s="41">
        <f t="shared" si="88"/>
        <v>0</v>
      </c>
    </row>
    <row r="364" spans="1:8" ht="38.25">
      <c r="A364" s="16" t="s">
        <v>147</v>
      </c>
      <c r="B364" s="16" t="s">
        <v>141</v>
      </c>
      <c r="C364" s="21" t="s">
        <v>749</v>
      </c>
      <c r="D364" s="85" t="s">
        <v>325</v>
      </c>
      <c r="E364" s="103" t="s">
        <v>326</v>
      </c>
      <c r="F364" s="41">
        <f>200+175.4-38+72.5</f>
        <v>409.9</v>
      </c>
      <c r="G364" s="41">
        <v>0</v>
      </c>
      <c r="H364" s="41">
        <v>0</v>
      </c>
    </row>
    <row r="365" spans="1:8" ht="63.75">
      <c r="A365" s="5" t="s">
        <v>147</v>
      </c>
      <c r="B365" s="5" t="s">
        <v>141</v>
      </c>
      <c r="C365" s="73" t="s">
        <v>203</v>
      </c>
      <c r="D365" s="16"/>
      <c r="E365" s="63" t="s">
        <v>542</v>
      </c>
      <c r="F365" s="101">
        <f>F366+F371</f>
        <v>0</v>
      </c>
      <c r="G365" s="101">
        <f>G366+G371</f>
        <v>1921.4</v>
      </c>
      <c r="H365" s="101">
        <f>H366+H371</f>
        <v>986.9</v>
      </c>
    </row>
    <row r="366" spans="1:8" ht="90.75" customHeight="1">
      <c r="A366" s="47" t="s">
        <v>147</v>
      </c>
      <c r="B366" s="47" t="s">
        <v>141</v>
      </c>
      <c r="C366" s="52" t="s">
        <v>317</v>
      </c>
      <c r="D366" s="16"/>
      <c r="E366" s="48" t="s">
        <v>494</v>
      </c>
      <c r="F366" s="98">
        <f>F367+F369</f>
        <v>0</v>
      </c>
      <c r="G366" s="98">
        <f>G367+G369</f>
        <v>1055.9000000000001</v>
      </c>
      <c r="H366" s="98">
        <f>H367+H369</f>
        <v>0</v>
      </c>
    </row>
    <row r="367" spans="1:8" ht="69" customHeight="1">
      <c r="A367" s="16" t="s">
        <v>147</v>
      </c>
      <c r="B367" s="16" t="s">
        <v>141</v>
      </c>
      <c r="C367" s="21" t="s">
        <v>319</v>
      </c>
      <c r="D367" s="16"/>
      <c r="E367" s="103" t="s">
        <v>320</v>
      </c>
      <c r="F367" s="41">
        <f>F368</f>
        <v>0</v>
      </c>
      <c r="G367" s="41">
        <f>G368</f>
        <v>905</v>
      </c>
      <c r="H367" s="41">
        <f>H368</f>
        <v>0</v>
      </c>
    </row>
    <row r="368" spans="1:8" ht="38.25">
      <c r="A368" s="16" t="s">
        <v>147</v>
      </c>
      <c r="B368" s="16" t="s">
        <v>141</v>
      </c>
      <c r="C368" s="21" t="s">
        <v>319</v>
      </c>
      <c r="D368" s="85" t="s">
        <v>325</v>
      </c>
      <c r="E368" s="103" t="s">
        <v>326</v>
      </c>
      <c r="F368" s="41">
        <v>0</v>
      </c>
      <c r="G368" s="41">
        <v>905</v>
      </c>
      <c r="H368" s="41">
        <v>0</v>
      </c>
    </row>
    <row r="369" spans="1:8" ht="89.25">
      <c r="A369" s="16" t="s">
        <v>147</v>
      </c>
      <c r="B369" s="16" t="s">
        <v>141</v>
      </c>
      <c r="C369" s="21" t="s">
        <v>539</v>
      </c>
      <c r="D369" s="16"/>
      <c r="E369" s="103" t="s">
        <v>471</v>
      </c>
      <c r="F369" s="41">
        <f>F370</f>
        <v>0</v>
      </c>
      <c r="G369" s="41">
        <f>G370</f>
        <v>150.9</v>
      </c>
      <c r="H369" s="41">
        <f>H370</f>
        <v>0</v>
      </c>
    </row>
    <row r="370" spans="1:8" ht="38.25">
      <c r="A370" s="16" t="s">
        <v>147</v>
      </c>
      <c r="B370" s="16" t="s">
        <v>141</v>
      </c>
      <c r="C370" s="21" t="s">
        <v>539</v>
      </c>
      <c r="D370" s="85" t="s">
        <v>325</v>
      </c>
      <c r="E370" s="103" t="s">
        <v>326</v>
      </c>
      <c r="F370" s="41">
        <v>0</v>
      </c>
      <c r="G370" s="41">
        <v>150.9</v>
      </c>
      <c r="H370" s="41">
        <v>0</v>
      </c>
    </row>
    <row r="371" spans="1:8" ht="63.75" customHeight="1">
      <c r="A371" s="16" t="s">
        <v>147</v>
      </c>
      <c r="B371" s="16" t="s">
        <v>141</v>
      </c>
      <c r="C371" s="52" t="s">
        <v>321</v>
      </c>
      <c r="D371" s="16"/>
      <c r="E371" s="48" t="s">
        <v>322</v>
      </c>
      <c r="F371" s="98">
        <f t="shared" ref="F371:H372" si="89">F372</f>
        <v>0</v>
      </c>
      <c r="G371" s="98">
        <f t="shared" si="89"/>
        <v>865.5</v>
      </c>
      <c r="H371" s="98">
        <f t="shared" si="89"/>
        <v>986.9</v>
      </c>
    </row>
    <row r="372" spans="1:8" ht="63" customHeight="1">
      <c r="A372" s="16" t="s">
        <v>147</v>
      </c>
      <c r="B372" s="16" t="s">
        <v>141</v>
      </c>
      <c r="C372" s="21" t="s">
        <v>324</v>
      </c>
      <c r="D372" s="16"/>
      <c r="E372" s="103" t="s">
        <v>588</v>
      </c>
      <c r="F372" s="41">
        <f t="shared" si="89"/>
        <v>0</v>
      </c>
      <c r="G372" s="41">
        <f t="shared" si="89"/>
        <v>865.5</v>
      </c>
      <c r="H372" s="41">
        <f t="shared" si="89"/>
        <v>986.9</v>
      </c>
    </row>
    <row r="373" spans="1:8" ht="38.25">
      <c r="A373" s="16" t="s">
        <v>147</v>
      </c>
      <c r="B373" s="16" t="s">
        <v>141</v>
      </c>
      <c r="C373" s="21" t="s">
        <v>324</v>
      </c>
      <c r="D373" s="85" t="s">
        <v>325</v>
      </c>
      <c r="E373" s="103" t="s">
        <v>326</v>
      </c>
      <c r="F373" s="41">
        <v>0</v>
      </c>
      <c r="G373" s="41">
        <v>865.5</v>
      </c>
      <c r="H373" s="41">
        <v>986.9</v>
      </c>
    </row>
    <row r="374" spans="1:8" ht="63.75">
      <c r="A374" s="16" t="s">
        <v>147</v>
      </c>
      <c r="B374" s="16" t="s">
        <v>141</v>
      </c>
      <c r="C374" s="73" t="s">
        <v>87</v>
      </c>
      <c r="D374" s="16"/>
      <c r="E374" s="53" t="s">
        <v>550</v>
      </c>
      <c r="F374" s="101">
        <f>F375</f>
        <v>1908.2</v>
      </c>
      <c r="G374" s="101">
        <f t="shared" ref="G374:H374" si="90">G375</f>
        <v>0</v>
      </c>
      <c r="H374" s="101">
        <f t="shared" si="90"/>
        <v>0</v>
      </c>
    </row>
    <row r="375" spans="1:8" ht="63.75">
      <c r="A375" s="16" t="s">
        <v>147</v>
      </c>
      <c r="B375" s="16" t="s">
        <v>141</v>
      </c>
      <c r="C375" s="126" t="s">
        <v>769</v>
      </c>
      <c r="D375" s="129"/>
      <c r="E375" s="60" t="s">
        <v>770</v>
      </c>
      <c r="F375" s="41">
        <f>F377</f>
        <v>1908.2</v>
      </c>
      <c r="G375" s="41">
        <f>G377</f>
        <v>0</v>
      </c>
      <c r="H375" s="41">
        <f>H377</f>
        <v>0</v>
      </c>
    </row>
    <row r="376" spans="1:8" ht="42.75" customHeight="1">
      <c r="A376" s="16" t="s">
        <v>147</v>
      </c>
      <c r="B376" s="16" t="s">
        <v>141</v>
      </c>
      <c r="C376" s="21" t="s">
        <v>917</v>
      </c>
      <c r="D376" s="85"/>
      <c r="E376" s="193" t="s">
        <v>931</v>
      </c>
      <c r="F376" s="41">
        <f>F377</f>
        <v>1908.2</v>
      </c>
      <c r="G376" s="41">
        <f t="shared" ref="G376:H376" si="91">G377</f>
        <v>0</v>
      </c>
      <c r="H376" s="41">
        <f t="shared" si="91"/>
        <v>0</v>
      </c>
    </row>
    <row r="377" spans="1:8">
      <c r="A377" s="16" t="s">
        <v>147</v>
      </c>
      <c r="B377" s="16" t="s">
        <v>141</v>
      </c>
      <c r="C377" s="21" t="s">
        <v>917</v>
      </c>
      <c r="D377" s="85" t="s">
        <v>382</v>
      </c>
      <c r="E377" s="108" t="s">
        <v>381</v>
      </c>
      <c r="F377" s="41">
        <v>1908.2</v>
      </c>
      <c r="G377" s="41">
        <v>0</v>
      </c>
      <c r="H377" s="41">
        <v>0</v>
      </c>
    </row>
    <row r="378" spans="1:8" ht="14.25">
      <c r="A378" s="30" t="s">
        <v>147</v>
      </c>
      <c r="B378" s="30" t="s">
        <v>145</v>
      </c>
      <c r="C378" s="30"/>
      <c r="D378" s="30"/>
      <c r="E378" s="27" t="s">
        <v>73</v>
      </c>
      <c r="F378" s="40">
        <f>F379+F383+F403+F407+F498+F514</f>
        <v>93320</v>
      </c>
      <c r="G378" s="40">
        <f>G379+G383+G403+G407+G498</f>
        <v>25934.800000000003</v>
      </c>
      <c r="H378" s="40">
        <f>H379+H383+H403+H407+H498</f>
        <v>21802.9</v>
      </c>
    </row>
    <row r="379" spans="1:8" ht="52.5" customHeight="1">
      <c r="A379" s="5" t="s">
        <v>147</v>
      </c>
      <c r="B379" s="5" t="s">
        <v>145</v>
      </c>
      <c r="C379" s="78" t="s">
        <v>109</v>
      </c>
      <c r="D379" s="16"/>
      <c r="E379" s="63" t="s">
        <v>528</v>
      </c>
      <c r="F379" s="101">
        <f t="shared" ref="F379:H381" si="92">F380</f>
        <v>376</v>
      </c>
      <c r="G379" s="101">
        <f t="shared" si="92"/>
        <v>376</v>
      </c>
      <c r="H379" s="101">
        <f t="shared" si="92"/>
        <v>376</v>
      </c>
    </row>
    <row r="380" spans="1:8" ht="38.25">
      <c r="A380" s="47" t="s">
        <v>147</v>
      </c>
      <c r="B380" s="47" t="s">
        <v>145</v>
      </c>
      <c r="C380" s="77" t="s">
        <v>110</v>
      </c>
      <c r="D380" s="16"/>
      <c r="E380" s="60" t="s">
        <v>108</v>
      </c>
      <c r="F380" s="98">
        <f t="shared" si="92"/>
        <v>376</v>
      </c>
      <c r="G380" s="98">
        <f t="shared" si="92"/>
        <v>376</v>
      </c>
      <c r="H380" s="98">
        <f t="shared" si="92"/>
        <v>376</v>
      </c>
    </row>
    <row r="381" spans="1:8" ht="38.25">
      <c r="A381" s="85" t="s">
        <v>147</v>
      </c>
      <c r="B381" s="85" t="s">
        <v>145</v>
      </c>
      <c r="C381" s="74" t="s">
        <v>206</v>
      </c>
      <c r="D381" s="16"/>
      <c r="E381" s="103" t="s">
        <v>207</v>
      </c>
      <c r="F381" s="41">
        <f t="shared" si="92"/>
        <v>376</v>
      </c>
      <c r="G381" s="41">
        <f t="shared" si="92"/>
        <v>376</v>
      </c>
      <c r="H381" s="41">
        <f t="shared" si="92"/>
        <v>376</v>
      </c>
    </row>
    <row r="382" spans="1:8" ht="38.25">
      <c r="A382" s="85" t="s">
        <v>147</v>
      </c>
      <c r="B382" s="85" t="s">
        <v>145</v>
      </c>
      <c r="C382" s="74" t="s">
        <v>206</v>
      </c>
      <c r="D382" s="85" t="s">
        <v>325</v>
      </c>
      <c r="E382" s="103" t="s">
        <v>326</v>
      </c>
      <c r="F382" s="41">
        <v>376</v>
      </c>
      <c r="G382" s="41">
        <v>376</v>
      </c>
      <c r="H382" s="41">
        <v>376</v>
      </c>
    </row>
    <row r="383" spans="1:8" ht="65.25" customHeight="1">
      <c r="A383" s="5" t="s">
        <v>147</v>
      </c>
      <c r="B383" s="5" t="s">
        <v>145</v>
      </c>
      <c r="C383" s="83" t="s">
        <v>44</v>
      </c>
      <c r="D383" s="16"/>
      <c r="E383" s="53" t="s">
        <v>543</v>
      </c>
      <c r="F383" s="101">
        <f>F384+F393+F396</f>
        <v>14772.1</v>
      </c>
      <c r="G383" s="101">
        <f t="shared" ref="G383:H383" si="93">G384+G393+G396</f>
        <v>16582.7</v>
      </c>
      <c r="H383" s="101">
        <f t="shared" si="93"/>
        <v>14632.599999999999</v>
      </c>
    </row>
    <row r="384" spans="1:8" ht="42" customHeight="1">
      <c r="A384" s="85" t="s">
        <v>147</v>
      </c>
      <c r="B384" s="85" t="s">
        <v>145</v>
      </c>
      <c r="C384" s="52" t="s">
        <v>677</v>
      </c>
      <c r="D384" s="16"/>
      <c r="E384" s="60" t="s">
        <v>678</v>
      </c>
      <c r="F384" s="41">
        <f>F385+F387+F389+F391</f>
        <v>3029</v>
      </c>
      <c r="G384" s="41">
        <f t="shared" ref="G384:H384" si="94">G385+G387+G389+G391</f>
        <v>0</v>
      </c>
      <c r="H384" s="41">
        <f t="shared" si="94"/>
        <v>50</v>
      </c>
    </row>
    <row r="385" spans="1:8" ht="26.25" customHeight="1">
      <c r="A385" s="16" t="s">
        <v>147</v>
      </c>
      <c r="B385" s="85" t="s">
        <v>145</v>
      </c>
      <c r="C385" s="21" t="s">
        <v>679</v>
      </c>
      <c r="D385" s="16"/>
      <c r="E385" s="103" t="s">
        <v>681</v>
      </c>
      <c r="F385" s="41">
        <f t="shared" ref="F385:H385" si="95">F386</f>
        <v>0</v>
      </c>
      <c r="G385" s="41">
        <f t="shared" si="95"/>
        <v>0</v>
      </c>
      <c r="H385" s="41">
        <f t="shared" si="95"/>
        <v>50</v>
      </c>
    </row>
    <row r="386" spans="1:8" ht="39" customHeight="1">
      <c r="A386" s="85" t="s">
        <v>147</v>
      </c>
      <c r="B386" s="85" t="s">
        <v>145</v>
      </c>
      <c r="C386" s="21" t="s">
        <v>679</v>
      </c>
      <c r="D386" s="85" t="s">
        <v>325</v>
      </c>
      <c r="E386" s="103" t="s">
        <v>326</v>
      </c>
      <c r="F386" s="41">
        <v>0</v>
      </c>
      <c r="G386" s="41">
        <v>0</v>
      </c>
      <c r="H386" s="41">
        <v>50</v>
      </c>
    </row>
    <row r="387" spans="1:8" ht="26.25" customHeight="1">
      <c r="A387" s="85" t="s">
        <v>147</v>
      </c>
      <c r="B387" s="85" t="s">
        <v>145</v>
      </c>
      <c r="C387" s="21" t="s">
        <v>734</v>
      </c>
      <c r="D387" s="85"/>
      <c r="E387" s="103" t="s">
        <v>762</v>
      </c>
      <c r="F387" s="41">
        <f>F388</f>
        <v>155</v>
      </c>
      <c r="G387" s="41">
        <f t="shared" ref="G387:H387" si="96">G388</f>
        <v>0</v>
      </c>
      <c r="H387" s="41">
        <f t="shared" si="96"/>
        <v>0</v>
      </c>
    </row>
    <row r="388" spans="1:8" ht="39" customHeight="1">
      <c r="A388" s="16" t="s">
        <v>147</v>
      </c>
      <c r="B388" s="85" t="s">
        <v>145</v>
      </c>
      <c r="C388" s="21" t="s">
        <v>734</v>
      </c>
      <c r="D388" s="85" t="s">
        <v>325</v>
      </c>
      <c r="E388" s="103" t="s">
        <v>326</v>
      </c>
      <c r="F388" s="41">
        <f>2000-1630-66-149</f>
        <v>155</v>
      </c>
      <c r="G388" s="41">
        <v>0</v>
      </c>
      <c r="H388" s="41">
        <v>0</v>
      </c>
    </row>
    <row r="389" spans="1:8" ht="23.25" customHeight="1">
      <c r="A389" s="85" t="s">
        <v>147</v>
      </c>
      <c r="B389" s="85" t="s">
        <v>145</v>
      </c>
      <c r="C389" s="21" t="s">
        <v>735</v>
      </c>
      <c r="D389" s="85"/>
      <c r="E389" s="131" t="s">
        <v>791</v>
      </c>
      <c r="F389" s="41">
        <f>F390</f>
        <v>2140</v>
      </c>
      <c r="G389" s="41">
        <f t="shared" ref="G389:H389" si="97">G390</f>
        <v>0</v>
      </c>
      <c r="H389" s="41">
        <f t="shared" si="97"/>
        <v>0</v>
      </c>
    </row>
    <row r="390" spans="1:8" ht="39" customHeight="1">
      <c r="A390" s="85" t="s">
        <v>147</v>
      </c>
      <c r="B390" s="85" t="s">
        <v>145</v>
      </c>
      <c r="C390" s="21" t="s">
        <v>735</v>
      </c>
      <c r="D390" s="85" t="s">
        <v>325</v>
      </c>
      <c r="E390" s="103" t="s">
        <v>326</v>
      </c>
      <c r="F390" s="41">
        <f>2816.5-676.5</f>
        <v>2140</v>
      </c>
      <c r="G390" s="41">
        <v>0</v>
      </c>
      <c r="H390" s="41">
        <v>0</v>
      </c>
    </row>
    <row r="391" spans="1:8" ht="28.5" customHeight="1">
      <c r="A391" s="85" t="s">
        <v>147</v>
      </c>
      <c r="B391" s="85" t="s">
        <v>145</v>
      </c>
      <c r="C391" s="21" t="s">
        <v>964</v>
      </c>
      <c r="D391" s="85"/>
      <c r="E391" s="103" t="s">
        <v>965</v>
      </c>
      <c r="F391" s="41">
        <f>F392</f>
        <v>734</v>
      </c>
      <c r="G391" s="41">
        <f t="shared" ref="G391:H391" si="98">G392</f>
        <v>0</v>
      </c>
      <c r="H391" s="41">
        <f t="shared" si="98"/>
        <v>0</v>
      </c>
    </row>
    <row r="392" spans="1:8" ht="15" customHeight="1">
      <c r="A392" s="85" t="s">
        <v>147</v>
      </c>
      <c r="B392" s="85" t="s">
        <v>145</v>
      </c>
      <c r="C392" s="21" t="s">
        <v>964</v>
      </c>
      <c r="D392" s="85" t="s">
        <v>382</v>
      </c>
      <c r="E392" s="112" t="s">
        <v>410</v>
      </c>
      <c r="F392" s="41">
        <v>734</v>
      </c>
      <c r="G392" s="41">
        <v>0</v>
      </c>
      <c r="H392" s="41">
        <v>0</v>
      </c>
    </row>
    <row r="393" spans="1:8" ht="25.5" customHeight="1">
      <c r="A393" s="47" t="s">
        <v>147</v>
      </c>
      <c r="B393" s="47" t="s">
        <v>145</v>
      </c>
      <c r="C393" s="52" t="s">
        <v>46</v>
      </c>
      <c r="D393" s="16"/>
      <c r="E393" s="46" t="s">
        <v>621</v>
      </c>
      <c r="F393" s="41">
        <f>F394</f>
        <v>178.5</v>
      </c>
      <c r="G393" s="41">
        <f t="shared" ref="G393:H394" si="99">G394</f>
        <v>0</v>
      </c>
      <c r="H393" s="41">
        <f t="shared" si="99"/>
        <v>0</v>
      </c>
    </row>
    <row r="394" spans="1:8" ht="39" customHeight="1">
      <c r="A394" s="85" t="s">
        <v>147</v>
      </c>
      <c r="B394" s="85" t="s">
        <v>145</v>
      </c>
      <c r="C394" s="178" t="s">
        <v>758</v>
      </c>
      <c r="D394" s="115"/>
      <c r="E394" s="112" t="s">
        <v>748</v>
      </c>
      <c r="F394" s="113">
        <f>F395</f>
        <v>178.5</v>
      </c>
      <c r="G394" s="113">
        <f t="shared" si="99"/>
        <v>0</v>
      </c>
      <c r="H394" s="113">
        <f t="shared" si="99"/>
        <v>0</v>
      </c>
    </row>
    <row r="395" spans="1:8" ht="15.75" customHeight="1">
      <c r="A395" s="85" t="s">
        <v>147</v>
      </c>
      <c r="B395" s="85" t="s">
        <v>145</v>
      </c>
      <c r="C395" s="178" t="s">
        <v>758</v>
      </c>
      <c r="D395" s="115" t="s">
        <v>382</v>
      </c>
      <c r="E395" s="112" t="s">
        <v>410</v>
      </c>
      <c r="F395" s="113">
        <f>1000-750-65-6.5</f>
        <v>178.5</v>
      </c>
      <c r="G395" s="113">
        <v>0</v>
      </c>
      <c r="H395" s="113">
        <v>0</v>
      </c>
    </row>
    <row r="396" spans="1:8" ht="38.25">
      <c r="A396" s="16" t="s">
        <v>147</v>
      </c>
      <c r="B396" s="85" t="s">
        <v>145</v>
      </c>
      <c r="C396" s="52" t="s">
        <v>276</v>
      </c>
      <c r="D396" s="16"/>
      <c r="E396" s="60" t="s">
        <v>600</v>
      </c>
      <c r="F396" s="98">
        <f>F397+F399+F401</f>
        <v>11564.6</v>
      </c>
      <c r="G396" s="98">
        <f t="shared" ref="G396:H396" si="100">G397+G399+G401</f>
        <v>16582.7</v>
      </c>
      <c r="H396" s="98">
        <f t="shared" si="100"/>
        <v>14582.599999999999</v>
      </c>
    </row>
    <row r="397" spans="1:8" ht="25.5">
      <c r="A397" s="16" t="s">
        <v>147</v>
      </c>
      <c r="B397" s="85" t="s">
        <v>145</v>
      </c>
      <c r="C397" s="21" t="s">
        <v>277</v>
      </c>
      <c r="D397" s="85"/>
      <c r="E397" s="103" t="s">
        <v>601</v>
      </c>
      <c r="F397" s="41">
        <f>F398</f>
        <v>7000</v>
      </c>
      <c r="G397" s="41">
        <f>G398</f>
        <v>11473.8</v>
      </c>
      <c r="H397" s="41">
        <f>H398</f>
        <v>11473.8</v>
      </c>
    </row>
    <row r="398" spans="1:8" ht="38.25">
      <c r="A398" s="16" t="s">
        <v>147</v>
      </c>
      <c r="B398" s="85" t="s">
        <v>145</v>
      </c>
      <c r="C398" s="21" t="s">
        <v>277</v>
      </c>
      <c r="D398" s="85" t="s">
        <v>325</v>
      </c>
      <c r="E398" s="103" t="s">
        <v>326</v>
      </c>
      <c r="F398" s="41">
        <f>10000-2000-1000</f>
        <v>7000</v>
      </c>
      <c r="G398" s="41">
        <v>11473.8</v>
      </c>
      <c r="H398" s="41">
        <v>11473.8</v>
      </c>
    </row>
    <row r="399" spans="1:8" ht="51">
      <c r="A399" s="16" t="s">
        <v>147</v>
      </c>
      <c r="B399" s="85" t="s">
        <v>145</v>
      </c>
      <c r="C399" s="21" t="s">
        <v>587</v>
      </c>
      <c r="D399" s="16"/>
      <c r="E399" s="103" t="s">
        <v>603</v>
      </c>
      <c r="F399" s="98">
        <f>F400</f>
        <v>1500</v>
      </c>
      <c r="G399" s="98">
        <f>G400</f>
        <v>2000</v>
      </c>
      <c r="H399" s="98">
        <f>H400</f>
        <v>774.8</v>
      </c>
    </row>
    <row r="400" spans="1:8" ht="38.25">
      <c r="A400" s="85" t="s">
        <v>147</v>
      </c>
      <c r="B400" s="85" t="s">
        <v>145</v>
      </c>
      <c r="C400" s="21" t="s">
        <v>587</v>
      </c>
      <c r="D400" s="85" t="s">
        <v>325</v>
      </c>
      <c r="E400" s="103" t="s">
        <v>326</v>
      </c>
      <c r="F400" s="41">
        <v>1500</v>
      </c>
      <c r="G400" s="41">
        <v>2000</v>
      </c>
      <c r="H400" s="41">
        <v>774.8</v>
      </c>
    </row>
    <row r="401" spans="1:8" ht="18.75" customHeight="1">
      <c r="A401" s="16" t="s">
        <v>147</v>
      </c>
      <c r="B401" s="85" t="s">
        <v>145</v>
      </c>
      <c r="C401" s="21" t="s">
        <v>736</v>
      </c>
      <c r="D401" s="85"/>
      <c r="E401" s="103" t="s">
        <v>740</v>
      </c>
      <c r="F401" s="41">
        <f>F402</f>
        <v>3064.6</v>
      </c>
      <c r="G401" s="41">
        <f t="shared" ref="G401:H401" si="101">G402</f>
        <v>3108.9</v>
      </c>
      <c r="H401" s="41">
        <f t="shared" si="101"/>
        <v>2334</v>
      </c>
    </row>
    <row r="402" spans="1:8" ht="38.25">
      <c r="A402" s="16" t="s">
        <v>147</v>
      </c>
      <c r="B402" s="85" t="s">
        <v>145</v>
      </c>
      <c r="C402" s="21" t="s">
        <v>736</v>
      </c>
      <c r="D402" s="85" t="s">
        <v>325</v>
      </c>
      <c r="E402" s="103" t="s">
        <v>326</v>
      </c>
      <c r="F402" s="41">
        <f>3280+100-232.4-83</f>
        <v>3064.6</v>
      </c>
      <c r="G402" s="41">
        <f>3008.9+100</f>
        <v>3108.9</v>
      </c>
      <c r="H402" s="41">
        <f>2234+100</f>
        <v>2334</v>
      </c>
    </row>
    <row r="403" spans="1:8" ht="63.75">
      <c r="A403" s="5" t="s">
        <v>147</v>
      </c>
      <c r="B403" s="5" t="s">
        <v>145</v>
      </c>
      <c r="C403" s="73" t="s">
        <v>203</v>
      </c>
      <c r="D403" s="16"/>
      <c r="E403" s="63" t="s">
        <v>542</v>
      </c>
      <c r="F403" s="101">
        <f t="shared" ref="F403:H405" si="102">F404</f>
        <v>0</v>
      </c>
      <c r="G403" s="101">
        <f t="shared" si="102"/>
        <v>0</v>
      </c>
      <c r="H403" s="101">
        <f t="shared" si="102"/>
        <v>934.5</v>
      </c>
    </row>
    <row r="404" spans="1:8" ht="64.5" customHeight="1">
      <c r="A404" s="47" t="s">
        <v>147</v>
      </c>
      <c r="B404" s="47" t="s">
        <v>145</v>
      </c>
      <c r="C404" s="52" t="s">
        <v>321</v>
      </c>
      <c r="D404" s="16"/>
      <c r="E404" s="48" t="s">
        <v>322</v>
      </c>
      <c r="F404" s="98">
        <f t="shared" si="102"/>
        <v>0</v>
      </c>
      <c r="G404" s="98">
        <f t="shared" si="102"/>
        <v>0</v>
      </c>
      <c r="H404" s="98">
        <f t="shared" si="102"/>
        <v>934.5</v>
      </c>
    </row>
    <row r="405" spans="1:8" ht="65.25" customHeight="1">
      <c r="A405" s="85" t="s">
        <v>147</v>
      </c>
      <c r="B405" s="85" t="s">
        <v>145</v>
      </c>
      <c r="C405" s="21" t="s">
        <v>646</v>
      </c>
      <c r="D405" s="16"/>
      <c r="E405" s="103" t="s">
        <v>664</v>
      </c>
      <c r="F405" s="41">
        <f t="shared" si="102"/>
        <v>0</v>
      </c>
      <c r="G405" s="41">
        <f t="shared" si="102"/>
        <v>0</v>
      </c>
      <c r="H405" s="41">
        <f t="shared" si="102"/>
        <v>934.5</v>
      </c>
    </row>
    <row r="406" spans="1:8" ht="38.25">
      <c r="A406" s="16" t="s">
        <v>147</v>
      </c>
      <c r="B406" s="85" t="s">
        <v>145</v>
      </c>
      <c r="C406" s="21" t="s">
        <v>646</v>
      </c>
      <c r="D406" s="85" t="s">
        <v>325</v>
      </c>
      <c r="E406" s="103" t="s">
        <v>326</v>
      </c>
      <c r="F406" s="41">
        <v>0</v>
      </c>
      <c r="G406" s="41">
        <v>0</v>
      </c>
      <c r="H406" s="41">
        <v>934.5</v>
      </c>
    </row>
    <row r="407" spans="1:8" ht="63.75">
      <c r="A407" s="5" t="s">
        <v>147</v>
      </c>
      <c r="B407" s="5" t="s">
        <v>145</v>
      </c>
      <c r="C407" s="73" t="s">
        <v>87</v>
      </c>
      <c r="D407" s="16"/>
      <c r="E407" s="53" t="s">
        <v>550</v>
      </c>
      <c r="F407" s="101">
        <f>F408+F421+F426+F433+F444+F479</f>
        <v>48719.6</v>
      </c>
      <c r="G407" s="101">
        <f>G408+G421+G426+G433+G444+G479</f>
        <v>8258.7000000000007</v>
      </c>
      <c r="H407" s="101">
        <f>H408+H421+H426+H433+H444+H479</f>
        <v>5142.3999999999996</v>
      </c>
    </row>
    <row r="408" spans="1:8" ht="38.25">
      <c r="A408" s="47" t="s">
        <v>147</v>
      </c>
      <c r="B408" s="47" t="s">
        <v>145</v>
      </c>
      <c r="C408" s="52" t="s">
        <v>88</v>
      </c>
      <c r="D408" s="47"/>
      <c r="E408" s="48" t="s">
        <v>280</v>
      </c>
      <c r="F408" s="98">
        <f>F409+F411+F413+F415+F417+F419</f>
        <v>16568.7</v>
      </c>
      <c r="G408" s="98">
        <f t="shared" ref="G408:H408" si="103">G409+G411+G413+G415+G417+G419</f>
        <v>480.2</v>
      </c>
      <c r="H408" s="98">
        <f t="shared" si="103"/>
        <v>480.2</v>
      </c>
    </row>
    <row r="409" spans="1:8" ht="28.5" customHeight="1">
      <c r="A409" s="16" t="s">
        <v>147</v>
      </c>
      <c r="B409" s="16" t="s">
        <v>145</v>
      </c>
      <c r="C409" s="74" t="s">
        <v>89</v>
      </c>
      <c r="D409" s="21"/>
      <c r="E409" s="103" t="s">
        <v>28</v>
      </c>
      <c r="F409" s="41">
        <f t="shared" ref="F409:H409" si="104">F410</f>
        <v>9501.7000000000007</v>
      </c>
      <c r="G409" s="41">
        <f t="shared" si="104"/>
        <v>100</v>
      </c>
      <c r="H409" s="41">
        <f t="shared" si="104"/>
        <v>100</v>
      </c>
    </row>
    <row r="410" spans="1:8" ht="38.25">
      <c r="A410" s="16" t="s">
        <v>147</v>
      </c>
      <c r="B410" s="16" t="s">
        <v>145</v>
      </c>
      <c r="C410" s="74" t="s">
        <v>89</v>
      </c>
      <c r="D410" s="85" t="s">
        <v>325</v>
      </c>
      <c r="E410" s="103" t="s">
        <v>326</v>
      </c>
      <c r="F410" s="39">
        <f>350+3770.5+5261.1-0.1+142.7-8.9-42.8-326.7+1571.3-800.6+200-350-264.8</f>
        <v>9501.7000000000007</v>
      </c>
      <c r="G410" s="39">
        <v>100</v>
      </c>
      <c r="H410" s="39">
        <v>100</v>
      </c>
    </row>
    <row r="411" spans="1:8" ht="63.75">
      <c r="A411" s="16" t="s">
        <v>147</v>
      </c>
      <c r="B411" s="16" t="s">
        <v>145</v>
      </c>
      <c r="C411" s="74" t="s">
        <v>90</v>
      </c>
      <c r="D411" s="21"/>
      <c r="E411" s="103" t="s">
        <v>366</v>
      </c>
      <c r="F411" s="41">
        <f t="shared" ref="F411:H411" si="105">F412</f>
        <v>3945.6</v>
      </c>
      <c r="G411" s="41">
        <f t="shared" si="105"/>
        <v>300</v>
      </c>
      <c r="H411" s="41">
        <f t="shared" si="105"/>
        <v>300</v>
      </c>
    </row>
    <row r="412" spans="1:8" ht="38.25">
      <c r="A412" s="16" t="s">
        <v>147</v>
      </c>
      <c r="B412" s="16" t="s">
        <v>145</v>
      </c>
      <c r="C412" s="74" t="s">
        <v>90</v>
      </c>
      <c r="D412" s="85" t="s">
        <v>325</v>
      </c>
      <c r="E412" s="103" t="s">
        <v>326</v>
      </c>
      <c r="F412" s="41">
        <f>4100+372.9-1453+232.4+91.5+101.3+500.5</f>
        <v>3945.6</v>
      </c>
      <c r="G412" s="41">
        <v>300</v>
      </c>
      <c r="H412" s="41">
        <v>300</v>
      </c>
    </row>
    <row r="413" spans="1:8" ht="25.5">
      <c r="A413" s="16" t="s">
        <v>147</v>
      </c>
      <c r="B413" s="16" t="s">
        <v>145</v>
      </c>
      <c r="C413" s="74" t="s">
        <v>281</v>
      </c>
      <c r="D413" s="16"/>
      <c r="E413" s="103" t="s">
        <v>29</v>
      </c>
      <c r="F413" s="41">
        <f t="shared" ref="F413:H413" si="106">F414</f>
        <v>1000</v>
      </c>
      <c r="G413" s="41">
        <f t="shared" si="106"/>
        <v>50</v>
      </c>
      <c r="H413" s="41">
        <f t="shared" si="106"/>
        <v>50</v>
      </c>
    </row>
    <row r="414" spans="1:8" ht="38.25">
      <c r="A414" s="16" t="s">
        <v>147</v>
      </c>
      <c r="B414" s="16" t="s">
        <v>145</v>
      </c>
      <c r="C414" s="74" t="s">
        <v>281</v>
      </c>
      <c r="D414" s="85" t="s">
        <v>325</v>
      </c>
      <c r="E414" s="103" t="s">
        <v>326</v>
      </c>
      <c r="F414" s="41">
        <v>1000</v>
      </c>
      <c r="G414" s="41">
        <v>50</v>
      </c>
      <c r="H414" s="41">
        <v>50</v>
      </c>
    </row>
    <row r="415" spans="1:8" ht="25.5">
      <c r="A415" s="16" t="s">
        <v>147</v>
      </c>
      <c r="B415" s="16" t="s">
        <v>145</v>
      </c>
      <c r="C415" s="74" t="s">
        <v>91</v>
      </c>
      <c r="D415" s="16"/>
      <c r="E415" s="103" t="s">
        <v>30</v>
      </c>
      <c r="F415" s="41">
        <f t="shared" ref="F415:H415" si="107">F416</f>
        <v>10</v>
      </c>
      <c r="G415" s="41">
        <f t="shared" si="107"/>
        <v>10</v>
      </c>
      <c r="H415" s="41">
        <f t="shared" si="107"/>
        <v>10</v>
      </c>
    </row>
    <row r="416" spans="1:8" ht="38.25">
      <c r="A416" s="16" t="s">
        <v>147</v>
      </c>
      <c r="B416" s="16" t="s">
        <v>145</v>
      </c>
      <c r="C416" s="74" t="s">
        <v>91</v>
      </c>
      <c r="D416" s="85" t="s">
        <v>325</v>
      </c>
      <c r="E416" s="103" t="s">
        <v>326</v>
      </c>
      <c r="F416" s="39">
        <v>10</v>
      </c>
      <c r="G416" s="39">
        <v>10</v>
      </c>
      <c r="H416" s="39">
        <v>10</v>
      </c>
    </row>
    <row r="417" spans="1:8" ht="25.5">
      <c r="A417" s="16" t="s">
        <v>147</v>
      </c>
      <c r="B417" s="16" t="s">
        <v>145</v>
      </c>
      <c r="C417" s="74" t="s">
        <v>332</v>
      </c>
      <c r="D417" s="16"/>
      <c r="E417" s="103" t="s">
        <v>367</v>
      </c>
      <c r="F417" s="41">
        <f t="shared" ref="F417:H417" si="108">F418</f>
        <v>300</v>
      </c>
      <c r="G417" s="41">
        <f t="shared" si="108"/>
        <v>20.2</v>
      </c>
      <c r="H417" s="41">
        <f t="shared" si="108"/>
        <v>20.2</v>
      </c>
    </row>
    <row r="418" spans="1:8" ht="38.25">
      <c r="A418" s="16" t="s">
        <v>147</v>
      </c>
      <c r="B418" s="16" t="s">
        <v>145</v>
      </c>
      <c r="C418" s="74" t="s">
        <v>332</v>
      </c>
      <c r="D418" s="85" t="s">
        <v>325</v>
      </c>
      <c r="E418" s="103" t="s">
        <v>326</v>
      </c>
      <c r="F418" s="39">
        <v>300</v>
      </c>
      <c r="G418" s="39">
        <v>20.2</v>
      </c>
      <c r="H418" s="39">
        <v>20.2</v>
      </c>
    </row>
    <row r="419" spans="1:8" ht="25.5">
      <c r="A419" s="16" t="s">
        <v>147</v>
      </c>
      <c r="B419" s="16" t="s">
        <v>145</v>
      </c>
      <c r="C419" s="74" t="s">
        <v>638</v>
      </c>
      <c r="D419" s="85"/>
      <c r="E419" s="103" t="s">
        <v>639</v>
      </c>
      <c r="F419" s="41">
        <f t="shared" ref="F419:H419" si="109">F420</f>
        <v>1811.4000000000012</v>
      </c>
      <c r="G419" s="41">
        <f t="shared" si="109"/>
        <v>0</v>
      </c>
      <c r="H419" s="41">
        <f t="shared" si="109"/>
        <v>0</v>
      </c>
    </row>
    <row r="420" spans="1:8" ht="38.25">
      <c r="A420" s="16" t="s">
        <v>147</v>
      </c>
      <c r="B420" s="16" t="s">
        <v>145</v>
      </c>
      <c r="C420" s="74" t="s">
        <v>638</v>
      </c>
      <c r="D420" s="85" t="s">
        <v>325</v>
      </c>
      <c r="E420" s="103" t="s">
        <v>326</v>
      </c>
      <c r="F420" s="39">
        <f>22300-9243.3+1077.6-6528.9-1840.1-4218.7+264.8</f>
        <v>1811.4000000000012</v>
      </c>
      <c r="G420" s="39">
        <v>0</v>
      </c>
      <c r="H420" s="39">
        <v>0</v>
      </c>
    </row>
    <row r="421" spans="1:8" ht="25.5">
      <c r="A421" s="16" t="s">
        <v>147</v>
      </c>
      <c r="B421" s="16" t="s">
        <v>145</v>
      </c>
      <c r="C421" s="52" t="s">
        <v>93</v>
      </c>
      <c r="D421" s="47"/>
      <c r="E421" s="48" t="s">
        <v>33</v>
      </c>
      <c r="F421" s="98">
        <f>F422+F424</f>
        <v>1103</v>
      </c>
      <c r="G421" s="98">
        <f>G422+G424</f>
        <v>700</v>
      </c>
      <c r="H421" s="98">
        <f>H422+H424</f>
        <v>700</v>
      </c>
    </row>
    <row r="422" spans="1:8" ht="25.5">
      <c r="A422" s="16" t="s">
        <v>147</v>
      </c>
      <c r="B422" s="16" t="s">
        <v>145</v>
      </c>
      <c r="C422" s="80" t="s">
        <v>92</v>
      </c>
      <c r="D422" s="16"/>
      <c r="E422" s="103" t="s">
        <v>282</v>
      </c>
      <c r="F422" s="41">
        <f t="shared" ref="F422:H422" si="110">F423</f>
        <v>700</v>
      </c>
      <c r="G422" s="41">
        <f t="shared" si="110"/>
        <v>700</v>
      </c>
      <c r="H422" s="41">
        <f t="shared" si="110"/>
        <v>700</v>
      </c>
    </row>
    <row r="423" spans="1:8" ht="38.25">
      <c r="A423" s="16" t="s">
        <v>147</v>
      </c>
      <c r="B423" s="16" t="s">
        <v>145</v>
      </c>
      <c r="C423" s="80" t="s">
        <v>92</v>
      </c>
      <c r="D423" s="85" t="s">
        <v>325</v>
      </c>
      <c r="E423" s="103" t="s">
        <v>326</v>
      </c>
      <c r="F423" s="41">
        <v>700</v>
      </c>
      <c r="G423" s="41">
        <v>700</v>
      </c>
      <c r="H423" s="41">
        <v>700</v>
      </c>
    </row>
    <row r="424" spans="1:8" ht="25.5">
      <c r="A424" s="16" t="s">
        <v>147</v>
      </c>
      <c r="B424" s="16" t="s">
        <v>145</v>
      </c>
      <c r="C424" s="80" t="s">
        <v>595</v>
      </c>
      <c r="D424" s="16"/>
      <c r="E424" s="103" t="s">
        <v>283</v>
      </c>
      <c r="F424" s="41">
        <f t="shared" ref="F424:H424" si="111">F425</f>
        <v>403</v>
      </c>
      <c r="G424" s="41">
        <f t="shared" si="111"/>
        <v>0</v>
      </c>
      <c r="H424" s="41">
        <f t="shared" si="111"/>
        <v>0</v>
      </c>
    </row>
    <row r="425" spans="1:8" ht="38.25">
      <c r="A425" s="16" t="s">
        <v>147</v>
      </c>
      <c r="B425" s="16" t="s">
        <v>145</v>
      </c>
      <c r="C425" s="80" t="s">
        <v>595</v>
      </c>
      <c r="D425" s="85" t="s">
        <v>325</v>
      </c>
      <c r="E425" s="103" t="s">
        <v>326</v>
      </c>
      <c r="F425" s="39">
        <v>403</v>
      </c>
      <c r="G425" s="39">
        <v>0</v>
      </c>
      <c r="H425" s="39">
        <v>0</v>
      </c>
    </row>
    <row r="426" spans="1:8" ht="38.25">
      <c r="A426" s="16" t="s">
        <v>147</v>
      </c>
      <c r="B426" s="16" t="s">
        <v>145</v>
      </c>
      <c r="C426" s="52" t="s">
        <v>94</v>
      </c>
      <c r="D426" s="47"/>
      <c r="E426" s="48" t="s">
        <v>284</v>
      </c>
      <c r="F426" s="98">
        <f>F427+F429+F431</f>
        <v>6194</v>
      </c>
      <c r="G426" s="98">
        <f>G427+G429+G431</f>
        <v>2835</v>
      </c>
      <c r="H426" s="98">
        <f>H427+H429+H431</f>
        <v>2835</v>
      </c>
    </row>
    <row r="427" spans="1:8" ht="25.5">
      <c r="A427" s="16" t="s">
        <v>147</v>
      </c>
      <c r="B427" s="16" t="s">
        <v>145</v>
      </c>
      <c r="C427" s="21" t="s">
        <v>95</v>
      </c>
      <c r="D427" s="16"/>
      <c r="E427" s="103" t="s">
        <v>478</v>
      </c>
      <c r="F427" s="41">
        <f t="shared" ref="F427:H427" si="112">F428</f>
        <v>3070.2999999999997</v>
      </c>
      <c r="G427" s="41">
        <f t="shared" si="112"/>
        <v>2800</v>
      </c>
      <c r="H427" s="41">
        <f t="shared" si="112"/>
        <v>2800</v>
      </c>
    </row>
    <row r="428" spans="1:8" ht="38.25">
      <c r="A428" s="16" t="s">
        <v>147</v>
      </c>
      <c r="B428" s="16" t="s">
        <v>145</v>
      </c>
      <c r="C428" s="21" t="s">
        <v>95</v>
      </c>
      <c r="D428" s="85" t="s">
        <v>325</v>
      </c>
      <c r="E428" s="103" t="s">
        <v>326</v>
      </c>
      <c r="F428" s="41">
        <f>3500+141.2-599.9+29</f>
        <v>3070.2999999999997</v>
      </c>
      <c r="G428" s="41">
        <v>2800</v>
      </c>
      <c r="H428" s="41">
        <v>2800</v>
      </c>
    </row>
    <row r="429" spans="1:8" ht="25.5">
      <c r="A429" s="16" t="s">
        <v>147</v>
      </c>
      <c r="B429" s="16" t="s">
        <v>145</v>
      </c>
      <c r="C429" s="21" t="s">
        <v>96</v>
      </c>
      <c r="D429" s="16"/>
      <c r="E429" s="103" t="s">
        <v>31</v>
      </c>
      <c r="F429" s="41">
        <f t="shared" ref="F429:H429" si="113">F430</f>
        <v>2998.7</v>
      </c>
      <c r="G429" s="41">
        <f t="shared" si="113"/>
        <v>30</v>
      </c>
      <c r="H429" s="41">
        <f t="shared" si="113"/>
        <v>30</v>
      </c>
    </row>
    <row r="430" spans="1:8" ht="38.25">
      <c r="A430" s="47" t="s">
        <v>147</v>
      </c>
      <c r="B430" s="47" t="s">
        <v>145</v>
      </c>
      <c r="C430" s="21" t="s">
        <v>96</v>
      </c>
      <c r="D430" s="85" t="s">
        <v>325</v>
      </c>
      <c r="E430" s="103" t="s">
        <v>326</v>
      </c>
      <c r="F430" s="41">
        <f>4170-350-1171.3+350</f>
        <v>2998.7</v>
      </c>
      <c r="G430" s="41">
        <v>30</v>
      </c>
      <c r="H430" s="41">
        <v>30</v>
      </c>
    </row>
    <row r="431" spans="1:8" ht="25.5">
      <c r="A431" s="16" t="s">
        <v>147</v>
      </c>
      <c r="B431" s="16" t="s">
        <v>145</v>
      </c>
      <c r="C431" s="21" t="s">
        <v>97</v>
      </c>
      <c r="D431" s="16"/>
      <c r="E431" s="103" t="s">
        <v>287</v>
      </c>
      <c r="F431" s="41">
        <f t="shared" ref="F431:H431" si="114">F432</f>
        <v>125</v>
      </c>
      <c r="G431" s="41">
        <f t="shared" si="114"/>
        <v>5</v>
      </c>
      <c r="H431" s="41">
        <f t="shared" si="114"/>
        <v>5</v>
      </c>
    </row>
    <row r="432" spans="1:8" ht="38.25">
      <c r="A432" s="16" t="s">
        <v>147</v>
      </c>
      <c r="B432" s="16" t="s">
        <v>145</v>
      </c>
      <c r="C432" s="21" t="s">
        <v>97</v>
      </c>
      <c r="D432" s="85" t="s">
        <v>325</v>
      </c>
      <c r="E432" s="103" t="s">
        <v>326</v>
      </c>
      <c r="F432" s="41">
        <v>125</v>
      </c>
      <c r="G432" s="41">
        <v>5</v>
      </c>
      <c r="H432" s="41">
        <v>5</v>
      </c>
    </row>
    <row r="433" spans="1:8" ht="51">
      <c r="A433" s="47" t="s">
        <v>147</v>
      </c>
      <c r="B433" s="47" t="s">
        <v>145</v>
      </c>
      <c r="C433" s="52" t="s">
        <v>98</v>
      </c>
      <c r="D433" s="47"/>
      <c r="E433" s="48" t="s">
        <v>604</v>
      </c>
      <c r="F433" s="98">
        <f>F434+F436+F438+F440+F442</f>
        <v>2263.8000000000002</v>
      </c>
      <c r="G433" s="98">
        <f>G434+G436+G440+G442</f>
        <v>1127.2</v>
      </c>
      <c r="H433" s="98">
        <f>H434+H436+H440+H442</f>
        <v>1127.2</v>
      </c>
    </row>
    <row r="434" spans="1:8" ht="40.5" customHeight="1">
      <c r="A434" s="16" t="s">
        <v>147</v>
      </c>
      <c r="B434" s="16" t="s">
        <v>145</v>
      </c>
      <c r="C434" s="80" t="s">
        <v>99</v>
      </c>
      <c r="D434" s="16"/>
      <c r="E434" s="103" t="s">
        <v>285</v>
      </c>
      <c r="F434" s="41">
        <f t="shared" ref="F434:H434" si="115">F435</f>
        <v>783.8</v>
      </c>
      <c r="G434" s="41">
        <f t="shared" si="115"/>
        <v>334</v>
      </c>
      <c r="H434" s="41">
        <f t="shared" si="115"/>
        <v>334</v>
      </c>
    </row>
    <row r="435" spans="1:8" ht="38.25">
      <c r="A435" s="16" t="s">
        <v>147</v>
      </c>
      <c r="B435" s="16" t="s">
        <v>145</v>
      </c>
      <c r="C435" s="80" t="s">
        <v>99</v>
      </c>
      <c r="D435" s="85" t="s">
        <v>325</v>
      </c>
      <c r="E435" s="103" t="s">
        <v>326</v>
      </c>
      <c r="F435" s="41">
        <f>683.8+100</f>
        <v>783.8</v>
      </c>
      <c r="G435" s="39">
        <v>334</v>
      </c>
      <c r="H435" s="39">
        <v>334</v>
      </c>
    </row>
    <row r="436" spans="1:8" ht="76.5">
      <c r="A436" s="16" t="s">
        <v>147</v>
      </c>
      <c r="B436" s="16" t="s">
        <v>145</v>
      </c>
      <c r="C436" s="80" t="s">
        <v>100</v>
      </c>
      <c r="D436" s="16"/>
      <c r="E436" s="103" t="s">
        <v>286</v>
      </c>
      <c r="F436" s="41">
        <f t="shared" ref="F436:H436" si="116">F437</f>
        <v>830</v>
      </c>
      <c r="G436" s="41">
        <f t="shared" si="116"/>
        <v>100</v>
      </c>
      <c r="H436" s="41">
        <f t="shared" si="116"/>
        <v>100</v>
      </c>
    </row>
    <row r="437" spans="1:8" ht="38.25">
      <c r="A437" s="16" t="s">
        <v>147</v>
      </c>
      <c r="B437" s="16" t="s">
        <v>145</v>
      </c>
      <c r="C437" s="80" t="s">
        <v>100</v>
      </c>
      <c r="D437" s="85" t="s">
        <v>325</v>
      </c>
      <c r="E437" s="103" t="s">
        <v>326</v>
      </c>
      <c r="F437" s="41">
        <f>330+500</f>
        <v>830</v>
      </c>
      <c r="G437" s="41">
        <v>100</v>
      </c>
      <c r="H437" s="41">
        <v>100</v>
      </c>
    </row>
    <row r="438" spans="1:8" ht="38.25">
      <c r="A438" s="16" t="s">
        <v>147</v>
      </c>
      <c r="B438" s="16" t="s">
        <v>145</v>
      </c>
      <c r="C438" s="80">
        <v>1240110920</v>
      </c>
      <c r="D438" s="85"/>
      <c r="E438" s="183" t="s">
        <v>895</v>
      </c>
      <c r="F438" s="41">
        <f>F439</f>
        <v>150</v>
      </c>
      <c r="G438" s="41">
        <f t="shared" ref="G438:H438" si="117">G439</f>
        <v>0</v>
      </c>
      <c r="H438" s="41">
        <f t="shared" si="117"/>
        <v>0</v>
      </c>
    </row>
    <row r="439" spans="1:8" ht="38.25">
      <c r="A439" s="16" t="s">
        <v>147</v>
      </c>
      <c r="B439" s="16" t="s">
        <v>145</v>
      </c>
      <c r="C439" s="80">
        <v>1240110920</v>
      </c>
      <c r="D439" s="85" t="s">
        <v>325</v>
      </c>
      <c r="E439" s="103" t="s">
        <v>326</v>
      </c>
      <c r="F439" s="41">
        <v>150</v>
      </c>
      <c r="G439" s="41">
        <v>0</v>
      </c>
      <c r="H439" s="41">
        <v>0</v>
      </c>
    </row>
    <row r="440" spans="1:8" ht="25.5">
      <c r="A440" s="47" t="s">
        <v>147</v>
      </c>
      <c r="B440" s="47" t="s">
        <v>145</v>
      </c>
      <c r="C440" s="80" t="s">
        <v>546</v>
      </c>
      <c r="D440" s="16"/>
      <c r="E440" s="103" t="s">
        <v>307</v>
      </c>
      <c r="F440" s="41">
        <f>F441</f>
        <v>500</v>
      </c>
      <c r="G440" s="41">
        <f>G441</f>
        <v>393.2</v>
      </c>
      <c r="H440" s="41">
        <f>H441</f>
        <v>393.2</v>
      </c>
    </row>
    <row r="441" spans="1:8" ht="38.25">
      <c r="A441" s="16" t="s">
        <v>147</v>
      </c>
      <c r="B441" s="16" t="s">
        <v>145</v>
      </c>
      <c r="C441" s="80" t="s">
        <v>546</v>
      </c>
      <c r="D441" s="85" t="s">
        <v>325</v>
      </c>
      <c r="E441" s="103" t="s">
        <v>326</v>
      </c>
      <c r="F441" s="41">
        <v>500</v>
      </c>
      <c r="G441" s="41">
        <v>393.2</v>
      </c>
      <c r="H441" s="41">
        <v>393.2</v>
      </c>
    </row>
    <row r="442" spans="1:8" ht="51">
      <c r="A442" s="16" t="s">
        <v>147</v>
      </c>
      <c r="B442" s="16" t="s">
        <v>145</v>
      </c>
      <c r="C442" s="80" t="s">
        <v>549</v>
      </c>
      <c r="D442" s="16"/>
      <c r="E442" s="103" t="s">
        <v>375</v>
      </c>
      <c r="F442" s="41">
        <f t="shared" ref="F442:H442" si="118">F443</f>
        <v>0</v>
      </c>
      <c r="G442" s="41">
        <f t="shared" si="118"/>
        <v>300</v>
      </c>
      <c r="H442" s="41">
        <f t="shared" si="118"/>
        <v>300</v>
      </c>
    </row>
    <row r="443" spans="1:8" ht="38.25">
      <c r="A443" s="16" t="s">
        <v>147</v>
      </c>
      <c r="B443" s="16" t="s">
        <v>145</v>
      </c>
      <c r="C443" s="80" t="s">
        <v>549</v>
      </c>
      <c r="D443" s="85" t="s">
        <v>325</v>
      </c>
      <c r="E443" s="103" t="s">
        <v>326</v>
      </c>
      <c r="F443" s="41">
        <v>0</v>
      </c>
      <c r="G443" s="41">
        <v>300</v>
      </c>
      <c r="H443" s="41">
        <v>300</v>
      </c>
    </row>
    <row r="444" spans="1:8" ht="51.75" customHeight="1">
      <c r="A444" s="16" t="s">
        <v>147</v>
      </c>
      <c r="B444" s="16" t="s">
        <v>145</v>
      </c>
      <c r="C444" s="52" t="s">
        <v>778</v>
      </c>
      <c r="D444" s="16"/>
      <c r="E444" s="60" t="s">
        <v>779</v>
      </c>
      <c r="F444" s="98">
        <f>F445+F457+F469</f>
        <v>3693.8</v>
      </c>
      <c r="G444" s="98">
        <f t="shared" ref="G444:H444" si="119">G445+G457+G469</f>
        <v>3116.3</v>
      </c>
      <c r="H444" s="98">
        <f t="shared" si="119"/>
        <v>0</v>
      </c>
    </row>
    <row r="445" spans="1:8" ht="52.5" customHeight="1">
      <c r="A445" s="16" t="s">
        <v>147</v>
      </c>
      <c r="B445" s="16" t="s">
        <v>145</v>
      </c>
      <c r="C445" s="21" t="s">
        <v>785</v>
      </c>
      <c r="D445" s="85"/>
      <c r="E445" s="103" t="s">
        <v>780</v>
      </c>
      <c r="F445" s="41">
        <f>F446</f>
        <v>1825.8000000000002</v>
      </c>
      <c r="G445" s="41">
        <f>G446</f>
        <v>3116.3</v>
      </c>
      <c r="H445" s="41">
        <f>H446</f>
        <v>0</v>
      </c>
    </row>
    <row r="446" spans="1:8" ht="38.25">
      <c r="A446" s="16" t="s">
        <v>147</v>
      </c>
      <c r="B446" s="16" t="s">
        <v>145</v>
      </c>
      <c r="C446" s="21" t="s">
        <v>785</v>
      </c>
      <c r="D446" s="85" t="s">
        <v>325</v>
      </c>
      <c r="E446" s="103" t="s">
        <v>326</v>
      </c>
      <c r="F446" s="41">
        <f>F448+F450+F452+F454+F456</f>
        <v>1825.8000000000002</v>
      </c>
      <c r="G446" s="41">
        <v>3116.3</v>
      </c>
      <c r="H446" s="41">
        <f t="shared" ref="H446" si="120">H448+H450+H452+H454+H456</f>
        <v>0</v>
      </c>
    </row>
    <row r="447" spans="1:8" ht="41.25" customHeight="1">
      <c r="A447" s="16" t="s">
        <v>147</v>
      </c>
      <c r="B447" s="16" t="s">
        <v>145</v>
      </c>
      <c r="C447" s="21" t="s">
        <v>844</v>
      </c>
      <c r="D447" s="85"/>
      <c r="E447" s="103" t="s">
        <v>862</v>
      </c>
      <c r="F447" s="41">
        <f>F448</f>
        <v>1422.7</v>
      </c>
      <c r="G447" s="41">
        <f t="shared" ref="G447:H447" si="121">G448</f>
        <v>0</v>
      </c>
      <c r="H447" s="41">
        <f t="shared" si="121"/>
        <v>0</v>
      </c>
    </row>
    <row r="448" spans="1:8" ht="38.25">
      <c r="A448" s="16" t="s">
        <v>147</v>
      </c>
      <c r="B448" s="16" t="s">
        <v>145</v>
      </c>
      <c r="C448" s="21" t="s">
        <v>844</v>
      </c>
      <c r="D448" s="85" t="s">
        <v>325</v>
      </c>
      <c r="E448" s="103" t="s">
        <v>326</v>
      </c>
      <c r="F448" s="41">
        <f>1123.8+317.2+3-27.7+6.4</f>
        <v>1422.7</v>
      </c>
      <c r="G448" s="41">
        <v>0</v>
      </c>
      <c r="H448" s="41">
        <v>0</v>
      </c>
    </row>
    <row r="449" spans="1:8" ht="52.5" customHeight="1">
      <c r="A449" s="16" t="s">
        <v>147</v>
      </c>
      <c r="B449" s="16" t="s">
        <v>145</v>
      </c>
      <c r="C449" s="21" t="s">
        <v>849</v>
      </c>
      <c r="D449" s="85"/>
      <c r="E449" s="103" t="s">
        <v>846</v>
      </c>
      <c r="F449" s="41">
        <f>F450</f>
        <v>143.69999999999999</v>
      </c>
      <c r="G449" s="41">
        <f t="shared" ref="G449:H449" si="122">G450</f>
        <v>0</v>
      </c>
      <c r="H449" s="41">
        <f t="shared" si="122"/>
        <v>0</v>
      </c>
    </row>
    <row r="450" spans="1:8" ht="38.25">
      <c r="A450" s="16" t="s">
        <v>147</v>
      </c>
      <c r="B450" s="16" t="s">
        <v>145</v>
      </c>
      <c r="C450" s="21" t="s">
        <v>849</v>
      </c>
      <c r="D450" s="85" t="s">
        <v>325</v>
      </c>
      <c r="E450" s="103" t="s">
        <v>326</v>
      </c>
      <c r="F450" s="41">
        <v>143.69999999999999</v>
      </c>
      <c r="G450" s="41">
        <v>0</v>
      </c>
      <c r="H450" s="41">
        <v>0</v>
      </c>
    </row>
    <row r="451" spans="1:8" ht="55.5" customHeight="1">
      <c r="A451" s="16" t="s">
        <v>147</v>
      </c>
      <c r="B451" s="16" t="s">
        <v>145</v>
      </c>
      <c r="C451" s="21" t="s">
        <v>851</v>
      </c>
      <c r="D451" s="85"/>
      <c r="E451" s="103" t="s">
        <v>832</v>
      </c>
      <c r="F451" s="41">
        <f>F452</f>
        <v>80</v>
      </c>
      <c r="G451" s="41">
        <f t="shared" ref="G451:H451" si="123">G452</f>
        <v>0</v>
      </c>
      <c r="H451" s="41">
        <f t="shared" si="123"/>
        <v>0</v>
      </c>
    </row>
    <row r="452" spans="1:8" ht="38.25">
      <c r="A452" s="16" t="s">
        <v>147</v>
      </c>
      <c r="B452" s="16" t="s">
        <v>145</v>
      </c>
      <c r="C452" s="21" t="s">
        <v>851</v>
      </c>
      <c r="D452" s="85" t="s">
        <v>325</v>
      </c>
      <c r="E452" s="103" t="s">
        <v>326</v>
      </c>
      <c r="F452" s="41">
        <v>80</v>
      </c>
      <c r="G452" s="41">
        <v>0</v>
      </c>
      <c r="H452" s="41">
        <v>0</v>
      </c>
    </row>
    <row r="453" spans="1:8" ht="35.25" customHeight="1">
      <c r="A453" s="16" t="s">
        <v>147</v>
      </c>
      <c r="B453" s="16" t="s">
        <v>145</v>
      </c>
      <c r="C453" s="21" t="s">
        <v>857</v>
      </c>
      <c r="D453" s="85"/>
      <c r="E453" s="103" t="s">
        <v>833</v>
      </c>
      <c r="F453" s="41">
        <f>F454</f>
        <v>99.4</v>
      </c>
      <c r="G453" s="41">
        <f t="shared" ref="G453:H453" si="124">G454</f>
        <v>0</v>
      </c>
      <c r="H453" s="41">
        <f t="shared" si="124"/>
        <v>0</v>
      </c>
    </row>
    <row r="454" spans="1:8" ht="38.25">
      <c r="A454" s="16" t="s">
        <v>147</v>
      </c>
      <c r="B454" s="16" t="s">
        <v>145</v>
      </c>
      <c r="C454" s="21" t="s">
        <v>857</v>
      </c>
      <c r="D454" s="85" t="s">
        <v>325</v>
      </c>
      <c r="E454" s="103" t="s">
        <v>326</v>
      </c>
      <c r="F454" s="41">
        <v>99.4</v>
      </c>
      <c r="G454" s="41">
        <v>0</v>
      </c>
      <c r="H454" s="41">
        <v>0</v>
      </c>
    </row>
    <row r="455" spans="1:8" ht="51.75" customHeight="1">
      <c r="A455" s="16" t="s">
        <v>147</v>
      </c>
      <c r="B455" s="16" t="s">
        <v>145</v>
      </c>
      <c r="C455" s="21" t="s">
        <v>858</v>
      </c>
      <c r="D455" s="85"/>
      <c r="E455" s="103" t="s">
        <v>834</v>
      </c>
      <c r="F455" s="41">
        <f>F456</f>
        <v>80</v>
      </c>
      <c r="G455" s="41">
        <f t="shared" ref="G455:H455" si="125">G456</f>
        <v>0</v>
      </c>
      <c r="H455" s="41">
        <f t="shared" si="125"/>
        <v>0</v>
      </c>
    </row>
    <row r="456" spans="1:8" ht="38.25">
      <c r="A456" s="16" t="s">
        <v>147</v>
      </c>
      <c r="B456" s="16" t="s">
        <v>145</v>
      </c>
      <c r="C456" s="21" t="s">
        <v>858</v>
      </c>
      <c r="D456" s="85" t="s">
        <v>325</v>
      </c>
      <c r="E456" s="103" t="s">
        <v>326</v>
      </c>
      <c r="F456" s="41">
        <v>80</v>
      </c>
      <c r="G456" s="41">
        <v>0</v>
      </c>
      <c r="H456" s="41">
        <v>0</v>
      </c>
    </row>
    <row r="457" spans="1:8" ht="38.25">
      <c r="A457" s="16" t="s">
        <v>147</v>
      </c>
      <c r="B457" s="16" t="s">
        <v>145</v>
      </c>
      <c r="C457" s="21" t="s">
        <v>838</v>
      </c>
      <c r="D457" s="85"/>
      <c r="E457" s="54" t="s">
        <v>835</v>
      </c>
      <c r="F457" s="41">
        <f>F458</f>
        <v>1828</v>
      </c>
      <c r="G457" s="41">
        <f t="shared" ref="G457" si="126">G458</f>
        <v>0</v>
      </c>
      <c r="H457" s="41">
        <f t="shared" ref="H457" si="127">H458</f>
        <v>0</v>
      </c>
    </row>
    <row r="458" spans="1:8" ht="38.25">
      <c r="A458" s="16" t="s">
        <v>147</v>
      </c>
      <c r="B458" s="16" t="s">
        <v>145</v>
      </c>
      <c r="C458" s="21" t="s">
        <v>838</v>
      </c>
      <c r="D458" s="85" t="s">
        <v>325</v>
      </c>
      <c r="E458" s="103" t="s">
        <v>326</v>
      </c>
      <c r="F458" s="41">
        <f>F460+F462+F464+F466+F468</f>
        <v>1828</v>
      </c>
      <c r="G458" s="41">
        <f t="shared" ref="G458:H458" si="128">G460+G462+G464+G466+G468</f>
        <v>0</v>
      </c>
      <c r="H458" s="41">
        <f t="shared" si="128"/>
        <v>0</v>
      </c>
    </row>
    <row r="459" spans="1:8" ht="38.25">
      <c r="A459" s="16" t="s">
        <v>147</v>
      </c>
      <c r="B459" s="16" t="s">
        <v>145</v>
      </c>
      <c r="C459" s="21" t="s">
        <v>848</v>
      </c>
      <c r="D459" s="85"/>
      <c r="E459" s="103" t="s">
        <v>891</v>
      </c>
      <c r="F459" s="41">
        <f>F460</f>
        <v>1440</v>
      </c>
      <c r="G459" s="41">
        <f t="shared" ref="G459:H459" si="129">G460</f>
        <v>0</v>
      </c>
      <c r="H459" s="41">
        <f t="shared" si="129"/>
        <v>0</v>
      </c>
    </row>
    <row r="460" spans="1:8" ht="38.25">
      <c r="A460" s="16" t="s">
        <v>147</v>
      </c>
      <c r="B460" s="16" t="s">
        <v>145</v>
      </c>
      <c r="C460" s="21" t="s">
        <v>848</v>
      </c>
      <c r="D460" s="85" t="s">
        <v>325</v>
      </c>
      <c r="E460" s="103" t="s">
        <v>326</v>
      </c>
      <c r="F460" s="41">
        <v>1440</v>
      </c>
      <c r="G460" s="41">
        <v>0</v>
      </c>
      <c r="H460" s="41">
        <v>0</v>
      </c>
    </row>
    <row r="461" spans="1:8" ht="51">
      <c r="A461" s="16" t="s">
        <v>147</v>
      </c>
      <c r="B461" s="16" t="s">
        <v>145</v>
      </c>
      <c r="C461" s="21" t="s">
        <v>850</v>
      </c>
      <c r="D461" s="85"/>
      <c r="E461" s="103" t="s">
        <v>846</v>
      </c>
      <c r="F461" s="41">
        <f>F462</f>
        <v>153.69999999999999</v>
      </c>
      <c r="G461" s="41">
        <f t="shared" ref="G461:H461" si="130">G462</f>
        <v>0</v>
      </c>
      <c r="H461" s="41">
        <f t="shared" si="130"/>
        <v>0</v>
      </c>
    </row>
    <row r="462" spans="1:8" ht="38.25">
      <c r="A462" s="16" t="s">
        <v>147</v>
      </c>
      <c r="B462" s="16" t="s">
        <v>145</v>
      </c>
      <c r="C462" s="21" t="s">
        <v>850</v>
      </c>
      <c r="D462" s="85" t="s">
        <v>325</v>
      </c>
      <c r="E462" s="103" t="s">
        <v>326</v>
      </c>
      <c r="F462" s="41">
        <v>153.69999999999999</v>
      </c>
      <c r="G462" s="41">
        <v>0</v>
      </c>
      <c r="H462" s="41">
        <v>0</v>
      </c>
    </row>
    <row r="463" spans="1:8" ht="51">
      <c r="A463" s="16" t="s">
        <v>147</v>
      </c>
      <c r="B463" s="16" t="s">
        <v>145</v>
      </c>
      <c r="C463" s="21" t="s">
        <v>852</v>
      </c>
      <c r="D463" s="85"/>
      <c r="E463" s="103" t="s">
        <v>832</v>
      </c>
      <c r="F463" s="41">
        <f>F464</f>
        <v>49.7</v>
      </c>
      <c r="G463" s="41">
        <f t="shared" ref="G463:H463" si="131">G464</f>
        <v>0</v>
      </c>
      <c r="H463" s="41">
        <f t="shared" si="131"/>
        <v>0</v>
      </c>
    </row>
    <row r="464" spans="1:8" ht="38.25">
      <c r="A464" s="16" t="s">
        <v>147</v>
      </c>
      <c r="B464" s="16" t="s">
        <v>145</v>
      </c>
      <c r="C464" s="21" t="s">
        <v>852</v>
      </c>
      <c r="D464" s="85" t="s">
        <v>325</v>
      </c>
      <c r="E464" s="103" t="s">
        <v>326</v>
      </c>
      <c r="F464" s="41">
        <v>49.7</v>
      </c>
      <c r="G464" s="41">
        <v>0</v>
      </c>
      <c r="H464" s="41">
        <v>0</v>
      </c>
    </row>
    <row r="465" spans="1:8" ht="38.25">
      <c r="A465" s="16" t="s">
        <v>147</v>
      </c>
      <c r="B465" s="16" t="s">
        <v>145</v>
      </c>
      <c r="C465" s="21" t="s">
        <v>855</v>
      </c>
      <c r="D465" s="85"/>
      <c r="E465" s="103" t="s">
        <v>833</v>
      </c>
      <c r="F465" s="41">
        <f>F466</f>
        <v>110</v>
      </c>
      <c r="G465" s="41">
        <f t="shared" ref="G465:H465" si="132">G466</f>
        <v>0</v>
      </c>
      <c r="H465" s="41">
        <f t="shared" si="132"/>
        <v>0</v>
      </c>
    </row>
    <row r="466" spans="1:8" ht="38.25">
      <c r="A466" s="16" t="s">
        <v>147</v>
      </c>
      <c r="B466" s="16" t="s">
        <v>145</v>
      </c>
      <c r="C466" s="21" t="s">
        <v>855</v>
      </c>
      <c r="D466" s="85" t="s">
        <v>325</v>
      </c>
      <c r="E466" s="103" t="s">
        <v>326</v>
      </c>
      <c r="F466" s="41">
        <v>110</v>
      </c>
      <c r="G466" s="41">
        <v>0</v>
      </c>
      <c r="H466" s="41">
        <v>0</v>
      </c>
    </row>
    <row r="467" spans="1:8" ht="51">
      <c r="A467" s="16" t="s">
        <v>147</v>
      </c>
      <c r="B467" s="16" t="s">
        <v>145</v>
      </c>
      <c r="C467" s="21" t="s">
        <v>856</v>
      </c>
      <c r="D467" s="85"/>
      <c r="E467" s="103" t="s">
        <v>834</v>
      </c>
      <c r="F467" s="41">
        <f>F468</f>
        <v>74.599999999999994</v>
      </c>
      <c r="G467" s="41">
        <f t="shared" ref="G467:H467" si="133">G468</f>
        <v>0</v>
      </c>
      <c r="H467" s="41">
        <f t="shared" si="133"/>
        <v>0</v>
      </c>
    </row>
    <row r="468" spans="1:8" ht="38.25">
      <c r="A468" s="16" t="s">
        <v>147</v>
      </c>
      <c r="B468" s="16" t="s">
        <v>145</v>
      </c>
      <c r="C468" s="21" t="s">
        <v>856</v>
      </c>
      <c r="D468" s="85" t="s">
        <v>325</v>
      </c>
      <c r="E468" s="103" t="s">
        <v>326</v>
      </c>
      <c r="F468" s="41">
        <v>74.599999999999994</v>
      </c>
      <c r="G468" s="41">
        <v>0</v>
      </c>
      <c r="H468" s="41">
        <v>0</v>
      </c>
    </row>
    <row r="469" spans="1:8" ht="76.5">
      <c r="A469" s="16" t="s">
        <v>147</v>
      </c>
      <c r="B469" s="16" t="s">
        <v>145</v>
      </c>
      <c r="C469" s="21" t="s">
        <v>839</v>
      </c>
      <c r="D469" s="85"/>
      <c r="E469" s="184" t="s">
        <v>836</v>
      </c>
      <c r="F469" s="41">
        <f>F470</f>
        <v>40</v>
      </c>
      <c r="G469" s="41">
        <f t="shared" ref="G469" si="134">G470</f>
        <v>0</v>
      </c>
      <c r="H469" s="41">
        <f t="shared" ref="H469" si="135">H470</f>
        <v>0</v>
      </c>
    </row>
    <row r="470" spans="1:8" ht="38.25">
      <c r="A470" s="16" t="s">
        <v>147</v>
      </c>
      <c r="B470" s="16" t="s">
        <v>145</v>
      </c>
      <c r="C470" s="21" t="s">
        <v>839</v>
      </c>
      <c r="D470" s="85" t="s">
        <v>325</v>
      </c>
      <c r="E470" s="103" t="s">
        <v>326</v>
      </c>
      <c r="F470" s="41">
        <f>F472+F474+F476+F478</f>
        <v>40</v>
      </c>
      <c r="G470" s="41">
        <f t="shared" ref="G470:H470" si="136">G472+G474+G476+G478</f>
        <v>0</v>
      </c>
      <c r="H470" s="41">
        <f t="shared" si="136"/>
        <v>0</v>
      </c>
    </row>
    <row r="471" spans="1:8" ht="51">
      <c r="A471" s="16" t="s">
        <v>147</v>
      </c>
      <c r="B471" s="16" t="s">
        <v>145</v>
      </c>
      <c r="C471" s="21" t="s">
        <v>853</v>
      </c>
      <c r="D471" s="85"/>
      <c r="E471" s="103" t="s">
        <v>846</v>
      </c>
      <c r="F471" s="41">
        <f>F472</f>
        <v>10</v>
      </c>
      <c r="G471" s="41">
        <f t="shared" ref="G471:H471" si="137">G472</f>
        <v>0</v>
      </c>
      <c r="H471" s="41">
        <f t="shared" si="137"/>
        <v>0</v>
      </c>
    </row>
    <row r="472" spans="1:8" ht="38.25">
      <c r="A472" s="16" t="s">
        <v>147</v>
      </c>
      <c r="B472" s="16" t="s">
        <v>145</v>
      </c>
      <c r="C472" s="21" t="s">
        <v>853</v>
      </c>
      <c r="D472" s="85" t="s">
        <v>325</v>
      </c>
      <c r="E472" s="103" t="s">
        <v>326</v>
      </c>
      <c r="F472" s="41">
        <v>10</v>
      </c>
      <c r="G472" s="41">
        <v>0</v>
      </c>
      <c r="H472" s="41">
        <v>0</v>
      </c>
    </row>
    <row r="473" spans="1:8" ht="51">
      <c r="A473" s="16" t="s">
        <v>147</v>
      </c>
      <c r="B473" s="16" t="s">
        <v>145</v>
      </c>
      <c r="C473" s="21" t="s">
        <v>854</v>
      </c>
      <c r="D473" s="85"/>
      <c r="E473" s="103" t="s">
        <v>832</v>
      </c>
      <c r="F473" s="41">
        <f>F474</f>
        <v>10</v>
      </c>
      <c r="G473" s="41">
        <f t="shared" ref="G473:H473" si="138">G474</f>
        <v>0</v>
      </c>
      <c r="H473" s="41">
        <f t="shared" si="138"/>
        <v>0</v>
      </c>
    </row>
    <row r="474" spans="1:8" ht="38.25">
      <c r="A474" s="16" t="s">
        <v>147</v>
      </c>
      <c r="B474" s="16" t="s">
        <v>145</v>
      </c>
      <c r="C474" s="21" t="s">
        <v>854</v>
      </c>
      <c r="D474" s="85" t="s">
        <v>325</v>
      </c>
      <c r="E474" s="103" t="s">
        <v>326</v>
      </c>
      <c r="F474" s="41">
        <v>10</v>
      </c>
      <c r="G474" s="41">
        <v>0</v>
      </c>
      <c r="H474" s="41">
        <v>0</v>
      </c>
    </row>
    <row r="475" spans="1:8" ht="38.25">
      <c r="A475" s="16" t="s">
        <v>147</v>
      </c>
      <c r="B475" s="16" t="s">
        <v>145</v>
      </c>
      <c r="C475" s="21" t="s">
        <v>859</v>
      </c>
      <c r="D475" s="85"/>
      <c r="E475" s="103" t="s">
        <v>833</v>
      </c>
      <c r="F475" s="41">
        <f>F476</f>
        <v>10</v>
      </c>
      <c r="G475" s="41">
        <f t="shared" ref="G475:H475" si="139">G476</f>
        <v>0</v>
      </c>
      <c r="H475" s="41">
        <f t="shared" si="139"/>
        <v>0</v>
      </c>
    </row>
    <row r="476" spans="1:8" ht="38.25">
      <c r="A476" s="16" t="s">
        <v>147</v>
      </c>
      <c r="B476" s="16" t="s">
        <v>145</v>
      </c>
      <c r="C476" s="21" t="s">
        <v>859</v>
      </c>
      <c r="D476" s="85" t="s">
        <v>325</v>
      </c>
      <c r="E476" s="103" t="s">
        <v>326</v>
      </c>
      <c r="F476" s="41">
        <v>10</v>
      </c>
      <c r="G476" s="41">
        <v>0</v>
      </c>
      <c r="H476" s="41">
        <v>0</v>
      </c>
    </row>
    <row r="477" spans="1:8" ht="51">
      <c r="A477" s="16" t="s">
        <v>147</v>
      </c>
      <c r="B477" s="16" t="s">
        <v>145</v>
      </c>
      <c r="C477" s="21" t="s">
        <v>860</v>
      </c>
      <c r="D477" s="85"/>
      <c r="E477" s="103" t="s">
        <v>834</v>
      </c>
      <c r="F477" s="41">
        <f>F478</f>
        <v>10</v>
      </c>
      <c r="G477" s="41">
        <f t="shared" ref="G477:H477" si="140">G478</f>
        <v>0</v>
      </c>
      <c r="H477" s="41">
        <f t="shared" si="140"/>
        <v>0</v>
      </c>
    </row>
    <row r="478" spans="1:8" ht="38.25">
      <c r="A478" s="16" t="s">
        <v>147</v>
      </c>
      <c r="B478" s="16" t="s">
        <v>145</v>
      </c>
      <c r="C478" s="21" t="s">
        <v>860</v>
      </c>
      <c r="D478" s="85" t="s">
        <v>325</v>
      </c>
      <c r="E478" s="103" t="s">
        <v>326</v>
      </c>
      <c r="F478" s="41">
        <v>10</v>
      </c>
      <c r="G478" s="41">
        <v>0</v>
      </c>
      <c r="H478" s="41">
        <v>0</v>
      </c>
    </row>
    <row r="479" spans="1:8" ht="63.75">
      <c r="A479" s="129" t="s">
        <v>147</v>
      </c>
      <c r="B479" s="115" t="s">
        <v>145</v>
      </c>
      <c r="C479" s="126" t="s">
        <v>769</v>
      </c>
      <c r="D479" s="129"/>
      <c r="E479" s="60" t="s">
        <v>770</v>
      </c>
      <c r="F479" s="128">
        <f>F480+F482+F484</f>
        <v>18896.3</v>
      </c>
      <c r="G479" s="128">
        <f>G484</f>
        <v>0</v>
      </c>
      <c r="H479" s="128">
        <f>H484</f>
        <v>0</v>
      </c>
    </row>
    <row r="480" spans="1:8" ht="36.75" customHeight="1">
      <c r="A480" s="16" t="s">
        <v>147</v>
      </c>
      <c r="B480" s="16" t="s">
        <v>145</v>
      </c>
      <c r="C480" s="21" t="s">
        <v>886</v>
      </c>
      <c r="D480" s="84"/>
      <c r="E480" s="184" t="s">
        <v>768</v>
      </c>
      <c r="F480" s="41">
        <f>F481</f>
        <v>774.1</v>
      </c>
      <c r="G480" s="41">
        <f>G481</f>
        <v>0</v>
      </c>
      <c r="H480" s="41">
        <f>H481</f>
        <v>0</v>
      </c>
    </row>
    <row r="481" spans="1:8" ht="38.25">
      <c r="A481" s="16" t="s">
        <v>147</v>
      </c>
      <c r="B481" s="16" t="s">
        <v>145</v>
      </c>
      <c r="C481" s="21" t="s">
        <v>886</v>
      </c>
      <c r="D481" s="84" t="s">
        <v>325</v>
      </c>
      <c r="E481" s="184" t="s">
        <v>326</v>
      </c>
      <c r="F481" s="41">
        <f>774.1</f>
        <v>774.1</v>
      </c>
      <c r="G481" s="41">
        <v>0</v>
      </c>
      <c r="H481" s="39">
        <v>0</v>
      </c>
    </row>
    <row r="482" spans="1:8" ht="63.75">
      <c r="A482" s="129" t="s">
        <v>147</v>
      </c>
      <c r="B482" s="115" t="s">
        <v>145</v>
      </c>
      <c r="C482" s="21" t="s">
        <v>887</v>
      </c>
      <c r="D482" s="84"/>
      <c r="E482" s="184" t="s">
        <v>888</v>
      </c>
      <c r="F482" s="41">
        <f>F483</f>
        <v>105.5</v>
      </c>
      <c r="G482" s="41">
        <f t="shared" ref="G482:H482" si="141">G483</f>
        <v>0</v>
      </c>
      <c r="H482" s="41">
        <f t="shared" si="141"/>
        <v>0</v>
      </c>
    </row>
    <row r="483" spans="1:8" ht="38.25">
      <c r="A483" s="129" t="s">
        <v>147</v>
      </c>
      <c r="B483" s="115" t="s">
        <v>145</v>
      </c>
      <c r="C483" s="21" t="s">
        <v>887</v>
      </c>
      <c r="D483" s="84" t="s">
        <v>325</v>
      </c>
      <c r="E483" s="184" t="s">
        <v>326</v>
      </c>
      <c r="F483" s="41">
        <v>105.5</v>
      </c>
      <c r="G483" s="41">
        <v>0</v>
      </c>
      <c r="H483" s="41">
        <v>0</v>
      </c>
    </row>
    <row r="484" spans="1:8" ht="44.25" customHeight="1">
      <c r="A484" s="16" t="s">
        <v>147</v>
      </c>
      <c r="B484" s="85" t="s">
        <v>145</v>
      </c>
      <c r="C484" s="21" t="s">
        <v>875</v>
      </c>
      <c r="D484" s="85"/>
      <c r="E484" s="103" t="s">
        <v>768</v>
      </c>
      <c r="F484" s="113">
        <f>F485</f>
        <v>18016.7</v>
      </c>
      <c r="G484" s="113">
        <f t="shared" ref="G484:H484" si="142">G485</f>
        <v>0</v>
      </c>
      <c r="H484" s="113">
        <f t="shared" si="142"/>
        <v>0</v>
      </c>
    </row>
    <row r="485" spans="1:8" ht="38.25">
      <c r="A485" s="16" t="s">
        <v>147</v>
      </c>
      <c r="B485" s="85" t="s">
        <v>145</v>
      </c>
      <c r="C485" s="21" t="s">
        <v>875</v>
      </c>
      <c r="D485" s="85" t="s">
        <v>325</v>
      </c>
      <c r="E485" s="103" t="s">
        <v>326</v>
      </c>
      <c r="F485" s="113">
        <f>F487+F489+F491+F493+F495+F497</f>
        <v>18016.7</v>
      </c>
      <c r="G485" s="113">
        <f t="shared" ref="G485:H485" si="143">G487+G489+G491+G493+G495+G497</f>
        <v>0</v>
      </c>
      <c r="H485" s="113">
        <f t="shared" si="143"/>
        <v>0</v>
      </c>
    </row>
    <row r="486" spans="1:8" ht="25.5">
      <c r="A486" s="16" t="s">
        <v>147</v>
      </c>
      <c r="B486" s="85" t="s">
        <v>145</v>
      </c>
      <c r="C486" s="21" t="s">
        <v>876</v>
      </c>
      <c r="D486" s="85"/>
      <c r="E486" s="190" t="s">
        <v>892</v>
      </c>
      <c r="F486" s="113">
        <f>F487</f>
        <v>3648.8</v>
      </c>
      <c r="G486" s="113">
        <f t="shared" ref="G486:H486" si="144">G487</f>
        <v>0</v>
      </c>
      <c r="H486" s="113">
        <f t="shared" si="144"/>
        <v>0</v>
      </c>
    </row>
    <row r="487" spans="1:8" ht="38.25">
      <c r="A487" s="16" t="s">
        <v>147</v>
      </c>
      <c r="B487" s="85" t="s">
        <v>145</v>
      </c>
      <c r="C487" s="21" t="s">
        <v>876</v>
      </c>
      <c r="D487" s="85" t="s">
        <v>325</v>
      </c>
      <c r="E487" s="103" t="s">
        <v>326</v>
      </c>
      <c r="F487" s="113">
        <v>3648.8</v>
      </c>
      <c r="G487" s="113">
        <v>0</v>
      </c>
      <c r="H487" s="113">
        <v>0</v>
      </c>
    </row>
    <row r="488" spans="1:8" ht="25.5">
      <c r="A488" s="16" t="s">
        <v>147</v>
      </c>
      <c r="B488" s="85" t="s">
        <v>145</v>
      </c>
      <c r="C488" s="21" t="s">
        <v>877</v>
      </c>
      <c r="D488" s="85"/>
      <c r="E488" s="190" t="s">
        <v>893</v>
      </c>
      <c r="F488" s="113">
        <f>F489</f>
        <v>3702.6</v>
      </c>
      <c r="G488" s="113">
        <f t="shared" ref="G488:H488" si="145">G489</f>
        <v>0</v>
      </c>
      <c r="H488" s="113">
        <f t="shared" si="145"/>
        <v>0</v>
      </c>
    </row>
    <row r="489" spans="1:8" ht="38.25">
      <c r="A489" s="16" t="s">
        <v>147</v>
      </c>
      <c r="B489" s="85" t="s">
        <v>145</v>
      </c>
      <c r="C489" s="21" t="s">
        <v>877</v>
      </c>
      <c r="D489" s="85" t="s">
        <v>325</v>
      </c>
      <c r="E489" s="103" t="s">
        <v>326</v>
      </c>
      <c r="F489" s="113">
        <f>3789.1-86.5</f>
        <v>3702.6</v>
      </c>
      <c r="G489" s="113">
        <v>0</v>
      </c>
      <c r="H489" s="113">
        <v>0</v>
      </c>
    </row>
    <row r="490" spans="1:8" ht="27" customHeight="1">
      <c r="A490" s="16" t="s">
        <v>147</v>
      </c>
      <c r="B490" s="85" t="s">
        <v>145</v>
      </c>
      <c r="C490" s="21" t="s">
        <v>878</v>
      </c>
      <c r="D490" s="85"/>
      <c r="E490" s="103" t="s">
        <v>879</v>
      </c>
      <c r="F490" s="113">
        <f>F491</f>
        <v>1895.4</v>
      </c>
      <c r="G490" s="113">
        <f t="shared" ref="G490:H490" si="146">G491</f>
        <v>0</v>
      </c>
      <c r="H490" s="113">
        <f t="shared" si="146"/>
        <v>0</v>
      </c>
    </row>
    <row r="491" spans="1:8" ht="38.25">
      <c r="A491" s="16" t="s">
        <v>147</v>
      </c>
      <c r="B491" s="85" t="s">
        <v>145</v>
      </c>
      <c r="C491" s="21" t="s">
        <v>878</v>
      </c>
      <c r="D491" s="85" t="s">
        <v>325</v>
      </c>
      <c r="E491" s="103" t="s">
        <v>326</v>
      </c>
      <c r="F491" s="113">
        <v>1895.4</v>
      </c>
      <c r="G491" s="113">
        <v>0</v>
      </c>
      <c r="H491" s="113">
        <v>0</v>
      </c>
    </row>
    <row r="492" spans="1:8" ht="30" customHeight="1">
      <c r="A492" s="16" t="s">
        <v>147</v>
      </c>
      <c r="B492" s="85" t="s">
        <v>145</v>
      </c>
      <c r="C492" s="21" t="s">
        <v>880</v>
      </c>
      <c r="D492" s="85"/>
      <c r="E492" s="103" t="s">
        <v>881</v>
      </c>
      <c r="F492" s="113">
        <f>F493</f>
        <v>2269.6999999999998</v>
      </c>
      <c r="G492" s="113">
        <f t="shared" ref="G492:H492" si="147">G493</f>
        <v>0</v>
      </c>
      <c r="H492" s="113">
        <f t="shared" si="147"/>
        <v>0</v>
      </c>
    </row>
    <row r="493" spans="1:8" ht="38.25">
      <c r="A493" s="16" t="s">
        <v>147</v>
      </c>
      <c r="B493" s="85" t="s">
        <v>145</v>
      </c>
      <c r="C493" s="21" t="s">
        <v>880</v>
      </c>
      <c r="D493" s="85" t="s">
        <v>325</v>
      </c>
      <c r="E493" s="103" t="s">
        <v>326</v>
      </c>
      <c r="F493" s="113">
        <v>2269.6999999999998</v>
      </c>
      <c r="G493" s="113">
        <v>0</v>
      </c>
      <c r="H493" s="113">
        <v>0</v>
      </c>
    </row>
    <row r="494" spans="1:8" ht="25.5">
      <c r="A494" s="16" t="s">
        <v>147</v>
      </c>
      <c r="B494" s="85" t="s">
        <v>145</v>
      </c>
      <c r="C494" s="21" t="s">
        <v>883</v>
      </c>
      <c r="D494" s="85"/>
      <c r="E494" s="189" t="s">
        <v>882</v>
      </c>
      <c r="F494" s="113">
        <f>F495</f>
        <v>3777.9</v>
      </c>
      <c r="G494" s="113">
        <f t="shared" ref="G494:H494" si="148">G495</f>
        <v>0</v>
      </c>
      <c r="H494" s="113">
        <f t="shared" si="148"/>
        <v>0</v>
      </c>
    </row>
    <row r="495" spans="1:8" ht="38.25">
      <c r="A495" s="16" t="s">
        <v>147</v>
      </c>
      <c r="B495" s="85" t="s">
        <v>145</v>
      </c>
      <c r="C495" s="21" t="s">
        <v>883</v>
      </c>
      <c r="D495" s="85" t="s">
        <v>325</v>
      </c>
      <c r="E495" s="103" t="s">
        <v>326</v>
      </c>
      <c r="F495" s="113">
        <v>3777.9</v>
      </c>
      <c r="G495" s="113">
        <v>0</v>
      </c>
      <c r="H495" s="113">
        <v>0</v>
      </c>
    </row>
    <row r="496" spans="1:8" ht="25.5">
      <c r="A496" s="16" t="s">
        <v>147</v>
      </c>
      <c r="B496" s="85" t="s">
        <v>145</v>
      </c>
      <c r="C496" s="21" t="s">
        <v>885</v>
      </c>
      <c r="D496" s="85"/>
      <c r="E496" s="189" t="s">
        <v>884</v>
      </c>
      <c r="F496" s="113">
        <f>F497</f>
        <v>2722.3</v>
      </c>
      <c r="G496" s="113">
        <f t="shared" ref="G496:H496" si="149">G497</f>
        <v>0</v>
      </c>
      <c r="H496" s="113">
        <f t="shared" si="149"/>
        <v>0</v>
      </c>
    </row>
    <row r="497" spans="1:8" ht="38.25">
      <c r="A497" s="16" t="s">
        <v>147</v>
      </c>
      <c r="B497" s="85" t="s">
        <v>145</v>
      </c>
      <c r="C497" s="21" t="s">
        <v>885</v>
      </c>
      <c r="D497" s="85" t="s">
        <v>325</v>
      </c>
      <c r="E497" s="103" t="s">
        <v>326</v>
      </c>
      <c r="F497" s="113">
        <v>2722.3</v>
      </c>
      <c r="G497" s="113">
        <v>0</v>
      </c>
      <c r="H497" s="113">
        <v>0</v>
      </c>
    </row>
    <row r="498" spans="1:8" ht="63.75">
      <c r="A498" s="5" t="s">
        <v>147</v>
      </c>
      <c r="B498" s="5" t="s">
        <v>145</v>
      </c>
      <c r="C498" s="76">
        <v>1400000000</v>
      </c>
      <c r="D498" s="16"/>
      <c r="E498" s="53" t="s">
        <v>706</v>
      </c>
      <c r="F498" s="101">
        <f>F499</f>
        <v>29326.2</v>
      </c>
      <c r="G498" s="101">
        <f t="shared" ref="G498:H498" si="150">G499</f>
        <v>717.4</v>
      </c>
      <c r="H498" s="101">
        <f t="shared" si="150"/>
        <v>717.4</v>
      </c>
    </row>
    <row r="499" spans="1:8" ht="89.25">
      <c r="A499" s="47" t="s">
        <v>147</v>
      </c>
      <c r="B499" s="47" t="s">
        <v>145</v>
      </c>
      <c r="C499" s="75">
        <v>1410000000</v>
      </c>
      <c r="D499" s="16"/>
      <c r="E499" s="48" t="s">
        <v>333</v>
      </c>
      <c r="F499" s="98">
        <f>F500+F502+F504+F506+F508+F510+F512</f>
        <v>29326.2</v>
      </c>
      <c r="G499" s="98">
        <f t="shared" ref="G499:H499" si="151">G500+G502+G504+G506+G508+G510+G512</f>
        <v>717.4</v>
      </c>
      <c r="H499" s="98">
        <f t="shared" si="151"/>
        <v>717.4</v>
      </c>
    </row>
    <row r="500" spans="1:8" ht="25.5">
      <c r="A500" s="16" t="s">
        <v>147</v>
      </c>
      <c r="B500" s="16" t="s">
        <v>145</v>
      </c>
      <c r="C500" s="74" t="s">
        <v>669</v>
      </c>
      <c r="D500" s="85"/>
      <c r="E500" s="103" t="s">
        <v>670</v>
      </c>
      <c r="F500" s="41">
        <f t="shared" ref="F500:H500" si="152">F501</f>
        <v>313</v>
      </c>
      <c r="G500" s="41">
        <f t="shared" si="152"/>
        <v>0</v>
      </c>
      <c r="H500" s="41">
        <f t="shared" si="152"/>
        <v>0</v>
      </c>
    </row>
    <row r="501" spans="1:8" ht="38.25">
      <c r="A501" s="16" t="s">
        <v>147</v>
      </c>
      <c r="B501" s="16" t="s">
        <v>145</v>
      </c>
      <c r="C501" s="74" t="s">
        <v>669</v>
      </c>
      <c r="D501" s="85" t="s">
        <v>325</v>
      </c>
      <c r="E501" s="103" t="s">
        <v>326</v>
      </c>
      <c r="F501" s="41">
        <v>313</v>
      </c>
      <c r="G501" s="41">
        <v>0</v>
      </c>
      <c r="H501" s="41">
        <v>0</v>
      </c>
    </row>
    <row r="502" spans="1:8" ht="51">
      <c r="A502" s="85" t="s">
        <v>147</v>
      </c>
      <c r="B502" s="85" t="s">
        <v>145</v>
      </c>
      <c r="C502" s="74" t="s">
        <v>694</v>
      </c>
      <c r="D502" s="85"/>
      <c r="E502" s="103" t="s">
        <v>695</v>
      </c>
      <c r="F502" s="41">
        <f t="shared" ref="F502:H502" si="153">F503</f>
        <v>130.1</v>
      </c>
      <c r="G502" s="41">
        <f t="shared" si="153"/>
        <v>0</v>
      </c>
      <c r="H502" s="41">
        <f t="shared" si="153"/>
        <v>0</v>
      </c>
    </row>
    <row r="503" spans="1:8" ht="38.25">
      <c r="A503" s="85" t="s">
        <v>147</v>
      </c>
      <c r="B503" s="85" t="s">
        <v>145</v>
      </c>
      <c r="C503" s="74" t="s">
        <v>694</v>
      </c>
      <c r="D503" s="85" t="s">
        <v>325</v>
      </c>
      <c r="E503" s="103" t="s">
        <v>326</v>
      </c>
      <c r="F503" s="41">
        <v>130.1</v>
      </c>
      <c r="G503" s="41">
        <v>0</v>
      </c>
      <c r="H503" s="41">
        <v>0</v>
      </c>
    </row>
    <row r="504" spans="1:8" ht="30.75" customHeight="1">
      <c r="A504" s="85" t="s">
        <v>147</v>
      </c>
      <c r="B504" s="85" t="s">
        <v>145</v>
      </c>
      <c r="C504" s="74" t="s">
        <v>696</v>
      </c>
      <c r="D504" s="85"/>
      <c r="E504" s="103" t="s">
        <v>670</v>
      </c>
      <c r="F504" s="41">
        <f t="shared" ref="F504:H504" si="154">F505</f>
        <v>416</v>
      </c>
      <c r="G504" s="41">
        <f t="shared" si="154"/>
        <v>0</v>
      </c>
      <c r="H504" s="41">
        <f t="shared" si="154"/>
        <v>0</v>
      </c>
    </row>
    <row r="505" spans="1:8" ht="42.75" customHeight="1">
      <c r="A505" s="85" t="s">
        <v>147</v>
      </c>
      <c r="B505" s="85" t="s">
        <v>145</v>
      </c>
      <c r="C505" s="74" t="s">
        <v>696</v>
      </c>
      <c r="D505" s="85" t="s">
        <v>325</v>
      </c>
      <c r="E505" s="103" t="s">
        <v>326</v>
      </c>
      <c r="F505" s="41">
        <v>416</v>
      </c>
      <c r="G505" s="41">
        <v>0</v>
      </c>
      <c r="H505" s="41">
        <v>0</v>
      </c>
    </row>
    <row r="506" spans="1:8" ht="26.25" customHeight="1">
      <c r="A506" s="85" t="s">
        <v>147</v>
      </c>
      <c r="B506" s="85" t="s">
        <v>145</v>
      </c>
      <c r="C506" s="74" t="s">
        <v>659</v>
      </c>
      <c r="D506" s="85"/>
      <c r="E506" s="103" t="s">
        <v>660</v>
      </c>
      <c r="F506" s="41">
        <f t="shared" ref="F506:H506" si="155">F507</f>
        <v>12851.2</v>
      </c>
      <c r="G506" s="41">
        <f t="shared" si="155"/>
        <v>0</v>
      </c>
      <c r="H506" s="41">
        <f t="shared" si="155"/>
        <v>0</v>
      </c>
    </row>
    <row r="507" spans="1:8" ht="42.75" customHeight="1">
      <c r="A507" s="85" t="s">
        <v>147</v>
      </c>
      <c r="B507" s="85" t="s">
        <v>145</v>
      </c>
      <c r="C507" s="74" t="s">
        <v>659</v>
      </c>
      <c r="D507" s="85" t="s">
        <v>325</v>
      </c>
      <c r="E507" s="103" t="s">
        <v>326</v>
      </c>
      <c r="F507" s="41">
        <v>12851.2</v>
      </c>
      <c r="G507" s="41">
        <v>0</v>
      </c>
      <c r="H507" s="41">
        <v>0</v>
      </c>
    </row>
    <row r="508" spans="1:8" ht="42.75" customHeight="1">
      <c r="A508" s="16" t="s">
        <v>147</v>
      </c>
      <c r="B508" s="16" t="s">
        <v>145</v>
      </c>
      <c r="C508" s="74" t="s">
        <v>811</v>
      </c>
      <c r="D508" s="16"/>
      <c r="E508" s="103" t="s">
        <v>802</v>
      </c>
      <c r="F508" s="41">
        <f t="shared" ref="F508:H508" si="156">F509</f>
        <v>3637.3</v>
      </c>
      <c r="G508" s="41">
        <f t="shared" si="156"/>
        <v>0</v>
      </c>
      <c r="H508" s="41">
        <f t="shared" si="156"/>
        <v>0</v>
      </c>
    </row>
    <row r="509" spans="1:8" ht="42.75" customHeight="1">
      <c r="A509" s="16" t="s">
        <v>147</v>
      </c>
      <c r="B509" s="16" t="s">
        <v>145</v>
      </c>
      <c r="C509" s="74" t="s">
        <v>811</v>
      </c>
      <c r="D509" s="85" t="s">
        <v>325</v>
      </c>
      <c r="E509" s="103" t="s">
        <v>326</v>
      </c>
      <c r="F509" s="41">
        <f>7000-3362.7</f>
        <v>3637.3</v>
      </c>
      <c r="G509" s="41">
        <v>0</v>
      </c>
      <c r="H509" s="41">
        <v>0</v>
      </c>
    </row>
    <row r="510" spans="1:8" ht="42.75" customHeight="1">
      <c r="A510" s="16" t="s">
        <v>147</v>
      </c>
      <c r="B510" s="16" t="s">
        <v>145</v>
      </c>
      <c r="C510" s="74" t="s">
        <v>630</v>
      </c>
      <c r="D510" s="16"/>
      <c r="E510" s="103" t="s">
        <v>505</v>
      </c>
      <c r="F510" s="41">
        <f t="shared" ref="F510:H510" si="157">F511</f>
        <v>5985.2999999999993</v>
      </c>
      <c r="G510" s="41">
        <f t="shared" si="157"/>
        <v>478.3</v>
      </c>
      <c r="H510" s="41">
        <f t="shared" si="157"/>
        <v>478.3</v>
      </c>
    </row>
    <row r="511" spans="1:8" ht="42.75" customHeight="1">
      <c r="A511" s="16" t="s">
        <v>147</v>
      </c>
      <c r="B511" s="16" t="s">
        <v>145</v>
      </c>
      <c r="C511" s="74" t="s">
        <v>630</v>
      </c>
      <c r="D511" s="85" t="s">
        <v>325</v>
      </c>
      <c r="E511" s="103" t="s">
        <v>326</v>
      </c>
      <c r="F511" s="41">
        <f>5634.9+350.4</f>
        <v>5985.2999999999993</v>
      </c>
      <c r="G511" s="41">
        <v>478.3</v>
      </c>
      <c r="H511" s="41">
        <v>478.3</v>
      </c>
    </row>
    <row r="512" spans="1:8" ht="42.75" customHeight="1">
      <c r="A512" s="16" t="s">
        <v>147</v>
      </c>
      <c r="B512" s="16" t="s">
        <v>145</v>
      </c>
      <c r="C512" s="74" t="s">
        <v>631</v>
      </c>
      <c r="D512" s="16"/>
      <c r="E512" s="103" t="s">
        <v>506</v>
      </c>
      <c r="F512" s="41">
        <f t="shared" ref="F512:H512" si="158">F513</f>
        <v>5993.3</v>
      </c>
      <c r="G512" s="41">
        <f t="shared" si="158"/>
        <v>239.1</v>
      </c>
      <c r="H512" s="41">
        <f t="shared" si="158"/>
        <v>239.1</v>
      </c>
    </row>
    <row r="513" spans="1:8" ht="42.75" customHeight="1">
      <c r="A513" s="16" t="s">
        <v>147</v>
      </c>
      <c r="B513" s="16" t="s">
        <v>145</v>
      </c>
      <c r="C513" s="74" t="s">
        <v>631</v>
      </c>
      <c r="D513" s="85" t="s">
        <v>325</v>
      </c>
      <c r="E513" s="103" t="s">
        <v>326</v>
      </c>
      <c r="F513" s="41">
        <f>5331.5+1012.2-350.4</f>
        <v>5993.3</v>
      </c>
      <c r="G513" s="41">
        <v>239.1</v>
      </c>
      <c r="H513" s="41">
        <v>239.1</v>
      </c>
    </row>
    <row r="514" spans="1:8" ht="31.9" customHeight="1">
      <c r="A514" s="5" t="s">
        <v>147</v>
      </c>
      <c r="B514" s="5" t="s">
        <v>145</v>
      </c>
      <c r="C514" s="76">
        <v>9900000000</v>
      </c>
      <c r="D514" s="5"/>
      <c r="E514" s="63" t="s">
        <v>823</v>
      </c>
      <c r="F514" s="101">
        <f>F515</f>
        <v>126.10000000000001</v>
      </c>
      <c r="G514" s="101">
        <f t="shared" ref="G514:H514" si="159">G515</f>
        <v>0</v>
      </c>
      <c r="H514" s="101">
        <f t="shared" si="159"/>
        <v>0</v>
      </c>
    </row>
    <row r="515" spans="1:8" ht="22.9" customHeight="1">
      <c r="A515" s="85" t="s">
        <v>147</v>
      </c>
      <c r="B515" s="85" t="s">
        <v>145</v>
      </c>
      <c r="C515" s="74">
        <v>9940000000</v>
      </c>
      <c r="D515" s="85"/>
      <c r="E515" s="103" t="s">
        <v>56</v>
      </c>
      <c r="F515" s="41">
        <f>F516</f>
        <v>126.10000000000001</v>
      </c>
      <c r="G515" s="41">
        <f t="shared" ref="G515:H515" si="160">G516</f>
        <v>0</v>
      </c>
      <c r="H515" s="41">
        <f t="shared" si="160"/>
        <v>0</v>
      </c>
    </row>
    <row r="516" spans="1:8" ht="30" customHeight="1">
      <c r="A516" s="85" t="s">
        <v>147</v>
      </c>
      <c r="B516" s="85" t="s">
        <v>145</v>
      </c>
      <c r="C516" s="74" t="s">
        <v>824</v>
      </c>
      <c r="D516" s="85"/>
      <c r="E516" s="103" t="s">
        <v>825</v>
      </c>
      <c r="F516" s="41">
        <f>F517+F518</f>
        <v>126.10000000000001</v>
      </c>
      <c r="G516" s="41">
        <f t="shared" ref="G516:H516" si="161">G517+G518</f>
        <v>0</v>
      </c>
      <c r="H516" s="41">
        <f t="shared" si="161"/>
        <v>0</v>
      </c>
    </row>
    <row r="517" spans="1:8" ht="42.75" customHeight="1">
      <c r="A517" s="85" t="s">
        <v>147</v>
      </c>
      <c r="B517" s="85" t="s">
        <v>145</v>
      </c>
      <c r="C517" s="74" t="s">
        <v>824</v>
      </c>
      <c r="D517" s="85" t="s">
        <v>325</v>
      </c>
      <c r="E517" s="103" t="s">
        <v>326</v>
      </c>
      <c r="F517" s="41">
        <f>85.9+5.7</f>
        <v>91.600000000000009</v>
      </c>
      <c r="G517" s="41">
        <v>0</v>
      </c>
      <c r="H517" s="41">
        <v>0</v>
      </c>
    </row>
    <row r="518" spans="1:8" ht="20.25" customHeight="1">
      <c r="A518" s="85" t="s">
        <v>147</v>
      </c>
      <c r="B518" s="85" t="s">
        <v>145</v>
      </c>
      <c r="C518" s="74" t="s">
        <v>824</v>
      </c>
      <c r="D518" s="85" t="s">
        <v>475</v>
      </c>
      <c r="E518" s="103" t="s">
        <v>476</v>
      </c>
      <c r="F518" s="41">
        <f>7.7+26.8</f>
        <v>34.5</v>
      </c>
      <c r="G518" s="41">
        <v>0</v>
      </c>
      <c r="H518" s="41">
        <v>0</v>
      </c>
    </row>
    <row r="519" spans="1:8" ht="15.75">
      <c r="A519" s="4" t="s">
        <v>156</v>
      </c>
      <c r="B519" s="3"/>
      <c r="C519" s="3"/>
      <c r="D519" s="3"/>
      <c r="E519" s="10" t="s">
        <v>157</v>
      </c>
      <c r="F519" s="97">
        <f>F520+F537+F570+F608+F613+F642</f>
        <v>617381.4</v>
      </c>
      <c r="G519" s="97">
        <f>G520+G537+G570+G608+G613+G642</f>
        <v>520331.60000000003</v>
      </c>
      <c r="H519" s="97">
        <f>H520+H537+H570+H608+H613+H642</f>
        <v>522082.8</v>
      </c>
    </row>
    <row r="520" spans="1:8" s="37" customFormat="1" ht="14.25">
      <c r="A520" s="35" t="s">
        <v>156</v>
      </c>
      <c r="B520" s="35" t="s">
        <v>140</v>
      </c>
      <c r="C520" s="35"/>
      <c r="D520" s="35"/>
      <c r="E520" s="45" t="s">
        <v>159</v>
      </c>
      <c r="F520" s="58">
        <f>F521</f>
        <v>141719.4</v>
      </c>
      <c r="G520" s="58">
        <f t="shared" ref="G520:H520" si="162">G521</f>
        <v>135047.6</v>
      </c>
      <c r="H520" s="58">
        <f t="shared" si="162"/>
        <v>135064.70000000001</v>
      </c>
    </row>
    <row r="521" spans="1:8" ht="51">
      <c r="A521" s="16" t="s">
        <v>156</v>
      </c>
      <c r="B521" s="16" t="s">
        <v>140</v>
      </c>
      <c r="C521" s="21" t="s">
        <v>121</v>
      </c>
      <c r="D521" s="35"/>
      <c r="E521" s="64" t="s">
        <v>552</v>
      </c>
      <c r="F521" s="62">
        <f t="shared" ref="F521:H521" si="163">F522</f>
        <v>141719.4</v>
      </c>
      <c r="G521" s="62">
        <f t="shared" si="163"/>
        <v>135047.6</v>
      </c>
      <c r="H521" s="62">
        <f t="shared" si="163"/>
        <v>135064.70000000001</v>
      </c>
    </row>
    <row r="522" spans="1:8" ht="25.5">
      <c r="A522" s="16" t="s">
        <v>156</v>
      </c>
      <c r="B522" s="16" t="s">
        <v>140</v>
      </c>
      <c r="C522" s="52" t="s">
        <v>122</v>
      </c>
      <c r="D522" s="35"/>
      <c r="E522" s="46" t="s">
        <v>62</v>
      </c>
      <c r="F522" s="99">
        <f>F523+F525+F527+F529+F531+F533+F535</f>
        <v>141719.4</v>
      </c>
      <c r="G522" s="99">
        <f t="shared" ref="G522:H522" si="164">G523+G525+G527+G529+G531+G535</f>
        <v>135047.6</v>
      </c>
      <c r="H522" s="99">
        <f t="shared" si="164"/>
        <v>135064.70000000001</v>
      </c>
    </row>
    <row r="523" spans="1:8" ht="76.5">
      <c r="A523" s="56" t="s">
        <v>156</v>
      </c>
      <c r="B523" s="56" t="s">
        <v>140</v>
      </c>
      <c r="C523" s="57" t="s">
        <v>563</v>
      </c>
      <c r="D523" s="21"/>
      <c r="E523" s="103" t="s">
        <v>431</v>
      </c>
      <c r="F523" s="99">
        <f t="shared" ref="F523:H523" si="165">F524</f>
        <v>59767.5</v>
      </c>
      <c r="G523" s="99">
        <f t="shared" si="165"/>
        <v>58978.8</v>
      </c>
      <c r="H523" s="99">
        <f t="shared" si="165"/>
        <v>58978.8</v>
      </c>
    </row>
    <row r="524" spans="1:8">
      <c r="A524" s="56" t="s">
        <v>156</v>
      </c>
      <c r="B524" s="56" t="s">
        <v>140</v>
      </c>
      <c r="C524" s="57" t="s">
        <v>563</v>
      </c>
      <c r="D524" s="21" t="s">
        <v>344</v>
      </c>
      <c r="E524" s="103" t="s">
        <v>343</v>
      </c>
      <c r="F524" s="99">
        <f>58939.1+25+717.4+86</f>
        <v>59767.5</v>
      </c>
      <c r="G524" s="99">
        <v>58978.8</v>
      </c>
      <c r="H524" s="99">
        <v>58978.8</v>
      </c>
    </row>
    <row r="525" spans="1:8" ht="76.5">
      <c r="A525" s="56" t="s">
        <v>156</v>
      </c>
      <c r="B525" s="56" t="s">
        <v>140</v>
      </c>
      <c r="C525" s="57" t="s">
        <v>564</v>
      </c>
      <c r="D525" s="57"/>
      <c r="E525" s="103" t="s">
        <v>61</v>
      </c>
      <c r="F525" s="99">
        <f t="shared" ref="F525:H525" si="166">F526</f>
        <v>78093.799999999988</v>
      </c>
      <c r="G525" s="99">
        <f t="shared" si="166"/>
        <v>75533.399999999994</v>
      </c>
      <c r="H525" s="99">
        <f t="shared" si="166"/>
        <v>75533.399999999994</v>
      </c>
    </row>
    <row r="526" spans="1:8">
      <c r="A526" s="56" t="s">
        <v>156</v>
      </c>
      <c r="B526" s="56" t="s">
        <v>140</v>
      </c>
      <c r="C526" s="57" t="s">
        <v>564</v>
      </c>
      <c r="D526" s="85" t="s">
        <v>344</v>
      </c>
      <c r="E526" s="103" t="s">
        <v>343</v>
      </c>
      <c r="F526" s="99">
        <f>75533.4+2560.4</f>
        <v>78093.799999999988</v>
      </c>
      <c r="G526" s="99">
        <v>75533.399999999994</v>
      </c>
      <c r="H526" s="99">
        <v>75533.399999999994</v>
      </c>
    </row>
    <row r="527" spans="1:8" ht="63.75">
      <c r="A527" s="56" t="s">
        <v>156</v>
      </c>
      <c r="B527" s="56" t="s">
        <v>140</v>
      </c>
      <c r="C527" s="57" t="s">
        <v>686</v>
      </c>
      <c r="D527" s="21"/>
      <c r="E527" s="165" t="s">
        <v>687</v>
      </c>
      <c r="F527" s="99">
        <f t="shared" ref="F527:H527" si="167">F528</f>
        <v>925.19999999999993</v>
      </c>
      <c r="G527" s="99">
        <f t="shared" si="167"/>
        <v>535.4</v>
      </c>
      <c r="H527" s="99">
        <f t="shared" si="167"/>
        <v>552.5</v>
      </c>
    </row>
    <row r="528" spans="1:8">
      <c r="A528" s="56" t="s">
        <v>156</v>
      </c>
      <c r="B528" s="56" t="s">
        <v>140</v>
      </c>
      <c r="C528" s="57" t="s">
        <v>686</v>
      </c>
      <c r="D528" s="21" t="s">
        <v>344</v>
      </c>
      <c r="E528" s="103" t="s">
        <v>343</v>
      </c>
      <c r="F528" s="99">
        <f>1020-104.7+9.9</f>
        <v>925.19999999999993</v>
      </c>
      <c r="G528" s="99">
        <v>535.4</v>
      </c>
      <c r="H528" s="99">
        <v>552.5</v>
      </c>
    </row>
    <row r="529" spans="1:8" ht="51">
      <c r="A529" s="56" t="s">
        <v>156</v>
      </c>
      <c r="B529" s="56" t="s">
        <v>140</v>
      </c>
      <c r="C529" s="21" t="s">
        <v>698</v>
      </c>
      <c r="D529" s="35"/>
      <c r="E529" s="120" t="s">
        <v>699</v>
      </c>
      <c r="F529" s="99">
        <f>F530</f>
        <v>503.5</v>
      </c>
      <c r="G529" s="99">
        <f>G530</f>
        <v>0</v>
      </c>
      <c r="H529" s="99">
        <f>H530</f>
        <v>0</v>
      </c>
    </row>
    <row r="530" spans="1:8">
      <c r="A530" s="56" t="s">
        <v>156</v>
      </c>
      <c r="B530" s="56" t="s">
        <v>140</v>
      </c>
      <c r="C530" s="21" t="s">
        <v>698</v>
      </c>
      <c r="D530" s="21" t="s">
        <v>344</v>
      </c>
      <c r="E530" s="103" t="s">
        <v>343</v>
      </c>
      <c r="F530" s="99">
        <f>830-326.5</f>
        <v>503.5</v>
      </c>
      <c r="G530" s="99">
        <v>0</v>
      </c>
      <c r="H530" s="99"/>
    </row>
    <row r="531" spans="1:8" ht="51">
      <c r="A531" s="56" t="s">
        <v>156</v>
      </c>
      <c r="B531" s="56" t="s">
        <v>140</v>
      </c>
      <c r="C531" s="21" t="s">
        <v>704</v>
      </c>
      <c r="D531" s="21"/>
      <c r="E531" s="165" t="s">
        <v>705</v>
      </c>
      <c r="F531" s="99">
        <f>F532</f>
        <v>2010.6000000000001</v>
      </c>
      <c r="G531" s="99">
        <f>G532</f>
        <v>0</v>
      </c>
      <c r="H531" s="99">
        <f>H532</f>
        <v>0</v>
      </c>
    </row>
    <row r="532" spans="1:8">
      <c r="A532" s="56" t="s">
        <v>156</v>
      </c>
      <c r="B532" s="56" t="s">
        <v>140</v>
      </c>
      <c r="C532" s="21" t="s">
        <v>704</v>
      </c>
      <c r="D532" s="21" t="s">
        <v>344</v>
      </c>
      <c r="E532" s="103" t="s">
        <v>343</v>
      </c>
      <c r="F532" s="99">
        <f>3317.3-1306.7</f>
        <v>2010.6000000000001</v>
      </c>
      <c r="G532" s="99">
        <v>0</v>
      </c>
      <c r="H532" s="99">
        <v>0</v>
      </c>
    </row>
    <row r="533" spans="1:8" ht="51">
      <c r="A533" s="56" t="s">
        <v>156</v>
      </c>
      <c r="B533" s="56" t="s">
        <v>140</v>
      </c>
      <c r="C533" s="57" t="s">
        <v>896</v>
      </c>
      <c r="D533" s="21"/>
      <c r="E533" s="102" t="s">
        <v>897</v>
      </c>
      <c r="F533" s="99">
        <f>F534</f>
        <v>87</v>
      </c>
      <c r="G533" s="99">
        <f t="shared" ref="G533:H533" si="168">G534</f>
        <v>0</v>
      </c>
      <c r="H533" s="99">
        <f t="shared" si="168"/>
        <v>0</v>
      </c>
    </row>
    <row r="534" spans="1:8">
      <c r="A534" s="56" t="s">
        <v>156</v>
      </c>
      <c r="B534" s="56" t="s">
        <v>140</v>
      </c>
      <c r="C534" s="57" t="s">
        <v>896</v>
      </c>
      <c r="D534" s="21" t="s">
        <v>344</v>
      </c>
      <c r="E534" s="184" t="s">
        <v>343</v>
      </c>
      <c r="F534" s="99">
        <f>326.5-239.5</f>
        <v>87</v>
      </c>
      <c r="G534" s="99">
        <v>0</v>
      </c>
      <c r="H534" s="99">
        <v>0</v>
      </c>
    </row>
    <row r="535" spans="1:8" ht="51">
      <c r="A535" s="56" t="s">
        <v>156</v>
      </c>
      <c r="B535" s="56" t="s">
        <v>140</v>
      </c>
      <c r="C535" s="57" t="s">
        <v>746</v>
      </c>
      <c r="D535" s="21"/>
      <c r="E535" s="103" t="s">
        <v>766</v>
      </c>
      <c r="F535" s="99">
        <f>F536</f>
        <v>331.8</v>
      </c>
      <c r="G535" s="99">
        <f t="shared" ref="G535:H535" si="169">G536</f>
        <v>0</v>
      </c>
      <c r="H535" s="99">
        <f t="shared" si="169"/>
        <v>0</v>
      </c>
    </row>
    <row r="536" spans="1:8">
      <c r="A536" s="56" t="s">
        <v>156</v>
      </c>
      <c r="B536" s="56" t="s">
        <v>140</v>
      </c>
      <c r="C536" s="57" t="s">
        <v>746</v>
      </c>
      <c r="D536" s="21" t="s">
        <v>344</v>
      </c>
      <c r="E536" s="103" t="s">
        <v>343</v>
      </c>
      <c r="F536" s="99">
        <f>341.7-9.9</f>
        <v>331.8</v>
      </c>
      <c r="G536" s="99">
        <v>0</v>
      </c>
      <c r="H536" s="99">
        <v>0</v>
      </c>
    </row>
    <row r="537" spans="1:8" s="37" customFormat="1" ht="14.25">
      <c r="A537" s="35" t="s">
        <v>156</v>
      </c>
      <c r="B537" s="35" t="s">
        <v>141</v>
      </c>
      <c r="C537" s="35"/>
      <c r="D537" s="35"/>
      <c r="E537" s="45" t="s">
        <v>160</v>
      </c>
      <c r="F537" s="42">
        <f>F538+F566</f>
        <v>400851.20000000001</v>
      </c>
      <c r="G537" s="42">
        <f>G538+G566</f>
        <v>318431.3</v>
      </c>
      <c r="H537" s="42">
        <f>H538+H566</f>
        <v>320165.39999999997</v>
      </c>
    </row>
    <row r="538" spans="1:8" s="37" customFormat="1" ht="51.75">
      <c r="A538" s="16" t="s">
        <v>156</v>
      </c>
      <c r="B538" s="16" t="s">
        <v>141</v>
      </c>
      <c r="C538" s="21" t="s">
        <v>121</v>
      </c>
      <c r="D538" s="35"/>
      <c r="E538" s="64" t="s">
        <v>552</v>
      </c>
      <c r="F538" s="65">
        <f t="shared" ref="F538:H538" si="170">F539</f>
        <v>400651.2</v>
      </c>
      <c r="G538" s="65">
        <f t="shared" si="170"/>
        <v>318431.3</v>
      </c>
      <c r="H538" s="65">
        <f t="shared" si="170"/>
        <v>320165.39999999997</v>
      </c>
    </row>
    <row r="539" spans="1:8" s="37" customFormat="1" ht="25.5">
      <c r="A539" s="16" t="s">
        <v>156</v>
      </c>
      <c r="B539" s="16" t="s">
        <v>141</v>
      </c>
      <c r="C539" s="52" t="s">
        <v>122</v>
      </c>
      <c r="D539" s="35"/>
      <c r="E539" s="46" t="s">
        <v>62</v>
      </c>
      <c r="F539" s="58">
        <f>F540+F542+F544+F546+F548+F550+F552+F554+F556+F558+F560+F562+F564</f>
        <v>400651.2</v>
      </c>
      <c r="G539" s="58">
        <f t="shared" ref="G539:H539" si="171">G540+G542+G544+G546+G548+G550+G552+G554+G558+G560+G562+G564</f>
        <v>318431.3</v>
      </c>
      <c r="H539" s="58">
        <f t="shared" si="171"/>
        <v>320165.39999999997</v>
      </c>
    </row>
    <row r="540" spans="1:8" s="37" customFormat="1" ht="66.75" customHeight="1">
      <c r="A540" s="56" t="s">
        <v>156</v>
      </c>
      <c r="B540" s="94" t="s">
        <v>141</v>
      </c>
      <c r="C540" s="57" t="s">
        <v>709</v>
      </c>
      <c r="D540" s="21"/>
      <c r="E540" s="103" t="s">
        <v>710</v>
      </c>
      <c r="F540" s="99">
        <f t="shared" ref="F540:H540" si="172">F541</f>
        <v>16014.6</v>
      </c>
      <c r="G540" s="99">
        <f t="shared" si="172"/>
        <v>16014.6</v>
      </c>
      <c r="H540" s="99">
        <f t="shared" si="172"/>
        <v>16014.6</v>
      </c>
    </row>
    <row r="541" spans="1:8" s="37" customFormat="1" ht="14.25">
      <c r="A541" s="56" t="s">
        <v>156</v>
      </c>
      <c r="B541" s="94" t="s">
        <v>141</v>
      </c>
      <c r="C541" s="57" t="s">
        <v>709</v>
      </c>
      <c r="D541" s="21" t="s">
        <v>344</v>
      </c>
      <c r="E541" s="103" t="s">
        <v>343</v>
      </c>
      <c r="F541" s="99">
        <v>16014.6</v>
      </c>
      <c r="G541" s="99">
        <v>16014.6</v>
      </c>
      <c r="H541" s="99">
        <v>16014.6</v>
      </c>
    </row>
    <row r="542" spans="1:8" s="37" customFormat="1" ht="63.75">
      <c r="A542" s="56" t="s">
        <v>156</v>
      </c>
      <c r="B542" s="94" t="s">
        <v>141</v>
      </c>
      <c r="C542" s="21" t="s">
        <v>560</v>
      </c>
      <c r="D542" s="35"/>
      <c r="E542" s="120" t="s">
        <v>430</v>
      </c>
      <c r="F542" s="99">
        <f>F543</f>
        <v>198.79999999999995</v>
      </c>
      <c r="G542" s="99">
        <f>G543</f>
        <v>0</v>
      </c>
      <c r="H542" s="99">
        <f>H543</f>
        <v>0</v>
      </c>
    </row>
    <row r="543" spans="1:8" s="37" customFormat="1" ht="14.25">
      <c r="A543" s="56" t="s">
        <v>156</v>
      </c>
      <c r="B543" s="94" t="s">
        <v>141</v>
      </c>
      <c r="C543" s="21" t="s">
        <v>560</v>
      </c>
      <c r="D543" s="21" t="s">
        <v>344</v>
      </c>
      <c r="E543" s="103" t="s">
        <v>343</v>
      </c>
      <c r="F543" s="99">
        <f>1676.5-113.2-1364.5</f>
        <v>198.79999999999995</v>
      </c>
      <c r="G543" s="99">
        <v>0</v>
      </c>
      <c r="H543" s="99">
        <v>0</v>
      </c>
    </row>
    <row r="544" spans="1:8" s="37" customFormat="1" ht="51">
      <c r="A544" s="16" t="s">
        <v>156</v>
      </c>
      <c r="B544" s="16" t="s">
        <v>141</v>
      </c>
      <c r="C544" s="21" t="s">
        <v>671</v>
      </c>
      <c r="D544" s="57"/>
      <c r="E544" s="120" t="s">
        <v>672</v>
      </c>
      <c r="F544" s="99">
        <f t="shared" ref="F544:H544" si="173">F545</f>
        <v>794.39999999999986</v>
      </c>
      <c r="G544" s="99">
        <f t="shared" si="173"/>
        <v>0</v>
      </c>
      <c r="H544" s="99">
        <f t="shared" si="173"/>
        <v>0</v>
      </c>
    </row>
    <row r="545" spans="1:8" s="37" customFormat="1" ht="14.25">
      <c r="A545" s="16" t="s">
        <v>156</v>
      </c>
      <c r="B545" s="16" t="s">
        <v>141</v>
      </c>
      <c r="C545" s="21" t="s">
        <v>671</v>
      </c>
      <c r="D545" s="21" t="s">
        <v>344</v>
      </c>
      <c r="E545" s="103" t="s">
        <v>343</v>
      </c>
      <c r="F545" s="99">
        <f>1247.1-452.7</f>
        <v>794.39999999999986</v>
      </c>
      <c r="G545" s="99">
        <v>0</v>
      </c>
      <c r="H545" s="99">
        <v>0</v>
      </c>
    </row>
    <row r="546" spans="1:8" s="37" customFormat="1" ht="76.5">
      <c r="A546" s="16" t="s">
        <v>156</v>
      </c>
      <c r="B546" s="16" t="s">
        <v>141</v>
      </c>
      <c r="C546" s="57" t="s">
        <v>561</v>
      </c>
      <c r="D546" s="21"/>
      <c r="E546" s="103" t="s">
        <v>188</v>
      </c>
      <c r="F546" s="99">
        <f t="shared" ref="F546:H546" si="174">F547</f>
        <v>15127.4</v>
      </c>
      <c r="G546" s="99">
        <f t="shared" si="174"/>
        <v>15703.5</v>
      </c>
      <c r="H546" s="99">
        <f t="shared" si="174"/>
        <v>15703.5</v>
      </c>
    </row>
    <row r="547" spans="1:8" s="37" customFormat="1" ht="14.25">
      <c r="A547" s="16" t="s">
        <v>156</v>
      </c>
      <c r="B547" s="16" t="s">
        <v>141</v>
      </c>
      <c r="C547" s="57" t="s">
        <v>561</v>
      </c>
      <c r="D547" s="21" t="s">
        <v>344</v>
      </c>
      <c r="E547" s="103" t="s">
        <v>343</v>
      </c>
      <c r="F547" s="99">
        <v>15127.4</v>
      </c>
      <c r="G547" s="99">
        <v>15703.5</v>
      </c>
      <c r="H547" s="99">
        <v>15703.5</v>
      </c>
    </row>
    <row r="548" spans="1:8" s="37" customFormat="1" ht="63.75">
      <c r="A548" s="16" t="s">
        <v>156</v>
      </c>
      <c r="B548" s="16" t="s">
        <v>141</v>
      </c>
      <c r="C548" s="57" t="s">
        <v>562</v>
      </c>
      <c r="D548" s="21"/>
      <c r="E548" s="103" t="s">
        <v>438</v>
      </c>
      <c r="F548" s="99">
        <f t="shared" ref="F548:H548" si="175">F549</f>
        <v>73784.5</v>
      </c>
      <c r="G548" s="99">
        <f t="shared" si="175"/>
        <v>68841.600000000006</v>
      </c>
      <c r="H548" s="99">
        <f t="shared" si="175"/>
        <v>70746.7</v>
      </c>
    </row>
    <row r="549" spans="1:8" s="37" customFormat="1" ht="14.25">
      <c r="A549" s="16" t="s">
        <v>156</v>
      </c>
      <c r="B549" s="16" t="s">
        <v>141</v>
      </c>
      <c r="C549" s="57" t="s">
        <v>562</v>
      </c>
      <c r="D549" s="21" t="s">
        <v>344</v>
      </c>
      <c r="E549" s="103" t="s">
        <v>343</v>
      </c>
      <c r="F549" s="99">
        <f>74196.9+368-1468.4+627.1+18.4+35+7.5</f>
        <v>73784.5</v>
      </c>
      <c r="G549" s="99">
        <v>68841.600000000006</v>
      </c>
      <c r="H549" s="99">
        <v>70746.7</v>
      </c>
    </row>
    <row r="550" spans="1:8" s="37" customFormat="1" ht="63.75">
      <c r="A550" s="16" t="s">
        <v>156</v>
      </c>
      <c r="B550" s="16" t="s">
        <v>141</v>
      </c>
      <c r="C550" s="57" t="s">
        <v>566</v>
      </c>
      <c r="D550" s="21"/>
      <c r="E550" s="103" t="s">
        <v>439</v>
      </c>
      <c r="F550" s="99">
        <f t="shared" ref="F550:H550" si="176">F551</f>
        <v>211989.7</v>
      </c>
      <c r="G550" s="99">
        <f t="shared" si="176"/>
        <v>193610.4</v>
      </c>
      <c r="H550" s="99">
        <f t="shared" si="176"/>
        <v>193610.4</v>
      </c>
    </row>
    <row r="551" spans="1:8" s="37" customFormat="1" ht="14.25">
      <c r="A551" s="16" t="s">
        <v>156</v>
      </c>
      <c r="B551" s="16" t="s">
        <v>141</v>
      </c>
      <c r="C551" s="57" t="s">
        <v>566</v>
      </c>
      <c r="D551" s="21" t="s">
        <v>344</v>
      </c>
      <c r="E551" s="103" t="s">
        <v>343</v>
      </c>
      <c r="F551" s="99">
        <f>193610.4+12075.7+6303.6</f>
        <v>211989.7</v>
      </c>
      <c r="G551" s="99">
        <v>193610.4</v>
      </c>
      <c r="H551" s="99">
        <v>193610.4</v>
      </c>
    </row>
    <row r="552" spans="1:8" s="37" customFormat="1" ht="39" customHeight="1">
      <c r="A552" s="16" t="s">
        <v>156</v>
      </c>
      <c r="B552" s="16" t="s">
        <v>141</v>
      </c>
      <c r="C552" s="57" t="s">
        <v>569</v>
      </c>
      <c r="D552" s="21"/>
      <c r="E552" s="103" t="s">
        <v>483</v>
      </c>
      <c r="F552" s="99">
        <f t="shared" ref="F552:H552" si="177">F553</f>
        <v>4827.3</v>
      </c>
      <c r="G552" s="99">
        <f t="shared" si="177"/>
        <v>4827.3</v>
      </c>
      <c r="H552" s="99">
        <f t="shared" si="177"/>
        <v>4827.3</v>
      </c>
    </row>
    <row r="553" spans="1:8" s="37" customFormat="1" ht="14.25">
      <c r="A553" s="16" t="s">
        <v>156</v>
      </c>
      <c r="B553" s="16" t="s">
        <v>141</v>
      </c>
      <c r="C553" s="57" t="s">
        <v>569</v>
      </c>
      <c r="D553" s="21" t="s">
        <v>344</v>
      </c>
      <c r="E553" s="103" t="s">
        <v>343</v>
      </c>
      <c r="F553" s="99">
        <v>4827.3</v>
      </c>
      <c r="G553" s="99">
        <v>4827.3</v>
      </c>
      <c r="H553" s="99">
        <v>4827.3</v>
      </c>
    </row>
    <row r="554" spans="1:8" s="37" customFormat="1" ht="37.5" customHeight="1">
      <c r="A554" s="16" t="s">
        <v>156</v>
      </c>
      <c r="B554" s="16" t="s">
        <v>141</v>
      </c>
      <c r="C554" s="57" t="s">
        <v>688</v>
      </c>
      <c r="D554" s="57"/>
      <c r="E554" s="165" t="s">
        <v>689</v>
      </c>
      <c r="F554" s="99">
        <f t="shared" ref="F554:H554" si="178">F555</f>
        <v>1699</v>
      </c>
      <c r="G554" s="99">
        <f t="shared" si="178"/>
        <v>1000</v>
      </c>
      <c r="H554" s="99">
        <f t="shared" si="178"/>
        <v>1000</v>
      </c>
    </row>
    <row r="555" spans="1:8" s="37" customFormat="1" ht="14.25">
      <c r="A555" s="16" t="s">
        <v>156</v>
      </c>
      <c r="B555" s="16" t="s">
        <v>141</v>
      </c>
      <c r="C555" s="57" t="s">
        <v>688</v>
      </c>
      <c r="D555" s="21" t="s">
        <v>344</v>
      </c>
      <c r="E555" s="103" t="s">
        <v>343</v>
      </c>
      <c r="F555" s="99">
        <f>2030-331</f>
        <v>1699</v>
      </c>
      <c r="G555" s="99">
        <v>1000</v>
      </c>
      <c r="H555" s="99">
        <v>1000</v>
      </c>
    </row>
    <row r="556" spans="1:8" s="37" customFormat="1" ht="76.5">
      <c r="A556" s="16" t="s">
        <v>156</v>
      </c>
      <c r="B556" s="16" t="s">
        <v>141</v>
      </c>
      <c r="C556" s="57" t="s">
        <v>971</v>
      </c>
      <c r="D556" s="57"/>
      <c r="E556" s="103" t="s">
        <v>972</v>
      </c>
      <c r="F556" s="99">
        <f>F557</f>
        <v>44.5</v>
      </c>
      <c r="G556" s="99">
        <f t="shared" ref="G556:H556" si="179">G557</f>
        <v>0</v>
      </c>
      <c r="H556" s="99">
        <f t="shared" si="179"/>
        <v>0</v>
      </c>
    </row>
    <row r="557" spans="1:8" s="37" customFormat="1" ht="14.25">
      <c r="A557" s="16" t="s">
        <v>156</v>
      </c>
      <c r="B557" s="16" t="s">
        <v>141</v>
      </c>
      <c r="C557" s="57" t="s">
        <v>971</v>
      </c>
      <c r="D557" s="21" t="s">
        <v>344</v>
      </c>
      <c r="E557" s="103" t="s">
        <v>343</v>
      </c>
      <c r="F557" s="99">
        <v>44.5</v>
      </c>
      <c r="G557" s="99">
        <v>0</v>
      </c>
      <c r="H557" s="99">
        <v>0</v>
      </c>
    </row>
    <row r="558" spans="1:8" s="37" customFormat="1" ht="51">
      <c r="A558" s="16" t="s">
        <v>156</v>
      </c>
      <c r="B558" s="16" t="s">
        <v>141</v>
      </c>
      <c r="C558" s="57" t="s">
        <v>745</v>
      </c>
      <c r="D558" s="21"/>
      <c r="E558" s="103" t="s">
        <v>765</v>
      </c>
      <c r="F558" s="99">
        <f>F559</f>
        <v>493.8</v>
      </c>
      <c r="G558" s="99">
        <f t="shared" ref="G558:H558" si="180">G559</f>
        <v>0</v>
      </c>
      <c r="H558" s="99">
        <f t="shared" si="180"/>
        <v>0</v>
      </c>
    </row>
    <row r="559" spans="1:8" s="37" customFormat="1" ht="14.25">
      <c r="A559" s="16" t="s">
        <v>156</v>
      </c>
      <c r="B559" s="16" t="s">
        <v>141</v>
      </c>
      <c r="C559" s="57" t="s">
        <v>745</v>
      </c>
      <c r="D559" s="21" t="s">
        <v>344</v>
      </c>
      <c r="E559" s="103" t="s">
        <v>343</v>
      </c>
      <c r="F559" s="99">
        <f>508.8-15</f>
        <v>493.8</v>
      </c>
      <c r="G559" s="99">
        <v>0</v>
      </c>
      <c r="H559" s="99">
        <v>0</v>
      </c>
    </row>
    <row r="560" spans="1:8" s="37" customFormat="1" ht="51">
      <c r="A560" s="16" t="s">
        <v>156</v>
      </c>
      <c r="B560" s="16" t="s">
        <v>141</v>
      </c>
      <c r="C560" s="57" t="s">
        <v>787</v>
      </c>
      <c r="D560" s="21"/>
      <c r="E560" s="165" t="s">
        <v>786</v>
      </c>
      <c r="F560" s="99">
        <f>F561</f>
        <v>33612.400000000001</v>
      </c>
      <c r="G560" s="99">
        <f t="shared" ref="G560:H560" si="181">G561</f>
        <v>0</v>
      </c>
      <c r="H560" s="99">
        <f t="shared" si="181"/>
        <v>0</v>
      </c>
    </row>
    <row r="561" spans="1:8" s="37" customFormat="1" ht="14.25">
      <c r="A561" s="16" t="s">
        <v>156</v>
      </c>
      <c r="B561" s="16" t="s">
        <v>141</v>
      </c>
      <c r="C561" s="57" t="s">
        <v>787</v>
      </c>
      <c r="D561" s="21" t="s">
        <v>344</v>
      </c>
      <c r="E561" s="103" t="s">
        <v>343</v>
      </c>
      <c r="F561" s="99">
        <f>4500-393+113.2-408.8+29600+186+15</f>
        <v>33612.400000000001</v>
      </c>
      <c r="G561" s="99">
        <v>0</v>
      </c>
      <c r="H561" s="99">
        <v>0</v>
      </c>
    </row>
    <row r="562" spans="1:8" s="37" customFormat="1" ht="64.5" customHeight="1">
      <c r="A562" s="16" t="s">
        <v>156</v>
      </c>
      <c r="B562" s="16" t="s">
        <v>141</v>
      </c>
      <c r="C562" s="57" t="s">
        <v>961</v>
      </c>
      <c r="D562" s="57"/>
      <c r="E562" s="165" t="s">
        <v>960</v>
      </c>
      <c r="F562" s="99">
        <f>F563</f>
        <v>24484.3</v>
      </c>
      <c r="G562" s="99">
        <f t="shared" ref="G562:H562" si="182">G563</f>
        <v>0</v>
      </c>
      <c r="H562" s="99">
        <f t="shared" si="182"/>
        <v>0</v>
      </c>
    </row>
    <row r="563" spans="1:8" s="37" customFormat="1" ht="14.25">
      <c r="A563" s="16" t="s">
        <v>156</v>
      </c>
      <c r="B563" s="16" t="s">
        <v>141</v>
      </c>
      <c r="C563" s="57" t="s">
        <v>961</v>
      </c>
      <c r="D563" s="21" t="s">
        <v>344</v>
      </c>
      <c r="E563" s="103" t="s">
        <v>343</v>
      </c>
      <c r="F563" s="99">
        <f>2448.5+22035.8</f>
        <v>24484.3</v>
      </c>
      <c r="G563" s="99">
        <v>0</v>
      </c>
      <c r="H563" s="99">
        <v>0</v>
      </c>
    </row>
    <row r="564" spans="1:8" s="37" customFormat="1" ht="63.75">
      <c r="A564" s="16" t="s">
        <v>156</v>
      </c>
      <c r="B564" s="16" t="s">
        <v>141</v>
      </c>
      <c r="C564" s="57" t="s">
        <v>707</v>
      </c>
      <c r="D564" s="57"/>
      <c r="E564" s="103" t="s">
        <v>708</v>
      </c>
      <c r="F564" s="104">
        <f t="shared" ref="F564:H564" si="183">F565</f>
        <v>17580.5</v>
      </c>
      <c r="G564" s="104">
        <f t="shared" si="183"/>
        <v>18433.899999999998</v>
      </c>
      <c r="H564" s="104">
        <f t="shared" si="183"/>
        <v>18262.899999999998</v>
      </c>
    </row>
    <row r="565" spans="1:8" s="37" customFormat="1" ht="14.25">
      <c r="A565" s="16" t="s">
        <v>156</v>
      </c>
      <c r="B565" s="16" t="s">
        <v>141</v>
      </c>
      <c r="C565" s="57" t="s">
        <v>707</v>
      </c>
      <c r="D565" s="57" t="s">
        <v>344</v>
      </c>
      <c r="E565" s="103" t="s">
        <v>343</v>
      </c>
      <c r="F565" s="104">
        <f>1530.1+15822.5+227.9</f>
        <v>17580.5</v>
      </c>
      <c r="G565" s="104">
        <f>1578.8+16590.5+264.6</f>
        <v>18433.899999999998</v>
      </c>
      <c r="H565" s="104">
        <f>1578.8+16436.6+247.5</f>
        <v>18262.899999999998</v>
      </c>
    </row>
    <row r="566" spans="1:8" s="37" customFormat="1" ht="25.5">
      <c r="A566" s="5" t="s">
        <v>156</v>
      </c>
      <c r="B566" s="5" t="s">
        <v>141</v>
      </c>
      <c r="C566" s="87">
        <v>9900000000</v>
      </c>
      <c r="D566" s="73"/>
      <c r="E566" s="154" t="s">
        <v>202</v>
      </c>
      <c r="F566" s="101">
        <f t="shared" ref="F566:H567" si="184">F567</f>
        <v>200</v>
      </c>
      <c r="G566" s="101">
        <f t="shared" si="184"/>
        <v>0</v>
      </c>
      <c r="H566" s="101">
        <f t="shared" si="184"/>
        <v>0</v>
      </c>
    </row>
    <row r="567" spans="1:8" s="37" customFormat="1" ht="38.25">
      <c r="A567" s="16" t="s">
        <v>156</v>
      </c>
      <c r="B567" s="16" t="s">
        <v>141</v>
      </c>
      <c r="C567" s="85" t="s">
        <v>32</v>
      </c>
      <c r="D567" s="85"/>
      <c r="E567" s="105" t="s">
        <v>56</v>
      </c>
      <c r="F567" s="104">
        <f>F568</f>
        <v>200</v>
      </c>
      <c r="G567" s="104">
        <f t="shared" si="184"/>
        <v>0</v>
      </c>
      <c r="H567" s="104">
        <f t="shared" si="184"/>
        <v>0</v>
      </c>
    </row>
    <row r="568" spans="1:8" s="37" customFormat="1" ht="51">
      <c r="A568" s="16" t="s">
        <v>156</v>
      </c>
      <c r="B568" s="16" t="s">
        <v>141</v>
      </c>
      <c r="C568" s="85" t="s">
        <v>633</v>
      </c>
      <c r="D568" s="16"/>
      <c r="E568" s="54" t="s">
        <v>593</v>
      </c>
      <c r="F568" s="41">
        <f>SUM(F569:F569)</f>
        <v>200</v>
      </c>
      <c r="G568" s="41">
        <f>SUM(G569:G569)</f>
        <v>0</v>
      </c>
      <c r="H568" s="41">
        <f>SUM(H569:H569)</f>
        <v>0</v>
      </c>
    </row>
    <row r="569" spans="1:8" s="37" customFormat="1" ht="14.25">
      <c r="A569" s="16" t="s">
        <v>156</v>
      </c>
      <c r="B569" s="16" t="s">
        <v>141</v>
      </c>
      <c r="C569" s="85" t="s">
        <v>633</v>
      </c>
      <c r="D569" s="85" t="s">
        <v>344</v>
      </c>
      <c r="E569" s="103" t="s">
        <v>343</v>
      </c>
      <c r="F569" s="39">
        <v>200</v>
      </c>
      <c r="G569" s="39">
        <v>0</v>
      </c>
      <c r="H569" s="39"/>
    </row>
    <row r="570" spans="1:8" s="37" customFormat="1" ht="14.25">
      <c r="A570" s="35" t="s">
        <v>156</v>
      </c>
      <c r="B570" s="35" t="s">
        <v>145</v>
      </c>
      <c r="C570" s="35"/>
      <c r="D570" s="35"/>
      <c r="E570" s="45" t="s">
        <v>225</v>
      </c>
      <c r="F570" s="42">
        <f>F571+F590+F604</f>
        <v>55475.4</v>
      </c>
      <c r="G570" s="42">
        <f>G571+G590+G604</f>
        <v>48900.700000000004</v>
      </c>
      <c r="H570" s="42">
        <f>H571+H590+H604</f>
        <v>48900.700000000004</v>
      </c>
    </row>
    <row r="571" spans="1:8" s="37" customFormat="1" ht="51.75">
      <c r="A571" s="5" t="s">
        <v>156</v>
      </c>
      <c r="B571" s="5" t="s">
        <v>145</v>
      </c>
      <c r="C571" s="73" t="s">
        <v>121</v>
      </c>
      <c r="D571" s="35"/>
      <c r="E571" s="64" t="s">
        <v>552</v>
      </c>
      <c r="F571" s="65">
        <f>F572+F587</f>
        <v>40170</v>
      </c>
      <c r="G571" s="65">
        <f t="shared" ref="G571:H571" si="185">G572+G587</f>
        <v>36230.9</v>
      </c>
      <c r="H571" s="65">
        <f t="shared" si="185"/>
        <v>36230.9</v>
      </c>
    </row>
    <row r="572" spans="1:8" s="37" customFormat="1" ht="25.5">
      <c r="A572" s="47" t="s">
        <v>156</v>
      </c>
      <c r="B572" s="47" t="s">
        <v>145</v>
      </c>
      <c r="C572" s="52" t="s">
        <v>122</v>
      </c>
      <c r="D572" s="35"/>
      <c r="E572" s="46" t="s">
        <v>62</v>
      </c>
      <c r="F572" s="58">
        <f>F573+F575+F577+F579+F581+F583+F585</f>
        <v>40120</v>
      </c>
      <c r="G572" s="58">
        <f t="shared" ref="G572:H572" si="186">G573+G575+G577+G579+G581+G583+G585</f>
        <v>36230.9</v>
      </c>
      <c r="H572" s="58">
        <f t="shared" si="186"/>
        <v>36230.9</v>
      </c>
    </row>
    <row r="573" spans="1:8" s="37" customFormat="1" ht="38.25">
      <c r="A573" s="85" t="s">
        <v>156</v>
      </c>
      <c r="B573" s="85" t="s">
        <v>145</v>
      </c>
      <c r="C573" s="57" t="s">
        <v>574</v>
      </c>
      <c r="D573" s="57"/>
      <c r="E573" s="103" t="s">
        <v>266</v>
      </c>
      <c r="F573" s="41">
        <f t="shared" ref="F573:H573" si="187">F574</f>
        <v>250</v>
      </c>
      <c r="G573" s="41">
        <f t="shared" si="187"/>
        <v>250</v>
      </c>
      <c r="H573" s="41">
        <f t="shared" si="187"/>
        <v>250</v>
      </c>
    </row>
    <row r="574" spans="1:8" s="37" customFormat="1" ht="14.25">
      <c r="A574" s="85" t="s">
        <v>156</v>
      </c>
      <c r="B574" s="85" t="s">
        <v>145</v>
      </c>
      <c r="C574" s="57" t="s">
        <v>574</v>
      </c>
      <c r="D574" s="21" t="s">
        <v>344</v>
      </c>
      <c r="E574" s="103" t="s">
        <v>343</v>
      </c>
      <c r="F574" s="41">
        <v>250</v>
      </c>
      <c r="G574" s="41">
        <v>250</v>
      </c>
      <c r="H574" s="41">
        <v>250</v>
      </c>
    </row>
    <row r="575" spans="1:8" s="37" customFormat="1" ht="51">
      <c r="A575" s="85" t="s">
        <v>156</v>
      </c>
      <c r="B575" s="85" t="s">
        <v>145</v>
      </c>
      <c r="C575" s="57" t="s">
        <v>650</v>
      </c>
      <c r="D575" s="21"/>
      <c r="E575" s="54" t="s">
        <v>665</v>
      </c>
      <c r="F575" s="99">
        <f t="shared" ref="F575:H575" si="188">F576</f>
        <v>530</v>
      </c>
      <c r="G575" s="99">
        <f t="shared" si="188"/>
        <v>0</v>
      </c>
      <c r="H575" s="99">
        <f t="shared" si="188"/>
        <v>0</v>
      </c>
    </row>
    <row r="576" spans="1:8" s="37" customFormat="1" ht="14.25">
      <c r="A576" s="85" t="s">
        <v>156</v>
      </c>
      <c r="B576" s="85" t="s">
        <v>145</v>
      </c>
      <c r="C576" s="57" t="s">
        <v>650</v>
      </c>
      <c r="D576" s="21" t="s">
        <v>344</v>
      </c>
      <c r="E576" s="103" t="s">
        <v>343</v>
      </c>
      <c r="F576" s="99">
        <v>530</v>
      </c>
      <c r="G576" s="99">
        <v>0</v>
      </c>
      <c r="H576" s="99">
        <v>0</v>
      </c>
    </row>
    <row r="577" spans="1:8" s="37" customFormat="1" ht="76.5">
      <c r="A577" s="85" t="s">
        <v>156</v>
      </c>
      <c r="B577" s="85" t="s">
        <v>145</v>
      </c>
      <c r="C577" s="57" t="s">
        <v>575</v>
      </c>
      <c r="D577" s="35"/>
      <c r="E577" s="103" t="s">
        <v>445</v>
      </c>
      <c r="F577" s="41">
        <f t="shared" ref="F577:H577" si="189">F578</f>
        <v>33556.400000000001</v>
      </c>
      <c r="G577" s="41">
        <f t="shared" si="189"/>
        <v>31118.2</v>
      </c>
      <c r="H577" s="41">
        <f t="shared" si="189"/>
        <v>31118.2</v>
      </c>
    </row>
    <row r="578" spans="1:8" s="37" customFormat="1" ht="14.25">
      <c r="A578" s="85" t="s">
        <v>156</v>
      </c>
      <c r="B578" s="85" t="s">
        <v>145</v>
      </c>
      <c r="C578" s="57" t="s">
        <v>575</v>
      </c>
      <c r="D578" s="21" t="s">
        <v>344</v>
      </c>
      <c r="E578" s="103" t="s">
        <v>343</v>
      </c>
      <c r="F578" s="41">
        <f>33248.3-1.1-50+476.2-109.5-7.5</f>
        <v>33556.400000000001</v>
      </c>
      <c r="G578" s="41">
        <f>31119.3-1.1</f>
        <v>31118.2</v>
      </c>
      <c r="H578" s="41">
        <f>31119.3-1.1</f>
        <v>31118.2</v>
      </c>
    </row>
    <row r="579" spans="1:8" s="37" customFormat="1" ht="90.75" customHeight="1">
      <c r="A579" s="85" t="s">
        <v>156</v>
      </c>
      <c r="B579" s="85" t="s">
        <v>145</v>
      </c>
      <c r="C579" s="57" t="s">
        <v>577</v>
      </c>
      <c r="D579" s="21"/>
      <c r="E579" s="103" t="s">
        <v>502</v>
      </c>
      <c r="F579" s="41">
        <f t="shared" ref="F579:H579" si="190">F580</f>
        <v>5124.5</v>
      </c>
      <c r="G579" s="41">
        <f t="shared" si="190"/>
        <v>4615.3999999999996</v>
      </c>
      <c r="H579" s="41">
        <f t="shared" si="190"/>
        <v>4615.3999999999996</v>
      </c>
    </row>
    <row r="580" spans="1:8" s="37" customFormat="1" ht="14.25">
      <c r="A580" s="85" t="s">
        <v>156</v>
      </c>
      <c r="B580" s="85" t="s">
        <v>145</v>
      </c>
      <c r="C580" s="57" t="s">
        <v>577</v>
      </c>
      <c r="D580" s="21" t="s">
        <v>344</v>
      </c>
      <c r="E580" s="103" t="s">
        <v>343</v>
      </c>
      <c r="F580" s="41">
        <f>4615.4+509.1</f>
        <v>5124.5</v>
      </c>
      <c r="G580" s="41">
        <v>4615.3999999999996</v>
      </c>
      <c r="H580" s="41">
        <v>4615.3999999999996</v>
      </c>
    </row>
    <row r="581" spans="1:8" s="37" customFormat="1" ht="39.75" customHeight="1">
      <c r="A581" s="115" t="s">
        <v>156</v>
      </c>
      <c r="B581" s="115" t="s">
        <v>145</v>
      </c>
      <c r="C581" s="132" t="s">
        <v>578</v>
      </c>
      <c r="D581" s="130"/>
      <c r="E581" s="103" t="s">
        <v>509</v>
      </c>
      <c r="F581" s="113">
        <f t="shared" ref="F581:H581" si="191">F582</f>
        <v>52.400000000000006</v>
      </c>
      <c r="G581" s="113">
        <f t="shared" si="191"/>
        <v>47.300000000000004</v>
      </c>
      <c r="H581" s="113">
        <f t="shared" si="191"/>
        <v>47.300000000000004</v>
      </c>
    </row>
    <row r="582" spans="1:8" s="37" customFormat="1" ht="14.25">
      <c r="A582" s="115" t="s">
        <v>156</v>
      </c>
      <c r="B582" s="115" t="s">
        <v>145</v>
      </c>
      <c r="C582" s="132" t="s">
        <v>578</v>
      </c>
      <c r="D582" s="130" t="s">
        <v>344</v>
      </c>
      <c r="E582" s="103" t="s">
        <v>343</v>
      </c>
      <c r="F582" s="113">
        <f>46.2+1.1+5.1</f>
        <v>52.400000000000006</v>
      </c>
      <c r="G582" s="113">
        <f t="shared" ref="G582:H582" si="192">46.2+1.1</f>
        <v>47.300000000000004</v>
      </c>
      <c r="H582" s="113">
        <f t="shared" si="192"/>
        <v>47.300000000000004</v>
      </c>
    </row>
    <row r="583" spans="1:8" s="37" customFormat="1" ht="61.5" customHeight="1">
      <c r="A583" s="85" t="s">
        <v>156</v>
      </c>
      <c r="B583" s="85" t="s">
        <v>145</v>
      </c>
      <c r="C583" s="57" t="s">
        <v>741</v>
      </c>
      <c r="D583" s="57"/>
      <c r="E583" s="165" t="s">
        <v>759</v>
      </c>
      <c r="F583" s="113">
        <f>F584</f>
        <v>457.2</v>
      </c>
      <c r="G583" s="113">
        <f t="shared" ref="G583:H583" si="193">G584</f>
        <v>200</v>
      </c>
      <c r="H583" s="113">
        <f t="shared" si="193"/>
        <v>200</v>
      </c>
    </row>
    <row r="584" spans="1:8" s="37" customFormat="1" ht="14.25">
      <c r="A584" s="85" t="s">
        <v>156</v>
      </c>
      <c r="B584" s="85" t="s">
        <v>145</v>
      </c>
      <c r="C584" s="57" t="s">
        <v>741</v>
      </c>
      <c r="D584" s="21" t="s">
        <v>344</v>
      </c>
      <c r="E584" s="103" t="s">
        <v>343</v>
      </c>
      <c r="F584" s="113">
        <v>457.2</v>
      </c>
      <c r="G584" s="113">
        <v>200</v>
      </c>
      <c r="H584" s="113">
        <v>200</v>
      </c>
    </row>
    <row r="585" spans="1:8" s="37" customFormat="1" ht="53.25" customHeight="1">
      <c r="A585" s="115" t="s">
        <v>156</v>
      </c>
      <c r="B585" s="115" t="s">
        <v>145</v>
      </c>
      <c r="C585" s="57" t="s">
        <v>747</v>
      </c>
      <c r="D585" s="21"/>
      <c r="E585" s="103" t="s">
        <v>767</v>
      </c>
      <c r="F585" s="113">
        <f>F586</f>
        <v>149.5</v>
      </c>
      <c r="G585" s="113">
        <f t="shared" ref="G585:H585" si="194">G586</f>
        <v>0</v>
      </c>
      <c r="H585" s="113">
        <f t="shared" si="194"/>
        <v>0</v>
      </c>
    </row>
    <row r="586" spans="1:8" s="37" customFormat="1" ht="14.25">
      <c r="A586" s="115" t="s">
        <v>156</v>
      </c>
      <c r="B586" s="115" t="s">
        <v>145</v>
      </c>
      <c r="C586" s="57" t="s">
        <v>747</v>
      </c>
      <c r="D586" s="21" t="s">
        <v>344</v>
      </c>
      <c r="E586" s="103" t="s">
        <v>343</v>
      </c>
      <c r="F586" s="113">
        <v>149.5</v>
      </c>
      <c r="G586" s="113">
        <v>0</v>
      </c>
      <c r="H586" s="113">
        <v>0</v>
      </c>
    </row>
    <row r="587" spans="1:8" s="37" customFormat="1" ht="38.25">
      <c r="A587" s="115" t="s">
        <v>156</v>
      </c>
      <c r="B587" s="115" t="s">
        <v>145</v>
      </c>
      <c r="C587" s="52" t="s">
        <v>123</v>
      </c>
      <c r="D587" s="16"/>
      <c r="E587" s="46" t="s">
        <v>128</v>
      </c>
      <c r="F587" s="128">
        <f>F588</f>
        <v>50</v>
      </c>
      <c r="G587" s="128">
        <f t="shared" ref="G587:H587" si="195">G588</f>
        <v>0</v>
      </c>
      <c r="H587" s="128">
        <f t="shared" si="195"/>
        <v>0</v>
      </c>
    </row>
    <row r="588" spans="1:8" s="37" customFormat="1" ht="76.5">
      <c r="A588" s="115" t="s">
        <v>156</v>
      </c>
      <c r="B588" s="115" t="s">
        <v>145</v>
      </c>
      <c r="C588" s="57" t="s">
        <v>894</v>
      </c>
      <c r="D588" s="21"/>
      <c r="E588" s="103" t="s">
        <v>861</v>
      </c>
      <c r="F588" s="113">
        <f>F589</f>
        <v>50</v>
      </c>
      <c r="G588" s="113">
        <f t="shared" ref="G588:H588" si="196">G589</f>
        <v>0</v>
      </c>
      <c r="H588" s="113">
        <f t="shared" si="196"/>
        <v>0</v>
      </c>
    </row>
    <row r="589" spans="1:8" s="37" customFormat="1" ht="14.25">
      <c r="A589" s="115" t="s">
        <v>156</v>
      </c>
      <c r="B589" s="115" t="s">
        <v>145</v>
      </c>
      <c r="C589" s="57" t="s">
        <v>894</v>
      </c>
      <c r="D589" s="21" t="s">
        <v>344</v>
      </c>
      <c r="E589" s="103" t="s">
        <v>343</v>
      </c>
      <c r="F589" s="113">
        <v>50</v>
      </c>
      <c r="G589" s="113">
        <v>0</v>
      </c>
      <c r="H589" s="113">
        <v>0</v>
      </c>
    </row>
    <row r="590" spans="1:8" s="37" customFormat="1" ht="51" customHeight="1">
      <c r="A590" s="16" t="s">
        <v>156</v>
      </c>
      <c r="B590" s="85" t="s">
        <v>145</v>
      </c>
      <c r="C590" s="73" t="s">
        <v>101</v>
      </c>
      <c r="D590" s="35"/>
      <c r="E590" s="53" t="s">
        <v>556</v>
      </c>
      <c r="F590" s="65">
        <f t="shared" ref="F590:H590" si="197">F591</f>
        <v>15105.4</v>
      </c>
      <c r="G590" s="65">
        <f t="shared" si="197"/>
        <v>12669.800000000001</v>
      </c>
      <c r="H590" s="65">
        <f t="shared" si="197"/>
        <v>12669.800000000001</v>
      </c>
    </row>
    <row r="591" spans="1:8" s="37" customFormat="1" ht="25.5">
      <c r="A591" s="16" t="s">
        <v>156</v>
      </c>
      <c r="B591" s="85" t="s">
        <v>145</v>
      </c>
      <c r="C591" s="52" t="s">
        <v>102</v>
      </c>
      <c r="D591" s="35"/>
      <c r="E591" s="48" t="s">
        <v>250</v>
      </c>
      <c r="F591" s="58">
        <f>F592+F594+F596+F598+F600+F602</f>
        <v>15105.4</v>
      </c>
      <c r="G591" s="58">
        <f t="shared" ref="G591:H591" si="198">G592+G594+G596+G598+G602</f>
        <v>12669.800000000001</v>
      </c>
      <c r="H591" s="58">
        <f t="shared" si="198"/>
        <v>12669.800000000001</v>
      </c>
    </row>
    <row r="592" spans="1:8" s="37" customFormat="1" ht="24.75" customHeight="1">
      <c r="A592" s="16" t="s">
        <v>156</v>
      </c>
      <c r="B592" s="85" t="s">
        <v>145</v>
      </c>
      <c r="C592" s="74" t="s">
        <v>252</v>
      </c>
      <c r="D592" s="16"/>
      <c r="E592" s="175" t="s">
        <v>253</v>
      </c>
      <c r="F592" s="39">
        <f t="shared" ref="F592:H592" si="199">F593</f>
        <v>10863.599999999999</v>
      </c>
      <c r="G592" s="39">
        <f t="shared" si="199"/>
        <v>10325.5</v>
      </c>
      <c r="H592" s="39">
        <f t="shared" si="199"/>
        <v>10325.5</v>
      </c>
    </row>
    <row r="593" spans="1:8" s="37" customFormat="1" ht="17.25" customHeight="1">
      <c r="A593" s="16" t="s">
        <v>156</v>
      </c>
      <c r="B593" s="85" t="s">
        <v>145</v>
      </c>
      <c r="C593" s="74" t="s">
        <v>252</v>
      </c>
      <c r="D593" s="21" t="s">
        <v>344</v>
      </c>
      <c r="E593" s="103" t="s">
        <v>343</v>
      </c>
      <c r="F593" s="158">
        <f>11066.8-0.7-255.5+55.5-2.5</f>
        <v>10863.599999999999</v>
      </c>
      <c r="G593" s="39">
        <f>10326.2-0.7</f>
        <v>10325.5</v>
      </c>
      <c r="H593" s="39">
        <f>10326.2-0.7</f>
        <v>10325.5</v>
      </c>
    </row>
    <row r="594" spans="1:8" s="37" customFormat="1" ht="74.25" customHeight="1">
      <c r="A594" s="16" t="s">
        <v>156</v>
      </c>
      <c r="B594" s="85" t="s">
        <v>145</v>
      </c>
      <c r="C594" s="74">
        <v>210110690</v>
      </c>
      <c r="D594" s="21"/>
      <c r="E594" s="103" t="s">
        <v>499</v>
      </c>
      <c r="F594" s="39">
        <f t="shared" ref="F594:H594" si="200">F595</f>
        <v>2575.1</v>
      </c>
      <c r="G594" s="39">
        <f t="shared" si="200"/>
        <v>2320.6</v>
      </c>
      <c r="H594" s="39">
        <f t="shared" si="200"/>
        <v>2320.6</v>
      </c>
    </row>
    <row r="595" spans="1:8" s="37" customFormat="1" ht="17.25" customHeight="1">
      <c r="A595" s="16" t="s">
        <v>156</v>
      </c>
      <c r="B595" s="85" t="s">
        <v>145</v>
      </c>
      <c r="C595" s="74">
        <v>210110690</v>
      </c>
      <c r="D595" s="21" t="s">
        <v>344</v>
      </c>
      <c r="E595" s="103" t="s">
        <v>343</v>
      </c>
      <c r="F595" s="39">
        <f>2320.6+254.5</f>
        <v>2575.1</v>
      </c>
      <c r="G595" s="39">
        <v>2320.6</v>
      </c>
      <c r="H595" s="39">
        <v>2320.6</v>
      </c>
    </row>
    <row r="596" spans="1:8" s="37" customFormat="1" ht="66.75" customHeight="1">
      <c r="A596" s="16" t="s">
        <v>156</v>
      </c>
      <c r="B596" s="85" t="s">
        <v>145</v>
      </c>
      <c r="C596" s="74" t="s">
        <v>503</v>
      </c>
      <c r="D596" s="21"/>
      <c r="E596" s="103" t="s">
        <v>500</v>
      </c>
      <c r="F596" s="39">
        <f t="shared" ref="F596:H596" si="201">F597</f>
        <v>26.2</v>
      </c>
      <c r="G596" s="39">
        <f t="shared" si="201"/>
        <v>23.7</v>
      </c>
      <c r="H596" s="39">
        <f t="shared" si="201"/>
        <v>23.7</v>
      </c>
    </row>
    <row r="597" spans="1:8" s="37" customFormat="1" ht="17.25" customHeight="1">
      <c r="A597" s="16" t="s">
        <v>156</v>
      </c>
      <c r="B597" s="85" t="s">
        <v>145</v>
      </c>
      <c r="C597" s="74" t="s">
        <v>503</v>
      </c>
      <c r="D597" s="21" t="s">
        <v>344</v>
      </c>
      <c r="E597" s="103" t="s">
        <v>343</v>
      </c>
      <c r="F597" s="39">
        <f>23 +0.7+2.5</f>
        <v>26.2</v>
      </c>
      <c r="G597" s="39">
        <f t="shared" ref="G597:H597" si="202">23 +0.7</f>
        <v>23.7</v>
      </c>
      <c r="H597" s="39">
        <f t="shared" si="202"/>
        <v>23.7</v>
      </c>
    </row>
    <row r="598" spans="1:8" s="37" customFormat="1" ht="50.25" customHeight="1">
      <c r="A598" s="16" t="s">
        <v>156</v>
      </c>
      <c r="B598" s="85" t="s">
        <v>145</v>
      </c>
      <c r="C598" s="74" t="s">
        <v>790</v>
      </c>
      <c r="D598" s="21"/>
      <c r="E598" s="54" t="s">
        <v>792</v>
      </c>
      <c r="F598" s="39">
        <f>F599</f>
        <v>50.4</v>
      </c>
      <c r="G598" s="39">
        <f t="shared" ref="G598:H598" si="203">G599</f>
        <v>0</v>
      </c>
      <c r="H598" s="39">
        <f t="shared" si="203"/>
        <v>0</v>
      </c>
    </row>
    <row r="599" spans="1:8" s="37" customFormat="1" ht="17.25" customHeight="1">
      <c r="A599" s="16" t="s">
        <v>156</v>
      </c>
      <c r="B599" s="85" t="s">
        <v>145</v>
      </c>
      <c r="C599" s="74" t="s">
        <v>790</v>
      </c>
      <c r="D599" s="21" t="s">
        <v>344</v>
      </c>
      <c r="E599" s="103" t="s">
        <v>343</v>
      </c>
      <c r="F599" s="39">
        <v>50.4</v>
      </c>
      <c r="G599" s="39">
        <v>0</v>
      </c>
      <c r="H599" s="39">
        <v>0</v>
      </c>
    </row>
    <row r="600" spans="1:8" s="37" customFormat="1" ht="67.5" customHeight="1">
      <c r="A600" s="16" t="s">
        <v>156</v>
      </c>
      <c r="B600" s="85" t="s">
        <v>145</v>
      </c>
      <c r="C600" s="74" t="s">
        <v>967</v>
      </c>
      <c r="D600" s="21"/>
      <c r="E600" s="54" t="s">
        <v>973</v>
      </c>
      <c r="F600" s="39">
        <f>F601</f>
        <v>590.1</v>
      </c>
      <c r="G600" s="39">
        <f t="shared" ref="G600:H600" si="204">G601</f>
        <v>0</v>
      </c>
      <c r="H600" s="39">
        <f t="shared" si="204"/>
        <v>0</v>
      </c>
    </row>
    <row r="601" spans="1:8" s="37" customFormat="1" ht="17.25" customHeight="1">
      <c r="A601" s="16" t="s">
        <v>156</v>
      </c>
      <c r="B601" s="85" t="s">
        <v>145</v>
      </c>
      <c r="C601" s="74" t="s">
        <v>967</v>
      </c>
      <c r="D601" s="21" t="s">
        <v>344</v>
      </c>
      <c r="E601" s="103" t="s">
        <v>343</v>
      </c>
      <c r="F601" s="39">
        <v>590.1</v>
      </c>
      <c r="G601" s="39">
        <v>0</v>
      </c>
      <c r="H601" s="39">
        <v>0</v>
      </c>
    </row>
    <row r="602" spans="1:8" s="37" customFormat="1" ht="24.75" customHeight="1">
      <c r="A602" s="16" t="s">
        <v>156</v>
      </c>
      <c r="B602" s="85" t="s">
        <v>145</v>
      </c>
      <c r="C602" s="74" t="s">
        <v>800</v>
      </c>
      <c r="D602" s="21"/>
      <c r="E602" s="54" t="s">
        <v>801</v>
      </c>
      <c r="F602" s="39">
        <f>F603</f>
        <v>1000</v>
      </c>
      <c r="G602" s="39">
        <f t="shared" ref="G602:H602" si="205">G603</f>
        <v>0</v>
      </c>
      <c r="H602" s="39">
        <f t="shared" si="205"/>
        <v>0</v>
      </c>
    </row>
    <row r="603" spans="1:8" s="37" customFormat="1" ht="17.25" customHeight="1">
      <c r="A603" s="16" t="s">
        <v>156</v>
      </c>
      <c r="B603" s="85" t="s">
        <v>145</v>
      </c>
      <c r="C603" s="74" t="s">
        <v>800</v>
      </c>
      <c r="D603" s="21" t="s">
        <v>344</v>
      </c>
      <c r="E603" s="103" t="s">
        <v>343</v>
      </c>
      <c r="F603" s="39">
        <v>1000</v>
      </c>
      <c r="G603" s="39">
        <v>0</v>
      </c>
      <c r="H603" s="39">
        <v>0</v>
      </c>
    </row>
    <row r="604" spans="1:8" s="37" customFormat="1" ht="28.5" customHeight="1">
      <c r="A604" s="5" t="s">
        <v>156</v>
      </c>
      <c r="B604" s="5" t="s">
        <v>145</v>
      </c>
      <c r="C604" s="87">
        <v>9900000000</v>
      </c>
      <c r="D604" s="73"/>
      <c r="E604" s="154" t="s">
        <v>202</v>
      </c>
      <c r="F604" s="101">
        <f t="shared" ref="F604:H605" si="206">F605</f>
        <v>200</v>
      </c>
      <c r="G604" s="101">
        <f t="shared" si="206"/>
        <v>0</v>
      </c>
      <c r="H604" s="101">
        <f t="shared" si="206"/>
        <v>0</v>
      </c>
    </row>
    <row r="605" spans="1:8" s="37" customFormat="1" ht="39" customHeight="1">
      <c r="A605" s="16" t="s">
        <v>156</v>
      </c>
      <c r="B605" s="85" t="s">
        <v>145</v>
      </c>
      <c r="C605" s="85" t="s">
        <v>32</v>
      </c>
      <c r="D605" s="85"/>
      <c r="E605" s="105" t="s">
        <v>56</v>
      </c>
      <c r="F605" s="104">
        <f>F606</f>
        <v>200</v>
      </c>
      <c r="G605" s="104">
        <f t="shared" si="206"/>
        <v>0</v>
      </c>
      <c r="H605" s="104">
        <f t="shared" si="206"/>
        <v>0</v>
      </c>
    </row>
    <row r="606" spans="1:8" s="37" customFormat="1" ht="37.5" customHeight="1">
      <c r="A606" s="16" t="s">
        <v>156</v>
      </c>
      <c r="B606" s="85" t="s">
        <v>145</v>
      </c>
      <c r="C606" s="85" t="s">
        <v>633</v>
      </c>
      <c r="D606" s="16"/>
      <c r="E606" s="54" t="s">
        <v>593</v>
      </c>
      <c r="F606" s="41">
        <f>SUM(F607:F607)</f>
        <v>200</v>
      </c>
      <c r="G606" s="41">
        <f>SUM(G607:G607)</f>
        <v>0</v>
      </c>
      <c r="H606" s="41">
        <f>SUM(H607:H607)</f>
        <v>0</v>
      </c>
    </row>
    <row r="607" spans="1:8" s="37" customFormat="1" ht="14.25" customHeight="1">
      <c r="A607" s="16" t="s">
        <v>156</v>
      </c>
      <c r="B607" s="85" t="s">
        <v>145</v>
      </c>
      <c r="C607" s="85" t="s">
        <v>633</v>
      </c>
      <c r="D607" s="85" t="s">
        <v>344</v>
      </c>
      <c r="E607" s="103" t="s">
        <v>343</v>
      </c>
      <c r="F607" s="39">
        <v>200</v>
      </c>
      <c r="G607" s="39">
        <v>0</v>
      </c>
      <c r="H607" s="39">
        <v>0</v>
      </c>
    </row>
    <row r="608" spans="1:8" s="37" customFormat="1" ht="38.25">
      <c r="A608" s="35" t="s">
        <v>156</v>
      </c>
      <c r="B608" s="35" t="s">
        <v>147</v>
      </c>
      <c r="C608" s="35"/>
      <c r="D608" s="35"/>
      <c r="E608" s="46" t="s">
        <v>2</v>
      </c>
      <c r="F608" s="42">
        <f t="shared" ref="F608:H611" si="207">F609</f>
        <v>110</v>
      </c>
      <c r="G608" s="42">
        <f t="shared" si="207"/>
        <v>250</v>
      </c>
      <c r="H608" s="42">
        <f t="shared" si="207"/>
        <v>250</v>
      </c>
    </row>
    <row r="609" spans="1:8" s="37" customFormat="1" ht="51">
      <c r="A609" s="16" t="s">
        <v>156</v>
      </c>
      <c r="B609" s="16" t="s">
        <v>147</v>
      </c>
      <c r="C609" s="21" t="s">
        <v>121</v>
      </c>
      <c r="D609" s="35"/>
      <c r="E609" s="64" t="s">
        <v>552</v>
      </c>
      <c r="F609" s="62">
        <f t="shared" si="207"/>
        <v>110</v>
      </c>
      <c r="G609" s="62">
        <f t="shared" si="207"/>
        <v>250</v>
      </c>
      <c r="H609" s="62">
        <f t="shared" si="207"/>
        <v>250</v>
      </c>
    </row>
    <row r="610" spans="1:8" s="37" customFormat="1" ht="25.5">
      <c r="A610" s="16" t="s">
        <v>156</v>
      </c>
      <c r="B610" s="16" t="s">
        <v>147</v>
      </c>
      <c r="C610" s="52" t="s">
        <v>122</v>
      </c>
      <c r="D610" s="35"/>
      <c r="E610" s="46" t="s">
        <v>62</v>
      </c>
      <c r="F610" s="58">
        <f t="shared" si="207"/>
        <v>110</v>
      </c>
      <c r="G610" s="58">
        <f t="shared" si="207"/>
        <v>250</v>
      </c>
      <c r="H610" s="58">
        <f t="shared" si="207"/>
        <v>250</v>
      </c>
    </row>
    <row r="611" spans="1:8" s="37" customFormat="1" ht="38.25">
      <c r="A611" s="16" t="s">
        <v>156</v>
      </c>
      <c r="B611" s="16" t="s">
        <v>147</v>
      </c>
      <c r="C611" s="21" t="s">
        <v>570</v>
      </c>
      <c r="D611" s="35"/>
      <c r="E611" s="103" t="s">
        <v>68</v>
      </c>
      <c r="F611" s="41">
        <f t="shared" si="207"/>
        <v>110</v>
      </c>
      <c r="G611" s="41">
        <f t="shared" si="207"/>
        <v>250</v>
      </c>
      <c r="H611" s="41">
        <f t="shared" si="207"/>
        <v>250</v>
      </c>
    </row>
    <row r="612" spans="1:8" s="37" customFormat="1" ht="25.5">
      <c r="A612" s="16" t="s">
        <v>156</v>
      </c>
      <c r="B612" s="16" t="s">
        <v>147</v>
      </c>
      <c r="C612" s="21" t="s">
        <v>570</v>
      </c>
      <c r="D612" s="85" t="s">
        <v>107</v>
      </c>
      <c r="E612" s="55" t="s">
        <v>182</v>
      </c>
      <c r="F612" s="41">
        <f>250-140</f>
        <v>110</v>
      </c>
      <c r="G612" s="41">
        <v>250</v>
      </c>
      <c r="H612" s="41">
        <v>250</v>
      </c>
    </row>
    <row r="613" spans="1:8" s="37" customFormat="1" ht="14.25">
      <c r="A613" s="35" t="s">
        <v>156</v>
      </c>
      <c r="B613" s="35" t="s">
        <v>156</v>
      </c>
      <c r="C613" s="35"/>
      <c r="D613" s="35"/>
      <c r="E613" s="46" t="s">
        <v>224</v>
      </c>
      <c r="F613" s="42">
        <f>F614+F621+F638</f>
        <v>10949.8</v>
      </c>
      <c r="G613" s="42">
        <f>G614+G621+G638</f>
        <v>9474.2000000000007</v>
      </c>
      <c r="H613" s="42">
        <f>H614+H621+H638</f>
        <v>9474.2000000000007</v>
      </c>
    </row>
    <row r="614" spans="1:8" s="37" customFormat="1" ht="51">
      <c r="A614" s="16" t="s">
        <v>156</v>
      </c>
      <c r="B614" s="16" t="s">
        <v>156</v>
      </c>
      <c r="C614" s="21" t="s">
        <v>121</v>
      </c>
      <c r="D614" s="35"/>
      <c r="E614" s="64" t="s">
        <v>552</v>
      </c>
      <c r="F614" s="62">
        <f t="shared" ref="F614:H614" si="208">F615</f>
        <v>3765.1000000000004</v>
      </c>
      <c r="G614" s="62">
        <f t="shared" si="208"/>
        <v>3564.9</v>
      </c>
      <c r="H614" s="62">
        <f t="shared" si="208"/>
        <v>3564.9</v>
      </c>
    </row>
    <row r="615" spans="1:8" ht="25.5">
      <c r="A615" s="16" t="s">
        <v>156</v>
      </c>
      <c r="B615" s="16" t="s">
        <v>156</v>
      </c>
      <c r="C615" s="52" t="s">
        <v>122</v>
      </c>
      <c r="D615" s="35"/>
      <c r="E615" s="46" t="s">
        <v>62</v>
      </c>
      <c r="F615" s="58">
        <f t="shared" ref="F615:G615" si="209">F616+F618</f>
        <v>3765.1000000000004</v>
      </c>
      <c r="G615" s="58">
        <f t="shared" si="209"/>
        <v>3564.9</v>
      </c>
      <c r="H615" s="58">
        <f t="shared" ref="H615" si="210">H616+H618</f>
        <v>3564.9</v>
      </c>
    </row>
    <row r="616" spans="1:8">
      <c r="A616" s="16" t="s">
        <v>156</v>
      </c>
      <c r="B616" s="16" t="s">
        <v>156</v>
      </c>
      <c r="C616" s="57" t="s">
        <v>571</v>
      </c>
      <c r="D616" s="21"/>
      <c r="E616" s="103" t="s">
        <v>69</v>
      </c>
      <c r="F616" s="41">
        <f t="shared" ref="F616:H616" si="211">F617</f>
        <v>1200.2</v>
      </c>
      <c r="G616" s="41">
        <f t="shared" si="211"/>
        <v>1000</v>
      </c>
      <c r="H616" s="41">
        <f t="shared" si="211"/>
        <v>1000</v>
      </c>
    </row>
    <row r="617" spans="1:8">
      <c r="A617" s="16" t="s">
        <v>156</v>
      </c>
      <c r="B617" s="16" t="s">
        <v>156</v>
      </c>
      <c r="C617" s="57" t="s">
        <v>571</v>
      </c>
      <c r="D617" s="21" t="s">
        <v>344</v>
      </c>
      <c r="E617" s="103" t="s">
        <v>343</v>
      </c>
      <c r="F617" s="41">
        <v>1200.2</v>
      </c>
      <c r="G617" s="41">
        <v>1000</v>
      </c>
      <c r="H617" s="41">
        <v>1000</v>
      </c>
    </row>
    <row r="618" spans="1:8" ht="51">
      <c r="A618" s="16" t="s">
        <v>156</v>
      </c>
      <c r="B618" s="16" t="s">
        <v>156</v>
      </c>
      <c r="C618" s="57" t="s">
        <v>572</v>
      </c>
      <c r="D618" s="35"/>
      <c r="E618" s="131" t="s">
        <v>501</v>
      </c>
      <c r="F618" s="99">
        <f t="shared" ref="F618:H618" si="212">SUM(F619:F620)</f>
        <v>2564.9</v>
      </c>
      <c r="G618" s="99">
        <f t="shared" si="212"/>
        <v>2564.9</v>
      </c>
      <c r="H618" s="99">
        <f t="shared" si="212"/>
        <v>2564.9</v>
      </c>
    </row>
    <row r="619" spans="1:8">
      <c r="A619" s="16" t="s">
        <v>156</v>
      </c>
      <c r="B619" s="16" t="s">
        <v>156</v>
      </c>
      <c r="C619" s="57" t="s">
        <v>572</v>
      </c>
      <c r="D619" s="21" t="s">
        <v>344</v>
      </c>
      <c r="E619" s="103" t="s">
        <v>343</v>
      </c>
      <c r="F619" s="41">
        <v>1844.4</v>
      </c>
      <c r="G619" s="41">
        <v>1844.4</v>
      </c>
      <c r="H619" s="41">
        <v>1844.4</v>
      </c>
    </row>
    <row r="620" spans="1:8" ht="63.75">
      <c r="A620" s="16" t="s">
        <v>156</v>
      </c>
      <c r="B620" s="16" t="s">
        <v>156</v>
      </c>
      <c r="C620" s="57" t="s">
        <v>572</v>
      </c>
      <c r="D620" s="16" t="s">
        <v>15</v>
      </c>
      <c r="E620" s="103" t="s">
        <v>663</v>
      </c>
      <c r="F620" s="99">
        <v>720.5</v>
      </c>
      <c r="G620" s="99">
        <v>720.5</v>
      </c>
      <c r="H620" s="99">
        <v>720.5</v>
      </c>
    </row>
    <row r="621" spans="1:8" ht="54" customHeight="1">
      <c r="A621" s="16" t="s">
        <v>156</v>
      </c>
      <c r="B621" s="16" t="s">
        <v>156</v>
      </c>
      <c r="C621" s="73" t="s">
        <v>101</v>
      </c>
      <c r="D621" s="35"/>
      <c r="E621" s="53" t="s">
        <v>556</v>
      </c>
      <c r="F621" s="65">
        <f>F622+F633</f>
        <v>7134.7</v>
      </c>
      <c r="G621" s="65">
        <f>G622+G633</f>
        <v>5909.3</v>
      </c>
      <c r="H621" s="65">
        <f>H622+H633</f>
        <v>5909.3</v>
      </c>
    </row>
    <row r="622" spans="1:8" ht="25.5">
      <c r="A622" s="16" t="s">
        <v>156</v>
      </c>
      <c r="B622" s="16" t="s">
        <v>156</v>
      </c>
      <c r="C622" s="52" t="s">
        <v>39</v>
      </c>
      <c r="D622" s="21"/>
      <c r="E622" s="48" t="s">
        <v>257</v>
      </c>
      <c r="F622" s="41">
        <f>F623+F625+F627+F629+F631</f>
        <v>7084.7</v>
      </c>
      <c r="G622" s="41">
        <f t="shared" ref="G622:H622" si="213">G623+G625+G627+G629+G631</f>
        <v>5859.3</v>
      </c>
      <c r="H622" s="41">
        <f t="shared" si="213"/>
        <v>5859.3</v>
      </c>
    </row>
    <row r="623" spans="1:8" ht="51">
      <c r="A623" s="16" t="s">
        <v>156</v>
      </c>
      <c r="B623" s="16" t="s">
        <v>156</v>
      </c>
      <c r="C623" s="81" t="s">
        <v>40</v>
      </c>
      <c r="D623" s="16"/>
      <c r="E623" s="106" t="s">
        <v>311</v>
      </c>
      <c r="F623" s="39">
        <f t="shared" ref="F623:H623" si="214">F624</f>
        <v>6.6</v>
      </c>
      <c r="G623" s="39">
        <f t="shared" si="214"/>
        <v>5</v>
      </c>
      <c r="H623" s="39">
        <f t="shared" si="214"/>
        <v>5</v>
      </c>
    </row>
    <row r="624" spans="1:8" ht="38.25">
      <c r="A624" s="16" t="s">
        <v>156</v>
      </c>
      <c r="B624" s="16" t="s">
        <v>156</v>
      </c>
      <c r="C624" s="81" t="s">
        <v>40</v>
      </c>
      <c r="D624" s="85" t="s">
        <v>325</v>
      </c>
      <c r="E624" s="103" t="s">
        <v>326</v>
      </c>
      <c r="F624" s="41">
        <v>6.6</v>
      </c>
      <c r="G624" s="41">
        <v>5</v>
      </c>
      <c r="H624" s="41">
        <v>5</v>
      </c>
    </row>
    <row r="625" spans="1:8" ht="25.5">
      <c r="A625" s="16" t="s">
        <v>156</v>
      </c>
      <c r="B625" s="16" t="s">
        <v>156</v>
      </c>
      <c r="C625" s="81" t="s">
        <v>41</v>
      </c>
      <c r="D625" s="16"/>
      <c r="E625" s="103" t="s">
        <v>258</v>
      </c>
      <c r="F625" s="41">
        <f t="shared" ref="F625:H625" si="215">F626</f>
        <v>289.60000000000002</v>
      </c>
      <c r="G625" s="41">
        <f t="shared" si="215"/>
        <v>130</v>
      </c>
      <c r="H625" s="41">
        <f t="shared" si="215"/>
        <v>130</v>
      </c>
    </row>
    <row r="626" spans="1:8" ht="38.25">
      <c r="A626" s="16" t="s">
        <v>156</v>
      </c>
      <c r="B626" s="16" t="s">
        <v>156</v>
      </c>
      <c r="C626" s="81" t="s">
        <v>41</v>
      </c>
      <c r="D626" s="85" t="s">
        <v>325</v>
      </c>
      <c r="E626" s="103" t="s">
        <v>326</v>
      </c>
      <c r="F626" s="41">
        <v>289.60000000000002</v>
      </c>
      <c r="G626" s="41">
        <v>130</v>
      </c>
      <c r="H626" s="41">
        <v>130</v>
      </c>
    </row>
    <row r="627" spans="1:8" ht="63.75">
      <c r="A627" s="16" t="s">
        <v>156</v>
      </c>
      <c r="B627" s="16" t="s">
        <v>156</v>
      </c>
      <c r="C627" s="81" t="s">
        <v>42</v>
      </c>
      <c r="D627" s="16"/>
      <c r="E627" s="103" t="s">
        <v>129</v>
      </c>
      <c r="F627" s="41">
        <f t="shared" ref="F627:H627" si="216">F628</f>
        <v>15</v>
      </c>
      <c r="G627" s="41">
        <f t="shared" si="216"/>
        <v>15</v>
      </c>
      <c r="H627" s="41">
        <f t="shared" si="216"/>
        <v>15</v>
      </c>
    </row>
    <row r="628" spans="1:8" ht="40.5" customHeight="1">
      <c r="A628" s="16" t="s">
        <v>156</v>
      </c>
      <c r="B628" s="16" t="s">
        <v>156</v>
      </c>
      <c r="C628" s="81" t="s">
        <v>42</v>
      </c>
      <c r="D628" s="85" t="s">
        <v>325</v>
      </c>
      <c r="E628" s="103" t="s">
        <v>326</v>
      </c>
      <c r="F628" s="41">
        <v>15</v>
      </c>
      <c r="G628" s="41">
        <v>15</v>
      </c>
      <c r="H628" s="41">
        <v>15</v>
      </c>
    </row>
    <row r="629" spans="1:8" ht="42.75" customHeight="1">
      <c r="A629" s="16" t="s">
        <v>156</v>
      </c>
      <c r="B629" s="16" t="s">
        <v>156</v>
      </c>
      <c r="C629" s="74" t="s">
        <v>313</v>
      </c>
      <c r="D629" s="16"/>
      <c r="E629" s="103" t="s">
        <v>0</v>
      </c>
      <c r="F629" s="41">
        <f>F630</f>
        <v>6723.5</v>
      </c>
      <c r="G629" s="41">
        <f>G630</f>
        <v>5709.3</v>
      </c>
      <c r="H629" s="41">
        <f>H630</f>
        <v>5709.3</v>
      </c>
    </row>
    <row r="630" spans="1:8">
      <c r="A630" s="16" t="s">
        <v>156</v>
      </c>
      <c r="B630" s="16" t="s">
        <v>156</v>
      </c>
      <c r="C630" s="74" t="s">
        <v>313</v>
      </c>
      <c r="D630" s="85" t="s">
        <v>344</v>
      </c>
      <c r="E630" s="103" t="s">
        <v>343</v>
      </c>
      <c r="F630" s="41">
        <v>6723.5</v>
      </c>
      <c r="G630" s="41">
        <v>5709.3</v>
      </c>
      <c r="H630" s="41">
        <v>5709.3</v>
      </c>
    </row>
    <row r="631" spans="1:8">
      <c r="A631" s="16" t="s">
        <v>156</v>
      </c>
      <c r="B631" s="16" t="s">
        <v>156</v>
      </c>
      <c r="C631" s="74" t="s">
        <v>751</v>
      </c>
      <c r="D631" s="85"/>
      <c r="E631" s="103" t="s">
        <v>752</v>
      </c>
      <c r="F631" s="41">
        <f>F632</f>
        <v>50</v>
      </c>
      <c r="G631" s="41">
        <f t="shared" ref="G631:H631" si="217">G632</f>
        <v>0</v>
      </c>
      <c r="H631" s="41">
        <f t="shared" si="217"/>
        <v>0</v>
      </c>
    </row>
    <row r="632" spans="1:8" ht="38.25">
      <c r="A632" s="16" t="s">
        <v>156</v>
      </c>
      <c r="B632" s="16" t="s">
        <v>156</v>
      </c>
      <c r="C632" s="74" t="s">
        <v>751</v>
      </c>
      <c r="D632" s="85" t="s">
        <v>325</v>
      </c>
      <c r="E632" s="103" t="s">
        <v>326</v>
      </c>
      <c r="F632" s="41">
        <v>50</v>
      </c>
      <c r="G632" s="41">
        <v>0</v>
      </c>
      <c r="H632" s="41">
        <v>0</v>
      </c>
    </row>
    <row r="633" spans="1:8" ht="76.5">
      <c r="A633" s="16" t="s">
        <v>156</v>
      </c>
      <c r="B633" s="16" t="s">
        <v>156</v>
      </c>
      <c r="C633" s="75">
        <v>240000000</v>
      </c>
      <c r="D633" s="16"/>
      <c r="E633" s="48" t="s">
        <v>260</v>
      </c>
      <c r="F633" s="98">
        <f t="shared" ref="F633:G633" si="218">F634+F636</f>
        <v>50</v>
      </c>
      <c r="G633" s="98">
        <f t="shared" si="218"/>
        <v>50</v>
      </c>
      <c r="H633" s="98">
        <f t="shared" ref="H633" si="219">H634+H636</f>
        <v>50</v>
      </c>
    </row>
    <row r="634" spans="1:8" ht="102">
      <c r="A634" s="16" t="s">
        <v>156</v>
      </c>
      <c r="B634" s="16" t="s">
        <v>156</v>
      </c>
      <c r="C634" s="74" t="s">
        <v>590</v>
      </c>
      <c r="D634" s="16"/>
      <c r="E634" s="103" t="s">
        <v>262</v>
      </c>
      <c r="F634" s="41">
        <f t="shared" ref="F634:H634" si="220">F635</f>
        <v>5</v>
      </c>
      <c r="G634" s="41">
        <f t="shared" si="220"/>
        <v>5</v>
      </c>
      <c r="H634" s="41">
        <f t="shared" si="220"/>
        <v>5</v>
      </c>
    </row>
    <row r="635" spans="1:8" ht="38.25">
      <c r="A635" s="16" t="s">
        <v>156</v>
      </c>
      <c r="B635" s="16" t="s">
        <v>156</v>
      </c>
      <c r="C635" s="74" t="s">
        <v>590</v>
      </c>
      <c r="D635" s="85" t="s">
        <v>325</v>
      </c>
      <c r="E635" s="103" t="s">
        <v>326</v>
      </c>
      <c r="F635" s="41">
        <v>5</v>
      </c>
      <c r="G635" s="41">
        <v>5</v>
      </c>
      <c r="H635" s="41">
        <v>5</v>
      </c>
    </row>
    <row r="636" spans="1:8">
      <c r="A636" s="16" t="s">
        <v>156</v>
      </c>
      <c r="B636" s="16" t="s">
        <v>156</v>
      </c>
      <c r="C636" s="74" t="s">
        <v>591</v>
      </c>
      <c r="D636" s="16"/>
      <c r="E636" s="103" t="s">
        <v>264</v>
      </c>
      <c r="F636" s="41">
        <f t="shared" ref="F636:H636" si="221">F637</f>
        <v>45</v>
      </c>
      <c r="G636" s="41">
        <f t="shared" si="221"/>
        <v>45</v>
      </c>
      <c r="H636" s="41">
        <f t="shared" si="221"/>
        <v>45</v>
      </c>
    </row>
    <row r="637" spans="1:8" ht="38.25">
      <c r="A637" s="16" t="s">
        <v>156</v>
      </c>
      <c r="B637" s="16" t="s">
        <v>156</v>
      </c>
      <c r="C637" s="74" t="s">
        <v>591</v>
      </c>
      <c r="D637" s="85" t="s">
        <v>325</v>
      </c>
      <c r="E637" s="103" t="s">
        <v>326</v>
      </c>
      <c r="F637" s="41">
        <v>45</v>
      </c>
      <c r="G637" s="41">
        <v>45</v>
      </c>
      <c r="H637" s="41">
        <v>45</v>
      </c>
    </row>
    <row r="638" spans="1:8" ht="25.5">
      <c r="A638" s="5" t="s">
        <v>156</v>
      </c>
      <c r="B638" s="5" t="s">
        <v>156</v>
      </c>
      <c r="C638" s="87">
        <v>9900000000</v>
      </c>
      <c r="D638" s="73"/>
      <c r="E638" s="154" t="s">
        <v>202</v>
      </c>
      <c r="F638" s="101">
        <f t="shared" ref="F638:H639" si="222">F639</f>
        <v>50</v>
      </c>
      <c r="G638" s="101">
        <f t="shared" si="222"/>
        <v>0</v>
      </c>
      <c r="H638" s="101">
        <f t="shared" si="222"/>
        <v>0</v>
      </c>
    </row>
    <row r="639" spans="1:8" ht="38.25">
      <c r="A639" s="16" t="s">
        <v>156</v>
      </c>
      <c r="B639" s="85" t="s">
        <v>156</v>
      </c>
      <c r="C639" s="85" t="s">
        <v>32</v>
      </c>
      <c r="D639" s="85"/>
      <c r="E639" s="105" t="s">
        <v>56</v>
      </c>
      <c r="F639" s="104">
        <f t="shared" si="222"/>
        <v>50</v>
      </c>
      <c r="G639" s="104">
        <f t="shared" si="222"/>
        <v>0</v>
      </c>
      <c r="H639" s="104">
        <f t="shared" si="222"/>
        <v>0</v>
      </c>
    </row>
    <row r="640" spans="1:8" ht="51">
      <c r="A640" s="16" t="s">
        <v>156</v>
      </c>
      <c r="B640" s="85" t="s">
        <v>156</v>
      </c>
      <c r="C640" s="85" t="s">
        <v>633</v>
      </c>
      <c r="D640" s="16"/>
      <c r="E640" s="54" t="s">
        <v>593</v>
      </c>
      <c r="F640" s="41">
        <f>SUM(F641:F641)</f>
        <v>50</v>
      </c>
      <c r="G640" s="41">
        <f>SUM(G641:G641)</f>
        <v>0</v>
      </c>
      <c r="H640" s="41">
        <f>SUM(H641:H641)</f>
        <v>0</v>
      </c>
    </row>
    <row r="641" spans="1:8">
      <c r="A641" s="16" t="s">
        <v>156</v>
      </c>
      <c r="B641" s="85" t="s">
        <v>156</v>
      </c>
      <c r="C641" s="85" t="s">
        <v>633</v>
      </c>
      <c r="D641" s="85" t="s">
        <v>344</v>
      </c>
      <c r="E641" s="103" t="s">
        <v>343</v>
      </c>
      <c r="F641" s="39">
        <v>50</v>
      </c>
      <c r="G641" s="39">
        <v>0</v>
      </c>
      <c r="H641" s="39">
        <v>0</v>
      </c>
    </row>
    <row r="642" spans="1:8" ht="25.5">
      <c r="A642" s="35" t="s">
        <v>156</v>
      </c>
      <c r="B642" s="35" t="s">
        <v>151</v>
      </c>
      <c r="C642" s="35"/>
      <c r="D642" s="35"/>
      <c r="E642" s="46" t="s">
        <v>161</v>
      </c>
      <c r="F642" s="42">
        <f t="shared" ref="F642:H642" si="223">F643</f>
        <v>8275.6</v>
      </c>
      <c r="G642" s="42">
        <f t="shared" si="223"/>
        <v>8227.7999999999993</v>
      </c>
      <c r="H642" s="42">
        <f t="shared" si="223"/>
        <v>8227.7999999999993</v>
      </c>
    </row>
    <row r="643" spans="1:8" s="20" customFormat="1" ht="51.75">
      <c r="A643" s="16" t="s">
        <v>156</v>
      </c>
      <c r="B643" s="16" t="s">
        <v>151</v>
      </c>
      <c r="C643" s="21" t="s">
        <v>121</v>
      </c>
      <c r="D643" s="35"/>
      <c r="E643" s="64" t="s">
        <v>557</v>
      </c>
      <c r="F643" s="62">
        <f>F644+F658+F665</f>
        <v>8275.6</v>
      </c>
      <c r="G643" s="62">
        <f>G644+G658+G665</f>
        <v>8227.7999999999993</v>
      </c>
      <c r="H643" s="62">
        <f>H644+H658+H665</f>
        <v>8227.7999999999993</v>
      </c>
    </row>
    <row r="644" spans="1:8" s="20" customFormat="1" ht="26.25">
      <c r="A644" s="16" t="s">
        <v>156</v>
      </c>
      <c r="B644" s="16" t="s">
        <v>151</v>
      </c>
      <c r="C644" s="52" t="s">
        <v>122</v>
      </c>
      <c r="D644" s="35"/>
      <c r="E644" s="46" t="s">
        <v>62</v>
      </c>
      <c r="F644" s="58">
        <f>F645+F647+F649+F652+F654+F656</f>
        <v>895.9</v>
      </c>
      <c r="G644" s="58">
        <f t="shared" ref="G644:H644" si="224">G645+G647+G649+G652+G654+G656</f>
        <v>859.3</v>
      </c>
      <c r="H644" s="58">
        <f t="shared" si="224"/>
        <v>859.3</v>
      </c>
    </row>
    <row r="645" spans="1:8" s="20" customFormat="1" ht="38.25">
      <c r="A645" s="16" t="s">
        <v>156</v>
      </c>
      <c r="B645" s="16" t="s">
        <v>151</v>
      </c>
      <c r="C645" s="21" t="s">
        <v>559</v>
      </c>
      <c r="D645" s="21"/>
      <c r="E645" s="103" t="s">
        <v>74</v>
      </c>
      <c r="F645" s="99">
        <f t="shared" ref="F645:H645" si="225">F646</f>
        <v>176.1</v>
      </c>
      <c r="G645" s="99">
        <f t="shared" si="225"/>
        <v>126</v>
      </c>
      <c r="H645" s="99">
        <f t="shared" si="225"/>
        <v>126</v>
      </c>
    </row>
    <row r="646" spans="1:8" s="20" customFormat="1" ht="38.25">
      <c r="A646" s="16" t="s">
        <v>156</v>
      </c>
      <c r="B646" s="16" t="s">
        <v>151</v>
      </c>
      <c r="C646" s="21" t="s">
        <v>559</v>
      </c>
      <c r="D646" s="85" t="s">
        <v>325</v>
      </c>
      <c r="E646" s="103" t="s">
        <v>326</v>
      </c>
      <c r="F646" s="99">
        <v>176.1</v>
      </c>
      <c r="G646" s="99">
        <v>126</v>
      </c>
      <c r="H646" s="99">
        <v>126</v>
      </c>
    </row>
    <row r="647" spans="1:8" s="20" customFormat="1" ht="38.25">
      <c r="A647" s="16" t="s">
        <v>156</v>
      </c>
      <c r="B647" s="16" t="s">
        <v>151</v>
      </c>
      <c r="C647" s="21" t="s">
        <v>568</v>
      </c>
      <c r="D647" s="16"/>
      <c r="E647" s="103" t="s">
        <v>440</v>
      </c>
      <c r="F647" s="99">
        <f t="shared" ref="F647:H647" si="226">F648</f>
        <v>25.799999999999997</v>
      </c>
      <c r="G647" s="99">
        <f t="shared" si="226"/>
        <v>79.099999999999994</v>
      </c>
      <c r="H647" s="99">
        <f t="shared" si="226"/>
        <v>79.099999999999994</v>
      </c>
    </row>
    <row r="648" spans="1:8" s="20" customFormat="1" ht="25.5">
      <c r="A648" s="16" t="s">
        <v>156</v>
      </c>
      <c r="B648" s="16" t="s">
        <v>151</v>
      </c>
      <c r="C648" s="21" t="s">
        <v>568</v>
      </c>
      <c r="D648" s="85" t="s">
        <v>107</v>
      </c>
      <c r="E648" s="55" t="s">
        <v>182</v>
      </c>
      <c r="F648" s="99">
        <f>68.3-42.5</f>
        <v>25.799999999999997</v>
      </c>
      <c r="G648" s="99">
        <v>79.099999999999994</v>
      </c>
      <c r="H648" s="99">
        <v>79.099999999999994</v>
      </c>
    </row>
    <row r="649" spans="1:8" s="20" customFormat="1" ht="38.25">
      <c r="A649" s="16" t="s">
        <v>156</v>
      </c>
      <c r="B649" s="16" t="s">
        <v>151</v>
      </c>
      <c r="C649" s="57" t="s">
        <v>573</v>
      </c>
      <c r="D649" s="21"/>
      <c r="E649" s="103" t="s">
        <v>186</v>
      </c>
      <c r="F649" s="41">
        <f t="shared" ref="F649:G649" si="227">SUM(F650:F651)</f>
        <v>120</v>
      </c>
      <c r="G649" s="41">
        <f t="shared" si="227"/>
        <v>140</v>
      </c>
      <c r="H649" s="41">
        <f t="shared" ref="H649" si="228">SUM(H650:H651)</f>
        <v>140</v>
      </c>
    </row>
    <row r="650" spans="1:8" s="20" customFormat="1" ht="25.5">
      <c r="A650" s="16" t="s">
        <v>156</v>
      </c>
      <c r="B650" s="16" t="s">
        <v>151</v>
      </c>
      <c r="C650" s="57" t="s">
        <v>573</v>
      </c>
      <c r="D650" s="85" t="s">
        <v>107</v>
      </c>
      <c r="E650" s="55" t="s">
        <v>182</v>
      </c>
      <c r="F650" s="41">
        <v>54</v>
      </c>
      <c r="G650" s="41">
        <v>54</v>
      </c>
      <c r="H650" s="41">
        <v>54</v>
      </c>
    </row>
    <row r="651" spans="1:8" s="20" customFormat="1" ht="38.25">
      <c r="A651" s="16" t="s">
        <v>156</v>
      </c>
      <c r="B651" s="16" t="s">
        <v>151</v>
      </c>
      <c r="C651" s="57" t="s">
        <v>573</v>
      </c>
      <c r="D651" s="21" t="s">
        <v>325</v>
      </c>
      <c r="E651" s="103" t="s">
        <v>326</v>
      </c>
      <c r="F651" s="41">
        <f>86-20</f>
        <v>66</v>
      </c>
      <c r="G651" s="41">
        <v>86</v>
      </c>
      <c r="H651" s="41">
        <v>86</v>
      </c>
    </row>
    <row r="652" spans="1:8" s="20" customFormat="1" ht="63.75">
      <c r="A652" s="16" t="s">
        <v>156</v>
      </c>
      <c r="B652" s="16" t="s">
        <v>151</v>
      </c>
      <c r="C652" s="57" t="s">
        <v>576</v>
      </c>
      <c r="D652" s="21"/>
      <c r="E652" s="103" t="s">
        <v>185</v>
      </c>
      <c r="F652" s="41">
        <f t="shared" ref="F652:H652" si="229">F653</f>
        <v>370.20000000000005</v>
      </c>
      <c r="G652" s="41">
        <f t="shared" si="229"/>
        <v>310.39999999999998</v>
      </c>
      <c r="H652" s="41">
        <f t="shared" si="229"/>
        <v>310.39999999999998</v>
      </c>
    </row>
    <row r="653" spans="1:8" s="20" customFormat="1" ht="38.25">
      <c r="A653" s="16" t="s">
        <v>156</v>
      </c>
      <c r="B653" s="16" t="s">
        <v>151</v>
      </c>
      <c r="C653" s="57" t="s">
        <v>576</v>
      </c>
      <c r="D653" s="85" t="s">
        <v>325</v>
      </c>
      <c r="E653" s="103" t="s">
        <v>326</v>
      </c>
      <c r="F653" s="41">
        <f>303.6+66.6</f>
        <v>370.20000000000005</v>
      </c>
      <c r="G653" s="41">
        <v>310.39999999999998</v>
      </c>
      <c r="H653" s="41">
        <v>310.39999999999998</v>
      </c>
    </row>
    <row r="654" spans="1:8" s="20" customFormat="1" ht="64.5">
      <c r="A654" s="16" t="s">
        <v>156</v>
      </c>
      <c r="B654" s="16" t="s">
        <v>151</v>
      </c>
      <c r="C654" s="57" t="s">
        <v>617</v>
      </c>
      <c r="D654" s="21"/>
      <c r="E654" s="131" t="s">
        <v>618</v>
      </c>
      <c r="F654" s="41">
        <f t="shared" ref="F654:H654" si="230">F655</f>
        <v>20.399999999999999</v>
      </c>
      <c r="G654" s="41">
        <f t="shared" si="230"/>
        <v>20.399999999999999</v>
      </c>
      <c r="H654" s="41">
        <f t="shared" si="230"/>
        <v>20.399999999999999</v>
      </c>
    </row>
    <row r="655" spans="1:8" s="20" customFormat="1" ht="38.25">
      <c r="A655" s="16" t="s">
        <v>156</v>
      </c>
      <c r="B655" s="16" t="s">
        <v>151</v>
      </c>
      <c r="C655" s="57" t="s">
        <v>617</v>
      </c>
      <c r="D655" s="85" t="s">
        <v>325</v>
      </c>
      <c r="E655" s="103" t="s">
        <v>326</v>
      </c>
      <c r="F655" s="41">
        <v>20.399999999999999</v>
      </c>
      <c r="G655" s="41">
        <v>20.399999999999999</v>
      </c>
      <c r="H655" s="41">
        <v>20.399999999999999</v>
      </c>
    </row>
    <row r="656" spans="1:8" s="20" customFormat="1" ht="38.25" customHeight="1">
      <c r="A656" s="16" t="s">
        <v>156</v>
      </c>
      <c r="B656" s="16" t="s">
        <v>151</v>
      </c>
      <c r="C656" s="57" t="s">
        <v>619</v>
      </c>
      <c r="D656" s="21"/>
      <c r="E656" s="131" t="s">
        <v>620</v>
      </c>
      <c r="F656" s="99">
        <f t="shared" ref="F656:H656" si="231">F657</f>
        <v>183.4</v>
      </c>
      <c r="G656" s="99">
        <f t="shared" si="231"/>
        <v>183.4</v>
      </c>
      <c r="H656" s="99">
        <f t="shared" si="231"/>
        <v>183.4</v>
      </c>
    </row>
    <row r="657" spans="1:8" s="20" customFormat="1" ht="38.25">
      <c r="A657" s="16" t="s">
        <v>156</v>
      </c>
      <c r="B657" s="16" t="s">
        <v>151</v>
      </c>
      <c r="C657" s="57" t="s">
        <v>619</v>
      </c>
      <c r="D657" s="85" t="s">
        <v>325</v>
      </c>
      <c r="E657" s="103" t="s">
        <v>326</v>
      </c>
      <c r="F657" s="99">
        <v>183.4</v>
      </c>
      <c r="G657" s="99">
        <v>183.4</v>
      </c>
      <c r="H657" s="99">
        <v>183.4</v>
      </c>
    </row>
    <row r="658" spans="1:8" s="20" customFormat="1" ht="39">
      <c r="A658" s="16" t="s">
        <v>156</v>
      </c>
      <c r="B658" s="16" t="s">
        <v>151</v>
      </c>
      <c r="C658" s="52" t="s">
        <v>123</v>
      </c>
      <c r="D658" s="21"/>
      <c r="E658" s="46" t="s">
        <v>128</v>
      </c>
      <c r="F658" s="58">
        <f>F659+F661+F663</f>
        <v>340</v>
      </c>
      <c r="G658" s="58">
        <f t="shared" ref="G658" si="232">G659+G661</f>
        <v>330.4</v>
      </c>
      <c r="H658" s="58">
        <f t="shared" ref="H658" si="233">H659+H661</f>
        <v>330.4</v>
      </c>
    </row>
    <row r="659" spans="1:8" s="36" customFormat="1" ht="53.25" customHeight="1">
      <c r="A659" s="16" t="s">
        <v>156</v>
      </c>
      <c r="B659" s="16" t="s">
        <v>151</v>
      </c>
      <c r="C659" s="57" t="s">
        <v>579</v>
      </c>
      <c r="D659" s="16"/>
      <c r="E659" s="103" t="s">
        <v>71</v>
      </c>
      <c r="F659" s="41">
        <f t="shared" ref="F659:H659" si="234">F660</f>
        <v>161</v>
      </c>
      <c r="G659" s="41">
        <f t="shared" si="234"/>
        <v>244.5</v>
      </c>
      <c r="H659" s="41">
        <f t="shared" si="234"/>
        <v>244.5</v>
      </c>
    </row>
    <row r="660" spans="1:8" ht="38.25">
      <c r="A660" s="16" t="s">
        <v>156</v>
      </c>
      <c r="B660" s="16" t="s">
        <v>151</v>
      </c>
      <c r="C660" s="57" t="s">
        <v>579</v>
      </c>
      <c r="D660" s="85" t="s">
        <v>325</v>
      </c>
      <c r="E660" s="103" t="s">
        <v>326</v>
      </c>
      <c r="F660" s="41">
        <f>244.5-83.5</f>
        <v>161</v>
      </c>
      <c r="G660" s="41">
        <v>244.5</v>
      </c>
      <c r="H660" s="41">
        <v>244.5</v>
      </c>
    </row>
    <row r="661" spans="1:8" ht="39" customHeight="1">
      <c r="A661" s="16" t="s">
        <v>156</v>
      </c>
      <c r="B661" s="16" t="s">
        <v>151</v>
      </c>
      <c r="C661" s="57" t="s">
        <v>125</v>
      </c>
      <c r="D661" s="16"/>
      <c r="E661" s="103" t="s">
        <v>187</v>
      </c>
      <c r="F661" s="41">
        <f t="shared" ref="F661:H661" si="235">F662</f>
        <v>129</v>
      </c>
      <c r="G661" s="41">
        <f t="shared" si="235"/>
        <v>85.9</v>
      </c>
      <c r="H661" s="41">
        <f t="shared" si="235"/>
        <v>85.9</v>
      </c>
    </row>
    <row r="662" spans="1:8" ht="17.25" customHeight="1">
      <c r="A662" s="16" t="s">
        <v>156</v>
      </c>
      <c r="B662" s="16" t="s">
        <v>151</v>
      </c>
      <c r="C662" s="57" t="s">
        <v>125</v>
      </c>
      <c r="D662" s="85" t="s">
        <v>640</v>
      </c>
      <c r="E662" s="103" t="s">
        <v>641</v>
      </c>
      <c r="F662" s="41">
        <f>129.1+39-39.1</f>
        <v>129</v>
      </c>
      <c r="G662" s="41">
        <v>85.9</v>
      </c>
      <c r="H662" s="41">
        <v>85.9</v>
      </c>
    </row>
    <row r="663" spans="1:8" ht="36.75" customHeight="1">
      <c r="A663" s="16" t="s">
        <v>156</v>
      </c>
      <c r="B663" s="16" t="s">
        <v>151</v>
      </c>
      <c r="C663" s="57" t="s">
        <v>827</v>
      </c>
      <c r="D663" s="21"/>
      <c r="E663" s="183" t="s">
        <v>828</v>
      </c>
      <c r="F663" s="99">
        <f>F664</f>
        <v>50</v>
      </c>
      <c r="G663" s="99">
        <f t="shared" ref="G663:H663" si="236">G664</f>
        <v>0</v>
      </c>
      <c r="H663" s="99">
        <f t="shared" si="236"/>
        <v>0</v>
      </c>
    </row>
    <row r="664" spans="1:8" ht="37.5" customHeight="1">
      <c r="A664" s="16" t="s">
        <v>156</v>
      </c>
      <c r="B664" s="16" t="s">
        <v>151</v>
      </c>
      <c r="C664" s="57" t="s">
        <v>827</v>
      </c>
      <c r="D664" s="84" t="s">
        <v>325</v>
      </c>
      <c r="E664" s="184" t="s">
        <v>326</v>
      </c>
      <c r="F664" s="99">
        <v>50</v>
      </c>
      <c r="G664" s="99">
        <v>0</v>
      </c>
      <c r="H664" s="99">
        <v>0</v>
      </c>
    </row>
    <row r="665" spans="1:8">
      <c r="A665" s="16" t="s">
        <v>156</v>
      </c>
      <c r="B665" s="16" t="s">
        <v>151</v>
      </c>
      <c r="C665" s="52" t="s">
        <v>124</v>
      </c>
      <c r="D665" s="21"/>
      <c r="E665" s="66" t="s">
        <v>70</v>
      </c>
      <c r="F665" s="58">
        <f t="shared" ref="F665:H665" si="237">F666</f>
        <v>7039.7</v>
      </c>
      <c r="G665" s="58">
        <f t="shared" si="237"/>
        <v>7038.1</v>
      </c>
      <c r="H665" s="58">
        <f t="shared" si="237"/>
        <v>7038.1</v>
      </c>
    </row>
    <row r="666" spans="1:8" ht="63.75">
      <c r="A666" s="16" t="s">
        <v>156</v>
      </c>
      <c r="B666" s="16" t="s">
        <v>151</v>
      </c>
      <c r="C666" s="74" t="s">
        <v>126</v>
      </c>
      <c r="D666" s="16"/>
      <c r="E666" s="103" t="s">
        <v>448</v>
      </c>
      <c r="F666" s="41">
        <f t="shared" ref="F666:G666" si="238">SUM(F667:F669)</f>
        <v>7039.7</v>
      </c>
      <c r="G666" s="41">
        <f t="shared" si="238"/>
        <v>7038.1</v>
      </c>
      <c r="H666" s="41">
        <f t="shared" ref="H666" si="239">SUM(H667:H669)</f>
        <v>7038.1</v>
      </c>
    </row>
    <row r="667" spans="1:8" ht="38.25">
      <c r="A667" s="16" t="s">
        <v>156</v>
      </c>
      <c r="B667" s="16" t="s">
        <v>151</v>
      </c>
      <c r="C667" s="74" t="s">
        <v>126</v>
      </c>
      <c r="D667" s="16" t="s">
        <v>105</v>
      </c>
      <c r="E667" s="55" t="s">
        <v>106</v>
      </c>
      <c r="F667" s="99">
        <v>6631.5</v>
      </c>
      <c r="G667" s="99">
        <v>6631.5</v>
      </c>
      <c r="H667" s="99">
        <v>6631.5</v>
      </c>
    </row>
    <row r="668" spans="1:8" ht="38.25">
      <c r="A668" s="16" t="s">
        <v>156</v>
      </c>
      <c r="B668" s="16" t="s">
        <v>151</v>
      </c>
      <c r="C668" s="74" t="s">
        <v>126</v>
      </c>
      <c r="D668" s="85" t="s">
        <v>325</v>
      </c>
      <c r="E668" s="103" t="s">
        <v>326</v>
      </c>
      <c r="F668" s="41">
        <f>406.6+1.6</f>
        <v>408.20000000000005</v>
      </c>
      <c r="G668" s="41">
        <v>405.6</v>
      </c>
      <c r="H668" s="41">
        <v>405.6</v>
      </c>
    </row>
    <row r="669" spans="1:8" ht="17.25" customHeight="1">
      <c r="A669" s="16" t="s">
        <v>156</v>
      </c>
      <c r="B669" s="16" t="s">
        <v>151</v>
      </c>
      <c r="C669" s="74" t="s">
        <v>126</v>
      </c>
      <c r="D669" s="85" t="s">
        <v>183</v>
      </c>
      <c r="E669" s="103" t="s">
        <v>184</v>
      </c>
      <c r="F669" s="41">
        <v>0</v>
      </c>
      <c r="G669" s="41">
        <v>1</v>
      </c>
      <c r="H669" s="41">
        <v>1</v>
      </c>
    </row>
    <row r="670" spans="1:8" ht="15.75">
      <c r="A670" s="4" t="s">
        <v>153</v>
      </c>
      <c r="B670" s="3"/>
      <c r="C670" s="3"/>
      <c r="D670" s="3"/>
      <c r="E670" s="49" t="s">
        <v>25</v>
      </c>
      <c r="F670" s="97">
        <f>F671+F700</f>
        <v>61619.600000000006</v>
      </c>
      <c r="G670" s="97">
        <f>G671+G700</f>
        <v>53848.800000000003</v>
      </c>
      <c r="H670" s="97">
        <f>H671+H700</f>
        <v>53848.800000000003</v>
      </c>
    </row>
    <row r="671" spans="1:8" s="37" customFormat="1" ht="14.25">
      <c r="A671" s="35" t="s">
        <v>153</v>
      </c>
      <c r="B671" s="35" t="s">
        <v>140</v>
      </c>
      <c r="C671" s="35"/>
      <c r="D671" s="35"/>
      <c r="E671" s="45" t="s">
        <v>158</v>
      </c>
      <c r="F671" s="42">
        <f>F672+F694</f>
        <v>58232.800000000003</v>
      </c>
      <c r="G671" s="42">
        <f>G672+G694</f>
        <v>51217.5</v>
      </c>
      <c r="H671" s="42">
        <f t="shared" ref="F671:H672" si="240">H672</f>
        <v>51217.5</v>
      </c>
    </row>
    <row r="672" spans="1:8" s="37" customFormat="1" ht="53.25" customHeight="1">
      <c r="A672" s="16" t="s">
        <v>153</v>
      </c>
      <c r="B672" s="16" t="s">
        <v>140</v>
      </c>
      <c r="C672" s="73" t="s">
        <v>101</v>
      </c>
      <c r="D672" s="35"/>
      <c r="E672" s="53" t="s">
        <v>556</v>
      </c>
      <c r="F672" s="65">
        <f t="shared" si="240"/>
        <v>58032.800000000003</v>
      </c>
      <c r="G672" s="65">
        <f t="shared" si="240"/>
        <v>51217.5</v>
      </c>
      <c r="H672" s="65">
        <f t="shared" si="240"/>
        <v>51217.5</v>
      </c>
    </row>
    <row r="673" spans="1:8" s="37" customFormat="1" ht="25.5">
      <c r="A673" s="16" t="s">
        <v>153</v>
      </c>
      <c r="B673" s="16" t="s">
        <v>140</v>
      </c>
      <c r="C673" s="21" t="s">
        <v>102</v>
      </c>
      <c r="D673" s="35"/>
      <c r="E673" s="48" t="s">
        <v>250</v>
      </c>
      <c r="F673" s="58">
        <f>F674+F678+F680+F683+F686+F688+F690+F692</f>
        <v>58032.800000000003</v>
      </c>
      <c r="G673" s="58">
        <f t="shared" ref="G673:H673" si="241">G674+G678+G680+G683+G686+G688</f>
        <v>51217.5</v>
      </c>
      <c r="H673" s="58">
        <f t="shared" si="241"/>
        <v>51217.5</v>
      </c>
    </row>
    <row r="674" spans="1:8" s="37" customFormat="1" ht="25.5">
      <c r="A674" s="16" t="s">
        <v>153</v>
      </c>
      <c r="B674" s="16" t="s">
        <v>140</v>
      </c>
      <c r="C674" s="74" t="s">
        <v>103</v>
      </c>
      <c r="D674" s="16"/>
      <c r="E674" s="175" t="s">
        <v>249</v>
      </c>
      <c r="F674" s="39">
        <f>SUM(F675:F677)</f>
        <v>10581.7</v>
      </c>
      <c r="G674" s="39">
        <f t="shared" ref="G674:H674" si="242">SUM(G675:G677)</f>
        <v>9905.6</v>
      </c>
      <c r="H674" s="39">
        <f t="shared" si="242"/>
        <v>9905.6</v>
      </c>
    </row>
    <row r="675" spans="1:8" s="37" customFormat="1" ht="25.5">
      <c r="A675" s="16" t="s">
        <v>153</v>
      </c>
      <c r="B675" s="16" t="s">
        <v>140</v>
      </c>
      <c r="C675" s="74" t="s">
        <v>103</v>
      </c>
      <c r="D675" s="85" t="s">
        <v>107</v>
      </c>
      <c r="E675" s="55" t="s">
        <v>182</v>
      </c>
      <c r="F675" s="39">
        <v>5635.6</v>
      </c>
      <c r="G675" s="39">
        <f>5969.1-282.1</f>
        <v>5687</v>
      </c>
      <c r="H675" s="39">
        <f>5969.1-282.1</f>
        <v>5687</v>
      </c>
    </row>
    <row r="676" spans="1:8" s="37" customFormat="1" ht="36" customHeight="1">
      <c r="A676" s="16" t="s">
        <v>153</v>
      </c>
      <c r="B676" s="16" t="s">
        <v>140</v>
      </c>
      <c r="C676" s="74" t="s">
        <v>103</v>
      </c>
      <c r="D676" s="85" t="s">
        <v>325</v>
      </c>
      <c r="E676" s="103" t="s">
        <v>326</v>
      </c>
      <c r="F676" s="39">
        <f>5463.6+2.1-137.1-18.8-382.5</f>
        <v>4927.3</v>
      </c>
      <c r="G676" s="39">
        <f>4324.1-105.5</f>
        <v>4218.6000000000004</v>
      </c>
      <c r="H676" s="39">
        <f>4324.1-105.5</f>
        <v>4218.6000000000004</v>
      </c>
    </row>
    <row r="677" spans="1:8" s="37" customFormat="1" ht="15.75" customHeight="1">
      <c r="A677" s="16" t="s">
        <v>153</v>
      </c>
      <c r="B677" s="16" t="s">
        <v>140</v>
      </c>
      <c r="C677" s="74" t="s">
        <v>103</v>
      </c>
      <c r="D677" s="85" t="s">
        <v>183</v>
      </c>
      <c r="E677" s="103" t="s">
        <v>184</v>
      </c>
      <c r="F677" s="39">
        <v>18.8</v>
      </c>
      <c r="G677" s="39">
        <v>0</v>
      </c>
      <c r="H677" s="39">
        <v>0</v>
      </c>
    </row>
    <row r="678" spans="1:8" s="37" customFormat="1" ht="52.5" customHeight="1">
      <c r="A678" s="16" t="s">
        <v>153</v>
      </c>
      <c r="B678" s="16" t="s">
        <v>140</v>
      </c>
      <c r="C678" s="74" t="s">
        <v>63</v>
      </c>
      <c r="D678" s="16"/>
      <c r="E678" s="175" t="s">
        <v>251</v>
      </c>
      <c r="F678" s="39">
        <f t="shared" ref="F678:H678" si="243">F679</f>
        <v>30125.599999999999</v>
      </c>
      <c r="G678" s="39">
        <f t="shared" si="243"/>
        <v>26446.5</v>
      </c>
      <c r="H678" s="39">
        <f t="shared" si="243"/>
        <v>26446.5</v>
      </c>
    </row>
    <row r="679" spans="1:8" s="37" customFormat="1" ht="14.25">
      <c r="A679" s="16" t="s">
        <v>153</v>
      </c>
      <c r="B679" s="16" t="s">
        <v>140</v>
      </c>
      <c r="C679" s="74" t="s">
        <v>63</v>
      </c>
      <c r="D679" s="21" t="s">
        <v>344</v>
      </c>
      <c r="E679" s="103" t="s">
        <v>343</v>
      </c>
      <c r="F679" s="158">
        <f>30425.6-300</f>
        <v>30125.599999999999</v>
      </c>
      <c r="G679" s="158">
        <v>26446.5</v>
      </c>
      <c r="H679" s="158">
        <v>26446.5</v>
      </c>
    </row>
    <row r="680" spans="1:8" s="37" customFormat="1" ht="51">
      <c r="A680" s="16" t="s">
        <v>153</v>
      </c>
      <c r="B680" s="16" t="s">
        <v>140</v>
      </c>
      <c r="C680" s="74" t="s">
        <v>504</v>
      </c>
      <c r="D680" s="85"/>
      <c r="E680" s="103" t="s">
        <v>498</v>
      </c>
      <c r="F680" s="39">
        <f t="shared" ref="F680:G680" si="244">SUM(F681:F682)</f>
        <v>200</v>
      </c>
      <c r="G680" s="39">
        <f t="shared" si="244"/>
        <v>200</v>
      </c>
      <c r="H680" s="39">
        <f t="shared" ref="H680" si="245">SUM(H681:H682)</f>
        <v>200</v>
      </c>
    </row>
    <row r="681" spans="1:8" s="37" customFormat="1" ht="25.5">
      <c r="A681" s="16" t="s">
        <v>153</v>
      </c>
      <c r="B681" s="16" t="s">
        <v>140</v>
      </c>
      <c r="C681" s="74" t="s">
        <v>504</v>
      </c>
      <c r="D681" s="85" t="s">
        <v>107</v>
      </c>
      <c r="E681" s="55" t="s">
        <v>182</v>
      </c>
      <c r="F681" s="39">
        <v>50</v>
      </c>
      <c r="G681" s="39">
        <v>50</v>
      </c>
      <c r="H681" s="39">
        <v>50</v>
      </c>
    </row>
    <row r="682" spans="1:8" s="37" customFormat="1" ht="14.25">
      <c r="A682" s="16" t="s">
        <v>153</v>
      </c>
      <c r="B682" s="16" t="s">
        <v>140</v>
      </c>
      <c r="C682" s="74" t="s">
        <v>504</v>
      </c>
      <c r="D682" s="21" t="s">
        <v>344</v>
      </c>
      <c r="E682" s="103" t="s">
        <v>343</v>
      </c>
      <c r="F682" s="39">
        <v>150</v>
      </c>
      <c r="G682" s="39">
        <v>150</v>
      </c>
      <c r="H682" s="39">
        <v>150</v>
      </c>
    </row>
    <row r="683" spans="1:8" s="37" customFormat="1" ht="51">
      <c r="A683" s="16" t="s">
        <v>153</v>
      </c>
      <c r="B683" s="16" t="s">
        <v>140</v>
      </c>
      <c r="C683" s="74">
        <v>210110680</v>
      </c>
      <c r="D683" s="85"/>
      <c r="E683" s="103" t="s">
        <v>634</v>
      </c>
      <c r="F683" s="39">
        <f t="shared" ref="F683:H683" si="246">SUM(F684:F685)</f>
        <v>14365.4</v>
      </c>
      <c r="G683" s="39">
        <f t="shared" si="246"/>
        <v>14365.4</v>
      </c>
      <c r="H683" s="39">
        <f t="shared" si="246"/>
        <v>14365.4</v>
      </c>
    </row>
    <row r="684" spans="1:8" s="37" customFormat="1" ht="25.5">
      <c r="A684" s="16" t="s">
        <v>153</v>
      </c>
      <c r="B684" s="16" t="s">
        <v>140</v>
      </c>
      <c r="C684" s="74">
        <v>210110680</v>
      </c>
      <c r="D684" s="85" t="s">
        <v>107</v>
      </c>
      <c r="E684" s="55" t="s">
        <v>182</v>
      </c>
      <c r="F684" s="39">
        <v>4287.3999999999996</v>
      </c>
      <c r="G684" s="39">
        <v>4287.3999999999996</v>
      </c>
      <c r="H684" s="39">
        <v>4287.3999999999996</v>
      </c>
    </row>
    <row r="685" spans="1:8" s="37" customFormat="1" ht="14.25">
      <c r="A685" s="16" t="s">
        <v>153</v>
      </c>
      <c r="B685" s="16" t="s">
        <v>140</v>
      </c>
      <c r="C685" s="74">
        <v>210110680</v>
      </c>
      <c r="D685" s="21" t="s">
        <v>344</v>
      </c>
      <c r="E685" s="103" t="s">
        <v>343</v>
      </c>
      <c r="F685" s="39">
        <v>10078</v>
      </c>
      <c r="G685" s="39">
        <v>10078</v>
      </c>
      <c r="H685" s="39">
        <v>10078</v>
      </c>
    </row>
    <row r="686" spans="1:8" s="37" customFormat="1" ht="38.25">
      <c r="A686" s="16" t="s">
        <v>153</v>
      </c>
      <c r="B686" s="16" t="s">
        <v>140</v>
      </c>
      <c r="C686" s="74" t="s">
        <v>652</v>
      </c>
      <c r="D686" s="72"/>
      <c r="E686" s="103" t="s">
        <v>653</v>
      </c>
      <c r="F686" s="39">
        <f t="shared" ref="F686:H686" si="247">F687</f>
        <v>0</v>
      </c>
      <c r="G686" s="39">
        <f t="shared" si="247"/>
        <v>300</v>
      </c>
      <c r="H686" s="39">
        <f t="shared" si="247"/>
        <v>300</v>
      </c>
    </row>
    <row r="687" spans="1:8" s="37" customFormat="1" ht="38.25">
      <c r="A687" s="16" t="s">
        <v>153</v>
      </c>
      <c r="B687" s="16" t="s">
        <v>140</v>
      </c>
      <c r="C687" s="74" t="s">
        <v>652</v>
      </c>
      <c r="D687" s="85" t="s">
        <v>325</v>
      </c>
      <c r="E687" s="103" t="s">
        <v>326</v>
      </c>
      <c r="F687" s="39">
        <v>0</v>
      </c>
      <c r="G687" s="39">
        <f>194.5+105.5</f>
        <v>300</v>
      </c>
      <c r="H687" s="39">
        <f>194.5+105.5</f>
        <v>300</v>
      </c>
    </row>
    <row r="688" spans="1:8" s="37" customFormat="1" ht="25.5">
      <c r="A688" s="16" t="s">
        <v>153</v>
      </c>
      <c r="B688" s="16" t="s">
        <v>140</v>
      </c>
      <c r="C688" s="74" t="s">
        <v>788</v>
      </c>
      <c r="D688" s="85"/>
      <c r="E688" s="165" t="s">
        <v>789</v>
      </c>
      <c r="F688" s="39">
        <f>F689</f>
        <v>1145.9000000000001</v>
      </c>
      <c r="G688" s="39">
        <f>G689</f>
        <v>0</v>
      </c>
      <c r="H688" s="39">
        <f>H689</f>
        <v>0</v>
      </c>
    </row>
    <row r="689" spans="1:8" s="37" customFormat="1" ht="14.25">
      <c r="A689" s="16" t="s">
        <v>153</v>
      </c>
      <c r="B689" s="16" t="s">
        <v>140</v>
      </c>
      <c r="C689" s="74" t="s">
        <v>788</v>
      </c>
      <c r="D689" s="21" t="s">
        <v>344</v>
      </c>
      <c r="E689" s="103" t="s">
        <v>343</v>
      </c>
      <c r="F689" s="39">
        <f>845.9+300</f>
        <v>1145.9000000000001</v>
      </c>
      <c r="G689" s="39">
        <v>0</v>
      </c>
      <c r="H689" s="39">
        <v>0</v>
      </c>
    </row>
    <row r="690" spans="1:8" s="37" customFormat="1" ht="51">
      <c r="A690" s="16" t="s">
        <v>153</v>
      </c>
      <c r="B690" s="16" t="s">
        <v>140</v>
      </c>
      <c r="C690" s="164" t="s">
        <v>667</v>
      </c>
      <c r="D690" s="21"/>
      <c r="E690" s="165" t="s">
        <v>668</v>
      </c>
      <c r="F690" s="39">
        <f>F691</f>
        <v>1513.2</v>
      </c>
      <c r="G690" s="39">
        <f t="shared" ref="G690:H690" si="248">G691</f>
        <v>0</v>
      </c>
      <c r="H690" s="39">
        <f t="shared" si="248"/>
        <v>0</v>
      </c>
    </row>
    <row r="691" spans="1:8" s="37" customFormat="1" ht="14.25">
      <c r="A691" s="16" t="s">
        <v>153</v>
      </c>
      <c r="B691" s="16" t="s">
        <v>140</v>
      </c>
      <c r="C691" s="166" t="s">
        <v>667</v>
      </c>
      <c r="D691" s="21" t="s">
        <v>344</v>
      </c>
      <c r="E691" s="103" t="s">
        <v>343</v>
      </c>
      <c r="F691" s="39">
        <f>36+1483.2-6</f>
        <v>1513.2</v>
      </c>
      <c r="G691" s="39">
        <v>0</v>
      </c>
      <c r="H691" s="39">
        <v>0</v>
      </c>
    </row>
    <row r="692" spans="1:8" s="37" customFormat="1" ht="51" customHeight="1">
      <c r="A692" s="16" t="s">
        <v>153</v>
      </c>
      <c r="B692" s="16" t="s">
        <v>140</v>
      </c>
      <c r="C692" s="166" t="s">
        <v>806</v>
      </c>
      <c r="D692" s="85"/>
      <c r="E692" s="165" t="s">
        <v>959</v>
      </c>
      <c r="F692" s="39">
        <f>F693</f>
        <v>101</v>
      </c>
      <c r="G692" s="39">
        <f>G693</f>
        <v>0</v>
      </c>
      <c r="H692" s="39">
        <f>H693</f>
        <v>0</v>
      </c>
    </row>
    <row r="693" spans="1:8" s="37" customFormat="1" ht="14.25">
      <c r="A693" s="16" t="s">
        <v>153</v>
      </c>
      <c r="B693" s="16" t="s">
        <v>140</v>
      </c>
      <c r="C693" s="166" t="s">
        <v>806</v>
      </c>
      <c r="D693" s="21" t="s">
        <v>344</v>
      </c>
      <c r="E693" s="103" t="s">
        <v>343</v>
      </c>
      <c r="F693" s="39">
        <f>1+100</f>
        <v>101</v>
      </c>
      <c r="G693" s="39">
        <v>0</v>
      </c>
      <c r="H693" s="39">
        <v>0</v>
      </c>
    </row>
    <row r="694" spans="1:8" s="37" customFormat="1" ht="25.5">
      <c r="A694" s="5" t="s">
        <v>153</v>
      </c>
      <c r="B694" s="5" t="s">
        <v>140</v>
      </c>
      <c r="C694" s="87">
        <v>9900000000</v>
      </c>
      <c r="D694" s="73"/>
      <c r="E694" s="154" t="s">
        <v>202</v>
      </c>
      <c r="F694" s="101">
        <f t="shared" ref="F694:H694" si="249">F695</f>
        <v>200</v>
      </c>
      <c r="G694" s="101">
        <f t="shared" si="249"/>
        <v>0</v>
      </c>
      <c r="H694" s="101">
        <f t="shared" si="249"/>
        <v>0</v>
      </c>
    </row>
    <row r="695" spans="1:8" s="37" customFormat="1" ht="38.25">
      <c r="A695" s="16" t="s">
        <v>153</v>
      </c>
      <c r="B695" s="16" t="s">
        <v>140</v>
      </c>
      <c r="C695" s="85" t="s">
        <v>32</v>
      </c>
      <c r="D695" s="85"/>
      <c r="E695" s="105" t="s">
        <v>56</v>
      </c>
      <c r="F695" s="104">
        <f t="shared" ref="F695:G695" si="250">F696+F698</f>
        <v>200</v>
      </c>
      <c r="G695" s="104">
        <f t="shared" si="250"/>
        <v>0</v>
      </c>
      <c r="H695" s="104">
        <f t="shared" ref="H695" si="251">H696+H698</f>
        <v>0</v>
      </c>
    </row>
    <row r="696" spans="1:8" s="37" customFormat="1" ht="51">
      <c r="A696" s="16" t="s">
        <v>153</v>
      </c>
      <c r="B696" s="16" t="s">
        <v>140</v>
      </c>
      <c r="C696" s="85" t="s">
        <v>592</v>
      </c>
      <c r="D696" s="16"/>
      <c r="E696" s="54" t="s">
        <v>593</v>
      </c>
      <c r="F696" s="41">
        <f t="shared" ref="F696:H696" si="252">F697</f>
        <v>75</v>
      </c>
      <c r="G696" s="41">
        <f t="shared" si="252"/>
        <v>0</v>
      </c>
      <c r="H696" s="41">
        <f t="shared" si="252"/>
        <v>0</v>
      </c>
    </row>
    <row r="697" spans="1:8" s="37" customFormat="1" ht="38.25">
      <c r="A697" s="16" t="s">
        <v>153</v>
      </c>
      <c r="B697" s="16" t="s">
        <v>140</v>
      </c>
      <c r="C697" s="85" t="s">
        <v>592</v>
      </c>
      <c r="D697" s="85" t="s">
        <v>325</v>
      </c>
      <c r="E697" s="103" t="s">
        <v>326</v>
      </c>
      <c r="F697" s="99">
        <v>75</v>
      </c>
      <c r="G697" s="99">
        <v>0</v>
      </c>
      <c r="H697" s="99">
        <v>0</v>
      </c>
    </row>
    <row r="698" spans="1:8" s="37" customFormat="1" ht="51">
      <c r="A698" s="16" t="s">
        <v>153</v>
      </c>
      <c r="B698" s="16" t="s">
        <v>140</v>
      </c>
      <c r="C698" s="85" t="s">
        <v>633</v>
      </c>
      <c r="D698" s="85"/>
      <c r="E698" s="54" t="s">
        <v>593</v>
      </c>
      <c r="F698" s="99">
        <f>F699</f>
        <v>125</v>
      </c>
      <c r="G698" s="99">
        <f t="shared" ref="G698:H698" si="253">G699</f>
        <v>0</v>
      </c>
      <c r="H698" s="99">
        <f t="shared" si="253"/>
        <v>0</v>
      </c>
    </row>
    <row r="699" spans="1:8" s="37" customFormat="1" ht="14.25">
      <c r="A699" s="16" t="s">
        <v>153</v>
      </c>
      <c r="B699" s="16" t="s">
        <v>140</v>
      </c>
      <c r="C699" s="85" t="s">
        <v>633</v>
      </c>
      <c r="D699" s="21" t="s">
        <v>344</v>
      </c>
      <c r="E699" s="103" t="s">
        <v>343</v>
      </c>
      <c r="F699" s="99">
        <v>125</v>
      </c>
      <c r="G699" s="99">
        <v>0</v>
      </c>
      <c r="H699" s="99">
        <v>0</v>
      </c>
    </row>
    <row r="700" spans="1:8" ht="25.5">
      <c r="A700" s="35" t="s">
        <v>153</v>
      </c>
      <c r="B700" s="35" t="s">
        <v>146</v>
      </c>
      <c r="C700" s="35"/>
      <c r="D700" s="35"/>
      <c r="E700" s="46" t="s">
        <v>7</v>
      </c>
      <c r="F700" s="42">
        <f>F701</f>
        <v>3386.8</v>
      </c>
      <c r="G700" s="42">
        <f t="shared" ref="G700:H700" si="254">G701</f>
        <v>2631.3</v>
      </c>
      <c r="H700" s="42">
        <f t="shared" si="254"/>
        <v>2631.3</v>
      </c>
    </row>
    <row r="701" spans="1:8" ht="49.5" customHeight="1">
      <c r="A701" s="5" t="s">
        <v>153</v>
      </c>
      <c r="B701" s="5" t="s">
        <v>146</v>
      </c>
      <c r="C701" s="73" t="s">
        <v>101</v>
      </c>
      <c r="D701" s="35"/>
      <c r="E701" s="53" t="s">
        <v>556</v>
      </c>
      <c r="F701" s="65">
        <f>F702+F707</f>
        <v>3386.8</v>
      </c>
      <c r="G701" s="65">
        <f>G702+G707</f>
        <v>2631.3</v>
      </c>
      <c r="H701" s="65">
        <f>H702+H707</f>
        <v>2631.3</v>
      </c>
    </row>
    <row r="702" spans="1:8" ht="25.5">
      <c r="A702" s="16" t="s">
        <v>153</v>
      </c>
      <c r="B702" s="16" t="s">
        <v>146</v>
      </c>
      <c r="C702" s="21" t="s">
        <v>102</v>
      </c>
      <c r="D702" s="35"/>
      <c r="E702" s="48" t="s">
        <v>250</v>
      </c>
      <c r="F702" s="42">
        <f>F703+F705</f>
        <v>590</v>
      </c>
      <c r="G702" s="42">
        <f t="shared" ref="G702:H702" si="255">G703+G705</f>
        <v>140</v>
      </c>
      <c r="H702" s="42">
        <f t="shared" si="255"/>
        <v>140</v>
      </c>
    </row>
    <row r="703" spans="1:8" ht="51">
      <c r="A703" s="16" t="s">
        <v>153</v>
      </c>
      <c r="B703" s="16" t="s">
        <v>146</v>
      </c>
      <c r="C703" s="21" t="s">
        <v>334</v>
      </c>
      <c r="D703" s="16"/>
      <c r="E703" s="103" t="s">
        <v>254</v>
      </c>
      <c r="F703" s="41">
        <f t="shared" ref="F703:H703" si="256">F704</f>
        <v>490</v>
      </c>
      <c r="G703" s="41">
        <f t="shared" si="256"/>
        <v>140</v>
      </c>
      <c r="H703" s="41">
        <f t="shared" si="256"/>
        <v>140</v>
      </c>
    </row>
    <row r="704" spans="1:8" ht="38.25">
      <c r="A704" s="16" t="s">
        <v>153</v>
      </c>
      <c r="B704" s="16" t="s">
        <v>146</v>
      </c>
      <c r="C704" s="21" t="s">
        <v>334</v>
      </c>
      <c r="D704" s="85" t="s">
        <v>325</v>
      </c>
      <c r="E704" s="103" t="s">
        <v>326</v>
      </c>
      <c r="F704" s="41">
        <f>200+90+200</f>
        <v>490</v>
      </c>
      <c r="G704" s="41">
        <v>140</v>
      </c>
      <c r="H704" s="41">
        <v>140</v>
      </c>
    </row>
    <row r="705" spans="1:8" ht="39" customHeight="1">
      <c r="A705" s="16" t="s">
        <v>153</v>
      </c>
      <c r="B705" s="16" t="s">
        <v>146</v>
      </c>
      <c r="C705" s="21" t="s">
        <v>830</v>
      </c>
      <c r="D705" s="85"/>
      <c r="E705" s="103" t="s">
        <v>831</v>
      </c>
      <c r="F705" s="41">
        <v>100</v>
      </c>
      <c r="G705" s="41">
        <v>0</v>
      </c>
      <c r="H705" s="41">
        <v>0</v>
      </c>
    </row>
    <row r="706" spans="1:8" ht="38.25">
      <c r="A706" s="16" t="s">
        <v>153</v>
      </c>
      <c r="B706" s="16" t="s">
        <v>146</v>
      </c>
      <c r="C706" s="21" t="s">
        <v>830</v>
      </c>
      <c r="D706" s="85" t="s">
        <v>325</v>
      </c>
      <c r="E706" s="103" t="s">
        <v>326</v>
      </c>
      <c r="F706" s="41">
        <v>100</v>
      </c>
      <c r="G706" s="41">
        <v>0</v>
      </c>
      <c r="H706" s="41">
        <v>0</v>
      </c>
    </row>
    <row r="707" spans="1:8">
      <c r="A707" s="185" t="s">
        <v>153</v>
      </c>
      <c r="B707" s="185" t="s">
        <v>146</v>
      </c>
      <c r="C707" s="186" t="s">
        <v>43</v>
      </c>
      <c r="D707" s="72"/>
      <c r="E707" s="66" t="s">
        <v>70</v>
      </c>
      <c r="F707" s="187">
        <f t="shared" ref="F707:H707" si="257">F708</f>
        <v>2796.8</v>
      </c>
      <c r="G707" s="187">
        <f t="shared" si="257"/>
        <v>2491.3000000000002</v>
      </c>
      <c r="H707" s="187">
        <f t="shared" si="257"/>
        <v>2491.3000000000002</v>
      </c>
    </row>
    <row r="708" spans="1:8" ht="63.75">
      <c r="A708" s="16" t="s">
        <v>153</v>
      </c>
      <c r="B708" s="16" t="s">
        <v>146</v>
      </c>
      <c r="C708" s="82" t="s">
        <v>263</v>
      </c>
      <c r="D708" s="21"/>
      <c r="E708" s="103" t="s">
        <v>397</v>
      </c>
      <c r="F708" s="99">
        <f>SUM(F709:F710)</f>
        <v>2796.8</v>
      </c>
      <c r="G708" s="99">
        <f>SUM(G709:G710)</f>
        <v>2491.3000000000002</v>
      </c>
      <c r="H708" s="99">
        <f>SUM(H709:H710)</f>
        <v>2491.3000000000002</v>
      </c>
    </row>
    <row r="709" spans="1:8" ht="38.25">
      <c r="A709" s="16" t="s">
        <v>153</v>
      </c>
      <c r="B709" s="16" t="s">
        <v>146</v>
      </c>
      <c r="C709" s="82" t="s">
        <v>263</v>
      </c>
      <c r="D709" s="16" t="s">
        <v>105</v>
      </c>
      <c r="E709" s="55" t="s">
        <v>106</v>
      </c>
      <c r="F709" s="99">
        <v>2762.5</v>
      </c>
      <c r="G709" s="99">
        <v>2463.5</v>
      </c>
      <c r="H709" s="99">
        <v>2463.5</v>
      </c>
    </row>
    <row r="710" spans="1:8" ht="38.25">
      <c r="A710" s="16" t="s">
        <v>153</v>
      </c>
      <c r="B710" s="16" t="s">
        <v>146</v>
      </c>
      <c r="C710" s="82" t="s">
        <v>263</v>
      </c>
      <c r="D710" s="85" t="s">
        <v>325</v>
      </c>
      <c r="E710" s="103" t="s">
        <v>326</v>
      </c>
      <c r="F710" s="41">
        <v>34.299999999999997</v>
      </c>
      <c r="G710" s="41">
        <v>27.8</v>
      </c>
      <c r="H710" s="41">
        <v>27.8</v>
      </c>
    </row>
    <row r="711" spans="1:8" ht="15.75">
      <c r="A711" s="4" t="s">
        <v>162</v>
      </c>
      <c r="B711" s="3"/>
      <c r="C711" s="3"/>
      <c r="D711" s="3"/>
      <c r="E711" s="10" t="s">
        <v>163</v>
      </c>
      <c r="F711" s="97">
        <f>F712+F717+F736</f>
        <v>43935.1</v>
      </c>
      <c r="G711" s="97">
        <f>G712+G717+G736</f>
        <v>22171.7</v>
      </c>
      <c r="H711" s="97">
        <f>H712+H717+H736</f>
        <v>23488.2</v>
      </c>
    </row>
    <row r="712" spans="1:8" s="37" customFormat="1" ht="14.25">
      <c r="A712" s="35" t="s">
        <v>162</v>
      </c>
      <c r="B712" s="35" t="s">
        <v>140</v>
      </c>
      <c r="C712" s="35"/>
      <c r="D712" s="35"/>
      <c r="E712" s="45" t="s">
        <v>164</v>
      </c>
      <c r="F712" s="42">
        <f t="shared" ref="F712:H715" si="258">F713</f>
        <v>2759.7</v>
      </c>
      <c r="G712" s="42">
        <f t="shared" si="258"/>
        <v>2892.2</v>
      </c>
      <c r="H712" s="42">
        <f t="shared" si="258"/>
        <v>2892.2</v>
      </c>
    </row>
    <row r="713" spans="1:8" ht="51.75" customHeight="1">
      <c r="A713" s="5" t="s">
        <v>162</v>
      </c>
      <c r="B713" s="5" t="s">
        <v>140</v>
      </c>
      <c r="C713" s="73" t="s">
        <v>48</v>
      </c>
      <c r="D713" s="3"/>
      <c r="E713" s="64" t="s">
        <v>551</v>
      </c>
      <c r="F713" s="101">
        <f t="shared" si="258"/>
        <v>2759.7</v>
      </c>
      <c r="G713" s="101">
        <f t="shared" si="258"/>
        <v>2892.2</v>
      </c>
      <c r="H713" s="101">
        <f t="shared" si="258"/>
        <v>2892.2</v>
      </c>
    </row>
    <row r="714" spans="1:8" ht="26.25">
      <c r="A714" s="16" t="s">
        <v>162</v>
      </c>
      <c r="B714" s="16" t="s">
        <v>140</v>
      </c>
      <c r="C714" s="52" t="s">
        <v>50</v>
      </c>
      <c r="D714" s="3"/>
      <c r="E714" s="46" t="s">
        <v>132</v>
      </c>
      <c r="F714" s="98">
        <f t="shared" si="258"/>
        <v>2759.7</v>
      </c>
      <c r="G714" s="98">
        <f t="shared" si="258"/>
        <v>2892.2</v>
      </c>
      <c r="H714" s="98">
        <f t="shared" si="258"/>
        <v>2892.2</v>
      </c>
    </row>
    <row r="715" spans="1:8" ht="26.25">
      <c r="A715" s="16" t="s">
        <v>162</v>
      </c>
      <c r="B715" s="16" t="s">
        <v>140</v>
      </c>
      <c r="C715" s="80" t="s">
        <v>220</v>
      </c>
      <c r="D715" s="3"/>
      <c r="E715" s="162" t="s">
        <v>656</v>
      </c>
      <c r="F715" s="41">
        <f>F716</f>
        <v>2759.7</v>
      </c>
      <c r="G715" s="41">
        <f t="shared" si="258"/>
        <v>2892.2</v>
      </c>
      <c r="H715" s="41">
        <f t="shared" si="258"/>
        <v>2892.2</v>
      </c>
    </row>
    <row r="716" spans="1:8" ht="25.5">
      <c r="A716" s="16" t="s">
        <v>162</v>
      </c>
      <c r="B716" s="16" t="s">
        <v>140</v>
      </c>
      <c r="C716" s="80" t="s">
        <v>220</v>
      </c>
      <c r="D716" s="85" t="s">
        <v>420</v>
      </c>
      <c r="E716" s="103" t="s">
        <v>421</v>
      </c>
      <c r="F716" s="39">
        <f>2892.2-132.5</f>
        <v>2759.7</v>
      </c>
      <c r="G716" s="39">
        <v>2892.2</v>
      </c>
      <c r="H716" s="39">
        <v>2892.2</v>
      </c>
    </row>
    <row r="717" spans="1:8" s="37" customFormat="1" ht="14.25">
      <c r="A717" s="35" t="s">
        <v>162</v>
      </c>
      <c r="B717" s="35" t="s">
        <v>145</v>
      </c>
      <c r="C717" s="35"/>
      <c r="D717" s="35"/>
      <c r="E717" s="45" t="s">
        <v>168</v>
      </c>
      <c r="F717" s="42">
        <f>F718+F722+F728+F732</f>
        <v>2777.5</v>
      </c>
      <c r="G717" s="42">
        <f t="shared" ref="G717:H717" si="259">G718+G722+G728+G732</f>
        <v>2504</v>
      </c>
      <c r="H717" s="42">
        <f t="shared" si="259"/>
        <v>2504</v>
      </c>
    </row>
    <row r="718" spans="1:8" s="37" customFormat="1" ht="51.75">
      <c r="A718" s="5" t="s">
        <v>162</v>
      </c>
      <c r="B718" s="5" t="s">
        <v>145</v>
      </c>
      <c r="C718" s="21" t="s">
        <v>121</v>
      </c>
      <c r="D718" s="35"/>
      <c r="E718" s="64" t="s">
        <v>552</v>
      </c>
      <c r="F718" s="65">
        <f t="shared" ref="F718:H720" si="260">F719</f>
        <v>1116</v>
      </c>
      <c r="G718" s="65">
        <f t="shared" si="260"/>
        <v>1116</v>
      </c>
      <c r="H718" s="65">
        <f t="shared" si="260"/>
        <v>1116</v>
      </c>
    </row>
    <row r="719" spans="1:8" s="37" customFormat="1" ht="25.5">
      <c r="A719" s="16" t="s">
        <v>162</v>
      </c>
      <c r="B719" s="16" t="s">
        <v>145</v>
      </c>
      <c r="C719" s="52" t="s">
        <v>122</v>
      </c>
      <c r="D719" s="35"/>
      <c r="E719" s="46" t="s">
        <v>62</v>
      </c>
      <c r="F719" s="58">
        <f t="shared" si="260"/>
        <v>1116</v>
      </c>
      <c r="G719" s="58">
        <f t="shared" si="260"/>
        <v>1116</v>
      </c>
      <c r="H719" s="58">
        <f t="shared" si="260"/>
        <v>1116</v>
      </c>
    </row>
    <row r="720" spans="1:8" s="37" customFormat="1" ht="102">
      <c r="A720" s="16" t="s">
        <v>162</v>
      </c>
      <c r="B720" s="16" t="s">
        <v>145</v>
      </c>
      <c r="C720" s="21" t="s">
        <v>567</v>
      </c>
      <c r="D720" s="35"/>
      <c r="E720" s="103" t="s">
        <v>265</v>
      </c>
      <c r="F720" s="99">
        <f t="shared" si="260"/>
        <v>1116</v>
      </c>
      <c r="G720" s="99">
        <f t="shared" si="260"/>
        <v>1116</v>
      </c>
      <c r="H720" s="99">
        <f t="shared" si="260"/>
        <v>1116</v>
      </c>
    </row>
    <row r="721" spans="1:8" s="37" customFormat="1" ht="25.5">
      <c r="A721" s="16" t="s">
        <v>162</v>
      </c>
      <c r="B721" s="16" t="s">
        <v>145</v>
      </c>
      <c r="C721" s="21" t="s">
        <v>567</v>
      </c>
      <c r="D721" s="84" t="s">
        <v>420</v>
      </c>
      <c r="E721" s="103" t="s">
        <v>421</v>
      </c>
      <c r="F721" s="99">
        <v>1116</v>
      </c>
      <c r="G721" s="99">
        <v>1116</v>
      </c>
      <c r="H721" s="99">
        <v>1116</v>
      </c>
    </row>
    <row r="722" spans="1:8" s="37" customFormat="1" ht="51.75" customHeight="1">
      <c r="A722" s="5" t="s">
        <v>162</v>
      </c>
      <c r="B722" s="5" t="s">
        <v>145</v>
      </c>
      <c r="C722" s="73" t="s">
        <v>48</v>
      </c>
      <c r="D722" s="3"/>
      <c r="E722" s="64" t="s">
        <v>551</v>
      </c>
      <c r="F722" s="59">
        <f t="shared" ref="F722:H722" si="261">F723</f>
        <v>858</v>
      </c>
      <c r="G722" s="59">
        <f t="shared" si="261"/>
        <v>788</v>
      </c>
      <c r="H722" s="59">
        <f t="shared" si="261"/>
        <v>788</v>
      </c>
    </row>
    <row r="723" spans="1:8" s="37" customFormat="1" ht="25.5">
      <c r="A723" s="47" t="s">
        <v>162</v>
      </c>
      <c r="B723" s="47" t="s">
        <v>145</v>
      </c>
      <c r="C723" s="52" t="s">
        <v>50</v>
      </c>
      <c r="D723" s="16"/>
      <c r="E723" s="46" t="s">
        <v>132</v>
      </c>
      <c r="F723" s="98">
        <f t="shared" ref="F723:G723" si="262">F724+F726</f>
        <v>858</v>
      </c>
      <c r="G723" s="98">
        <f t="shared" si="262"/>
        <v>788</v>
      </c>
      <c r="H723" s="98">
        <f t="shared" ref="H723" si="263">H724+H726</f>
        <v>788</v>
      </c>
    </row>
    <row r="724" spans="1:8" s="37" customFormat="1" ht="38.25">
      <c r="A724" s="16" t="s">
        <v>162</v>
      </c>
      <c r="B724" s="16" t="s">
        <v>145</v>
      </c>
      <c r="C724" s="80" t="s">
        <v>221</v>
      </c>
      <c r="D724" s="16"/>
      <c r="E724" s="103" t="s">
        <v>245</v>
      </c>
      <c r="F724" s="41">
        <f t="shared" ref="F724:H724" si="264">F725</f>
        <v>190</v>
      </c>
      <c r="G724" s="41">
        <f t="shared" si="264"/>
        <v>200</v>
      </c>
      <c r="H724" s="41">
        <f t="shared" si="264"/>
        <v>200</v>
      </c>
    </row>
    <row r="725" spans="1:8" s="37" customFormat="1" ht="14.25">
      <c r="A725" s="16" t="s">
        <v>162</v>
      </c>
      <c r="B725" s="16" t="s">
        <v>145</v>
      </c>
      <c r="C725" s="80" t="s">
        <v>221</v>
      </c>
      <c r="D725" s="16" t="s">
        <v>133</v>
      </c>
      <c r="E725" s="103" t="s">
        <v>134</v>
      </c>
      <c r="F725" s="41">
        <f>200+200-200-10</f>
        <v>190</v>
      </c>
      <c r="G725" s="41">
        <v>200</v>
      </c>
      <c r="H725" s="41">
        <v>200</v>
      </c>
    </row>
    <row r="726" spans="1:8" s="37" customFormat="1" ht="63.75">
      <c r="A726" s="16" t="s">
        <v>162</v>
      </c>
      <c r="B726" s="16" t="s">
        <v>145</v>
      </c>
      <c r="C726" s="80" t="s">
        <v>222</v>
      </c>
      <c r="D726" s="16"/>
      <c r="E726" s="103" t="s">
        <v>3</v>
      </c>
      <c r="F726" s="41">
        <f t="shared" ref="F726:H726" si="265">F727</f>
        <v>668</v>
      </c>
      <c r="G726" s="41">
        <f t="shared" si="265"/>
        <v>588</v>
      </c>
      <c r="H726" s="41">
        <f t="shared" si="265"/>
        <v>588</v>
      </c>
    </row>
    <row r="727" spans="1:8" s="37" customFormat="1" ht="75.75" customHeight="1">
      <c r="A727" s="16" t="s">
        <v>162</v>
      </c>
      <c r="B727" s="16" t="s">
        <v>145</v>
      </c>
      <c r="C727" s="80" t="s">
        <v>222</v>
      </c>
      <c r="D727" s="16" t="s">
        <v>24</v>
      </c>
      <c r="E727" s="105" t="s">
        <v>655</v>
      </c>
      <c r="F727" s="41">
        <f>638+30</f>
        <v>668</v>
      </c>
      <c r="G727" s="41">
        <v>588</v>
      </c>
      <c r="H727" s="41">
        <v>588</v>
      </c>
    </row>
    <row r="728" spans="1:8" s="37" customFormat="1" ht="63.75">
      <c r="A728" s="16" t="s">
        <v>162</v>
      </c>
      <c r="B728" s="16" t="s">
        <v>145</v>
      </c>
      <c r="C728" s="74">
        <v>400000000</v>
      </c>
      <c r="D728" s="16"/>
      <c r="E728" s="64" t="s">
        <v>532</v>
      </c>
      <c r="F728" s="62">
        <f t="shared" ref="F728:H730" si="266">F729</f>
        <v>703.5</v>
      </c>
      <c r="G728" s="62">
        <f t="shared" si="266"/>
        <v>600</v>
      </c>
      <c r="H728" s="62">
        <f t="shared" si="266"/>
        <v>600</v>
      </c>
    </row>
    <row r="729" spans="1:8" s="37" customFormat="1" ht="127.5">
      <c r="A729" s="16" t="s">
        <v>162</v>
      </c>
      <c r="B729" s="16" t="s">
        <v>145</v>
      </c>
      <c r="C729" s="75">
        <v>430000000</v>
      </c>
      <c r="D729" s="16"/>
      <c r="E729" s="46" t="s">
        <v>466</v>
      </c>
      <c r="F729" s="39">
        <f t="shared" si="266"/>
        <v>703.5</v>
      </c>
      <c r="G729" s="39">
        <f t="shared" si="266"/>
        <v>600</v>
      </c>
      <c r="H729" s="39">
        <f t="shared" si="266"/>
        <v>600</v>
      </c>
    </row>
    <row r="730" spans="1:8" s="37" customFormat="1" ht="102">
      <c r="A730" s="16" t="s">
        <v>162</v>
      </c>
      <c r="B730" s="16" t="s">
        <v>145</v>
      </c>
      <c r="C730" s="80" t="s">
        <v>241</v>
      </c>
      <c r="D730" s="16"/>
      <c r="E730" s="103" t="s">
        <v>533</v>
      </c>
      <c r="F730" s="41">
        <f t="shared" si="266"/>
        <v>703.5</v>
      </c>
      <c r="G730" s="41">
        <f t="shared" si="266"/>
        <v>600</v>
      </c>
      <c r="H730" s="41">
        <f t="shared" si="266"/>
        <v>600</v>
      </c>
    </row>
    <row r="731" spans="1:8" s="37" customFormat="1" ht="63.75">
      <c r="A731" s="16" t="s">
        <v>162</v>
      </c>
      <c r="B731" s="16" t="s">
        <v>145</v>
      </c>
      <c r="C731" s="80" t="s">
        <v>241</v>
      </c>
      <c r="D731" s="85" t="s">
        <v>15</v>
      </c>
      <c r="E731" s="103" t="s">
        <v>663</v>
      </c>
      <c r="F731" s="41">
        <f>600+103.5</f>
        <v>703.5</v>
      </c>
      <c r="G731" s="41">
        <v>600</v>
      </c>
      <c r="H731" s="41">
        <v>600</v>
      </c>
    </row>
    <row r="732" spans="1:8" s="37" customFormat="1" ht="25.5">
      <c r="A732" s="5" t="s">
        <v>162</v>
      </c>
      <c r="B732" s="5" t="s">
        <v>145</v>
      </c>
      <c r="C732" s="87">
        <v>9900000000</v>
      </c>
      <c r="D732" s="5"/>
      <c r="E732" s="88" t="s">
        <v>201</v>
      </c>
      <c r="F732" s="101">
        <f>F733</f>
        <v>100</v>
      </c>
      <c r="G732" s="101">
        <f t="shared" ref="G732:H732" si="267">G733</f>
        <v>0</v>
      </c>
      <c r="H732" s="101">
        <f t="shared" si="267"/>
        <v>0</v>
      </c>
    </row>
    <row r="733" spans="1:8" s="37" customFormat="1" ht="14.25">
      <c r="A733" s="16" t="s">
        <v>162</v>
      </c>
      <c r="B733" s="16" t="s">
        <v>145</v>
      </c>
      <c r="C733" s="80">
        <v>9920000000</v>
      </c>
      <c r="D733" s="35"/>
      <c r="E733" s="168" t="s">
        <v>5</v>
      </c>
      <c r="F733" s="99">
        <f t="shared" ref="F733:H734" si="268">F734</f>
        <v>100</v>
      </c>
      <c r="G733" s="99">
        <f t="shared" si="268"/>
        <v>0</v>
      </c>
      <c r="H733" s="99">
        <f t="shared" si="268"/>
        <v>0</v>
      </c>
    </row>
    <row r="734" spans="1:8" s="37" customFormat="1" ht="25.5">
      <c r="A734" s="16" t="s">
        <v>162</v>
      </c>
      <c r="B734" s="16" t="s">
        <v>145</v>
      </c>
      <c r="C734" s="80" t="s">
        <v>54</v>
      </c>
      <c r="D734" s="21"/>
      <c r="E734" s="22" t="s">
        <v>13</v>
      </c>
      <c r="F734" s="39">
        <f t="shared" si="268"/>
        <v>100</v>
      </c>
      <c r="G734" s="39">
        <f t="shared" si="268"/>
        <v>0</v>
      </c>
      <c r="H734" s="39">
        <f t="shared" si="268"/>
        <v>0</v>
      </c>
    </row>
    <row r="735" spans="1:8" s="37" customFormat="1" ht="14.25">
      <c r="A735" s="16" t="s">
        <v>162</v>
      </c>
      <c r="B735" s="16" t="s">
        <v>145</v>
      </c>
      <c r="C735" s="80" t="s">
        <v>54</v>
      </c>
      <c r="D735" s="16" t="s">
        <v>133</v>
      </c>
      <c r="E735" s="103" t="s">
        <v>134</v>
      </c>
      <c r="F735" s="39">
        <f>50+50</f>
        <v>100</v>
      </c>
      <c r="G735" s="41">
        <v>0</v>
      </c>
      <c r="H735" s="41">
        <v>0</v>
      </c>
    </row>
    <row r="736" spans="1:8" ht="14.25">
      <c r="A736" s="35" t="s">
        <v>162</v>
      </c>
      <c r="B736" s="35" t="s">
        <v>146</v>
      </c>
      <c r="C736" s="35"/>
      <c r="D736" s="38"/>
      <c r="E736" s="50" t="s">
        <v>16</v>
      </c>
      <c r="F736" s="42">
        <f t="shared" ref="F736:G736" si="269">F737+F742</f>
        <v>38397.9</v>
      </c>
      <c r="G736" s="42">
        <f t="shared" si="269"/>
        <v>16775.5</v>
      </c>
      <c r="H736" s="42">
        <f t="shared" ref="H736" si="270">H737+H742</f>
        <v>18092</v>
      </c>
    </row>
    <row r="737" spans="1:8" ht="51">
      <c r="A737" s="16" t="s">
        <v>162</v>
      </c>
      <c r="B737" s="16" t="s">
        <v>146</v>
      </c>
      <c r="C737" s="21" t="s">
        <v>121</v>
      </c>
      <c r="D737" s="35"/>
      <c r="E737" s="64" t="s">
        <v>552</v>
      </c>
      <c r="F737" s="101">
        <f t="shared" ref="F737:H738" si="271">F738</f>
        <v>11425.4</v>
      </c>
      <c r="G737" s="101">
        <f t="shared" si="271"/>
        <v>11425.4</v>
      </c>
      <c r="H737" s="101">
        <f t="shared" si="271"/>
        <v>11425.4</v>
      </c>
    </row>
    <row r="738" spans="1:8" ht="25.5">
      <c r="A738" s="16" t="s">
        <v>162</v>
      </c>
      <c r="B738" s="16" t="s">
        <v>146</v>
      </c>
      <c r="C738" s="52" t="s">
        <v>122</v>
      </c>
      <c r="D738" s="35"/>
      <c r="E738" s="46" t="s">
        <v>62</v>
      </c>
      <c r="F738" s="98">
        <f t="shared" si="271"/>
        <v>11425.4</v>
      </c>
      <c r="G738" s="98">
        <f t="shared" si="271"/>
        <v>11425.4</v>
      </c>
      <c r="H738" s="98">
        <f t="shared" si="271"/>
        <v>11425.4</v>
      </c>
    </row>
    <row r="739" spans="1:8" ht="51">
      <c r="A739" s="16" t="s">
        <v>162</v>
      </c>
      <c r="B739" s="16" t="s">
        <v>146</v>
      </c>
      <c r="C739" s="84" t="s">
        <v>565</v>
      </c>
      <c r="D739" s="21"/>
      <c r="E739" s="103" t="s">
        <v>437</v>
      </c>
      <c r="F739" s="99">
        <f t="shared" ref="F739:H739" si="272">SUM(F740:F741)</f>
        <v>11425.4</v>
      </c>
      <c r="G739" s="99">
        <f t="shared" si="272"/>
        <v>11425.4</v>
      </c>
      <c r="H739" s="99">
        <f t="shared" si="272"/>
        <v>11425.4</v>
      </c>
    </row>
    <row r="740" spans="1:8" ht="38.25">
      <c r="A740" s="16" t="s">
        <v>162</v>
      </c>
      <c r="B740" s="16" t="s">
        <v>146</v>
      </c>
      <c r="C740" s="84" t="s">
        <v>565</v>
      </c>
      <c r="D740" s="85" t="s">
        <v>325</v>
      </c>
      <c r="E740" s="103" t="s">
        <v>326</v>
      </c>
      <c r="F740" s="99">
        <v>260</v>
      </c>
      <c r="G740" s="99">
        <v>260</v>
      </c>
      <c r="H740" s="99">
        <v>260</v>
      </c>
    </row>
    <row r="741" spans="1:8" ht="38.25">
      <c r="A741" s="16" t="s">
        <v>162</v>
      </c>
      <c r="B741" s="16" t="s">
        <v>146</v>
      </c>
      <c r="C741" s="84" t="s">
        <v>565</v>
      </c>
      <c r="D741" s="85" t="s">
        <v>396</v>
      </c>
      <c r="E741" s="103" t="s">
        <v>383</v>
      </c>
      <c r="F741" s="99">
        <v>11165.4</v>
      </c>
      <c r="G741" s="99">
        <v>11165.4</v>
      </c>
      <c r="H741" s="99">
        <v>11165.4</v>
      </c>
    </row>
    <row r="742" spans="1:8" ht="51.75" customHeight="1">
      <c r="A742" s="5" t="s">
        <v>162</v>
      </c>
      <c r="B742" s="5" t="s">
        <v>146</v>
      </c>
      <c r="C742" s="73" t="s">
        <v>48</v>
      </c>
      <c r="D742" s="3"/>
      <c r="E742" s="64" t="s">
        <v>551</v>
      </c>
      <c r="F742" s="59">
        <f t="shared" ref="F742:H742" si="273">F743</f>
        <v>26972.5</v>
      </c>
      <c r="G742" s="59">
        <f t="shared" si="273"/>
        <v>5350.1</v>
      </c>
      <c r="H742" s="59">
        <f t="shared" si="273"/>
        <v>6666.6</v>
      </c>
    </row>
    <row r="743" spans="1:8" ht="25.5">
      <c r="A743" s="47" t="s">
        <v>162</v>
      </c>
      <c r="B743" s="47" t="s">
        <v>146</v>
      </c>
      <c r="C743" s="52" t="s">
        <v>49</v>
      </c>
      <c r="D743" s="35"/>
      <c r="E743" s="46" t="s">
        <v>135</v>
      </c>
      <c r="F743" s="98">
        <f>F744+F746+F748+F750+F752</f>
        <v>26972.5</v>
      </c>
      <c r="G743" s="98">
        <f t="shared" ref="G743:H743" si="274">G744+G746+G748+G750+G752</f>
        <v>5350.1</v>
      </c>
      <c r="H743" s="98">
        <f t="shared" si="274"/>
        <v>6666.6</v>
      </c>
    </row>
    <row r="744" spans="1:8" ht="39">
      <c r="A744" s="16" t="s">
        <v>162</v>
      </c>
      <c r="B744" s="16" t="s">
        <v>146</v>
      </c>
      <c r="C744" s="21" t="s">
        <v>480</v>
      </c>
      <c r="D744" s="3"/>
      <c r="E744" s="172" t="s">
        <v>304</v>
      </c>
      <c r="F744" s="41">
        <f t="shared" ref="F744:H744" si="275">F745</f>
        <v>626.6</v>
      </c>
      <c r="G744" s="41">
        <f t="shared" si="275"/>
        <v>629.20000000000005</v>
      </c>
      <c r="H744" s="41">
        <f t="shared" si="275"/>
        <v>419.5</v>
      </c>
    </row>
    <row r="745" spans="1:8">
      <c r="A745" s="16" t="s">
        <v>162</v>
      </c>
      <c r="B745" s="16" t="s">
        <v>146</v>
      </c>
      <c r="C745" s="21" t="s">
        <v>480</v>
      </c>
      <c r="D745" s="85" t="s">
        <v>382</v>
      </c>
      <c r="E745" s="108" t="s">
        <v>381</v>
      </c>
      <c r="F745" s="41">
        <f>629.2-2.6</f>
        <v>626.6</v>
      </c>
      <c r="G745" s="41">
        <v>629.20000000000005</v>
      </c>
      <c r="H745" s="41">
        <v>419.5</v>
      </c>
    </row>
    <row r="746" spans="1:8" ht="36.75" customHeight="1">
      <c r="A746" s="16" t="s">
        <v>162</v>
      </c>
      <c r="B746" s="16" t="s">
        <v>146</v>
      </c>
      <c r="C746" s="21" t="s">
        <v>890</v>
      </c>
      <c r="D746" s="85"/>
      <c r="E746" s="54" t="s">
        <v>889</v>
      </c>
      <c r="F746" s="41">
        <f>F747</f>
        <v>2506.7000000000003</v>
      </c>
      <c r="G746" s="41">
        <f t="shared" ref="G746:H746" si="276">G747</f>
        <v>0</v>
      </c>
      <c r="H746" s="41">
        <f t="shared" si="276"/>
        <v>0</v>
      </c>
    </row>
    <row r="747" spans="1:8">
      <c r="A747" s="16" t="s">
        <v>162</v>
      </c>
      <c r="B747" s="16" t="s">
        <v>146</v>
      </c>
      <c r="C747" s="21" t="s">
        <v>890</v>
      </c>
      <c r="D747" s="85" t="s">
        <v>382</v>
      </c>
      <c r="E747" s="108" t="s">
        <v>381</v>
      </c>
      <c r="F747" s="41">
        <f>2516.8-10.1</f>
        <v>2506.7000000000003</v>
      </c>
      <c r="G747" s="41">
        <v>0</v>
      </c>
      <c r="H747" s="41">
        <v>0</v>
      </c>
    </row>
    <row r="748" spans="1:8" ht="51">
      <c r="A748" s="16" t="s">
        <v>162</v>
      </c>
      <c r="B748" s="16" t="s">
        <v>146</v>
      </c>
      <c r="C748" s="80">
        <v>1310210820</v>
      </c>
      <c r="D748" s="16"/>
      <c r="E748" s="103" t="s">
        <v>244</v>
      </c>
      <c r="F748" s="39">
        <f t="shared" ref="F748:H748" si="277">F749</f>
        <v>2936.3</v>
      </c>
      <c r="G748" s="39">
        <f t="shared" si="277"/>
        <v>0</v>
      </c>
      <c r="H748" s="39">
        <f t="shared" si="277"/>
        <v>1131</v>
      </c>
    </row>
    <row r="749" spans="1:8">
      <c r="A749" s="16" t="s">
        <v>162</v>
      </c>
      <c r="B749" s="16" t="s">
        <v>146</v>
      </c>
      <c r="C749" s="80">
        <v>1310210820</v>
      </c>
      <c r="D749" s="85" t="s">
        <v>382</v>
      </c>
      <c r="E749" s="108" t="s">
        <v>381</v>
      </c>
      <c r="F749" s="39">
        <v>2936.3</v>
      </c>
      <c r="G749" s="39">
        <f>978.8-978.8</f>
        <v>0</v>
      </c>
      <c r="H749" s="39">
        <v>1131</v>
      </c>
    </row>
    <row r="750" spans="1:8" ht="38.25">
      <c r="A750" s="16" t="s">
        <v>162</v>
      </c>
      <c r="B750" s="16" t="s">
        <v>146</v>
      </c>
      <c r="C750" s="80" t="s">
        <v>605</v>
      </c>
      <c r="D750" s="16"/>
      <c r="E750" s="103" t="s">
        <v>491</v>
      </c>
      <c r="F750" s="39">
        <f t="shared" ref="F750:H750" si="278">F751</f>
        <v>6851.4</v>
      </c>
      <c r="G750" s="39">
        <f t="shared" si="278"/>
        <v>2261.9</v>
      </c>
      <c r="H750" s="39">
        <f t="shared" si="278"/>
        <v>2261.9</v>
      </c>
    </row>
    <row r="751" spans="1:8">
      <c r="A751" s="16" t="s">
        <v>162</v>
      </c>
      <c r="B751" s="16" t="s">
        <v>146</v>
      </c>
      <c r="C751" s="80" t="s">
        <v>605</v>
      </c>
      <c r="D751" s="85" t="s">
        <v>382</v>
      </c>
      <c r="E751" s="108" t="s">
        <v>381</v>
      </c>
      <c r="F751" s="39">
        <v>6851.4</v>
      </c>
      <c r="G751" s="39">
        <v>2261.9</v>
      </c>
      <c r="H751" s="39">
        <v>2261.9</v>
      </c>
    </row>
    <row r="752" spans="1:8" ht="51">
      <c r="A752" s="16" t="s">
        <v>162</v>
      </c>
      <c r="B752" s="16" t="s">
        <v>146</v>
      </c>
      <c r="C752" s="74" t="s">
        <v>544</v>
      </c>
      <c r="D752" s="16"/>
      <c r="E752" s="103" t="s">
        <v>507</v>
      </c>
      <c r="F752" s="99">
        <f t="shared" ref="F752:H752" si="279">F753</f>
        <v>14051.5</v>
      </c>
      <c r="G752" s="99">
        <f t="shared" si="279"/>
        <v>2459</v>
      </c>
      <c r="H752" s="99">
        <f t="shared" si="279"/>
        <v>2854.2</v>
      </c>
    </row>
    <row r="753" spans="1:8" ht="38.25">
      <c r="A753" s="16" t="s">
        <v>162</v>
      </c>
      <c r="B753" s="16" t="s">
        <v>146</v>
      </c>
      <c r="C753" s="74" t="s">
        <v>544</v>
      </c>
      <c r="D753" s="85" t="s">
        <v>396</v>
      </c>
      <c r="E753" s="103" t="s">
        <v>383</v>
      </c>
      <c r="F753" s="99">
        <f>2810.3+11241.2</f>
        <v>14051.5</v>
      </c>
      <c r="G753" s="99">
        <v>2459</v>
      </c>
      <c r="H753" s="99">
        <v>2854.2</v>
      </c>
    </row>
    <row r="754" spans="1:8" ht="15.75">
      <c r="A754" s="4" t="s">
        <v>154</v>
      </c>
      <c r="B754" s="3"/>
      <c r="C754" s="3"/>
      <c r="D754" s="3"/>
      <c r="E754" s="49" t="s">
        <v>175</v>
      </c>
      <c r="F754" s="97">
        <f t="shared" ref="F754:H756" si="280">F755</f>
        <v>918.7</v>
      </c>
      <c r="G754" s="97">
        <f t="shared" si="280"/>
        <v>666.09999999999991</v>
      </c>
      <c r="H754" s="97">
        <f t="shared" si="280"/>
        <v>666.09999999999991</v>
      </c>
    </row>
    <row r="755" spans="1:8" s="37" customFormat="1" ht="14.25">
      <c r="A755" s="35" t="s">
        <v>154</v>
      </c>
      <c r="B755" s="35" t="s">
        <v>141</v>
      </c>
      <c r="C755" s="35"/>
      <c r="D755" s="35"/>
      <c r="E755" s="46" t="s">
        <v>6</v>
      </c>
      <c r="F755" s="42">
        <f t="shared" si="280"/>
        <v>918.7</v>
      </c>
      <c r="G755" s="42">
        <f t="shared" si="280"/>
        <v>666.09999999999991</v>
      </c>
      <c r="H755" s="42">
        <f t="shared" si="280"/>
        <v>666.09999999999991</v>
      </c>
    </row>
    <row r="756" spans="1:8" s="37" customFormat="1" ht="52.5" customHeight="1">
      <c r="A756" s="16" t="s">
        <v>154</v>
      </c>
      <c r="B756" s="16" t="s">
        <v>141</v>
      </c>
      <c r="C756" s="73" t="s">
        <v>101</v>
      </c>
      <c r="D756" s="35"/>
      <c r="E756" s="53" t="s">
        <v>556</v>
      </c>
      <c r="F756" s="62">
        <f t="shared" si="280"/>
        <v>918.7</v>
      </c>
      <c r="G756" s="62">
        <f t="shared" si="280"/>
        <v>666.09999999999991</v>
      </c>
      <c r="H756" s="62">
        <f t="shared" si="280"/>
        <v>666.09999999999991</v>
      </c>
    </row>
    <row r="757" spans="1:8" s="37" customFormat="1" ht="38.25">
      <c r="A757" s="47" t="s">
        <v>154</v>
      </c>
      <c r="B757" s="47" t="s">
        <v>141</v>
      </c>
      <c r="C757" s="52" t="s">
        <v>65</v>
      </c>
      <c r="D757" s="35"/>
      <c r="E757" s="48" t="s">
        <v>303</v>
      </c>
      <c r="F757" s="58">
        <f>F758+F760+F763</f>
        <v>918.7</v>
      </c>
      <c r="G757" s="58">
        <f t="shared" ref="G757:H757" si="281">G758+G760+G763</f>
        <v>666.09999999999991</v>
      </c>
      <c r="H757" s="58">
        <f t="shared" si="281"/>
        <v>666.09999999999991</v>
      </c>
    </row>
    <row r="758" spans="1:8" s="37" customFormat="1" ht="89.25">
      <c r="A758" s="16" t="s">
        <v>154</v>
      </c>
      <c r="B758" s="16" t="s">
        <v>141</v>
      </c>
      <c r="C758" s="21" t="s">
        <v>66</v>
      </c>
      <c r="D758" s="21"/>
      <c r="E758" s="105" t="s">
        <v>256</v>
      </c>
      <c r="F758" s="39">
        <f t="shared" ref="F758:H758" si="282">F759</f>
        <v>282.2</v>
      </c>
      <c r="G758" s="39">
        <f t="shared" si="282"/>
        <v>282.2</v>
      </c>
      <c r="H758" s="39">
        <f t="shared" si="282"/>
        <v>282.2</v>
      </c>
    </row>
    <row r="759" spans="1:8" s="37" customFormat="1" ht="38.25">
      <c r="A759" s="16" t="s">
        <v>154</v>
      </c>
      <c r="B759" s="16" t="s">
        <v>141</v>
      </c>
      <c r="C759" s="21" t="s">
        <v>66</v>
      </c>
      <c r="D759" s="85" t="s">
        <v>325</v>
      </c>
      <c r="E759" s="103" t="s">
        <v>326</v>
      </c>
      <c r="F759" s="39">
        <v>282.2</v>
      </c>
      <c r="G759" s="39">
        <v>282.2</v>
      </c>
      <c r="H759" s="39">
        <v>282.2</v>
      </c>
    </row>
    <row r="760" spans="1:8" s="37" customFormat="1" ht="63.75">
      <c r="A760" s="16" t="s">
        <v>154</v>
      </c>
      <c r="B760" s="16" t="s">
        <v>141</v>
      </c>
      <c r="C760" s="21" t="s">
        <v>67</v>
      </c>
      <c r="D760" s="21"/>
      <c r="E760" s="105" t="s">
        <v>104</v>
      </c>
      <c r="F760" s="39">
        <f t="shared" ref="F760:G760" si="283">SUM(F761:F762)</f>
        <v>52.4</v>
      </c>
      <c r="G760" s="39">
        <f t="shared" si="283"/>
        <v>383.9</v>
      </c>
      <c r="H760" s="39">
        <f t="shared" ref="H760" si="284">SUM(H761:H762)</f>
        <v>383.9</v>
      </c>
    </row>
    <row r="761" spans="1:8" s="37" customFormat="1" ht="25.5">
      <c r="A761" s="16" t="s">
        <v>154</v>
      </c>
      <c r="B761" s="16" t="s">
        <v>141</v>
      </c>
      <c r="C761" s="21" t="s">
        <v>67</v>
      </c>
      <c r="D761" s="85" t="s">
        <v>107</v>
      </c>
      <c r="E761" s="55" t="s">
        <v>182</v>
      </c>
      <c r="F761" s="39">
        <v>27.4</v>
      </c>
      <c r="G761" s="39">
        <v>283.89999999999998</v>
      </c>
      <c r="H761" s="39">
        <v>283.89999999999998</v>
      </c>
    </row>
    <row r="762" spans="1:8" ht="43.5" customHeight="1">
      <c r="A762" s="16" t="s">
        <v>154</v>
      </c>
      <c r="B762" s="16" t="s">
        <v>141</v>
      </c>
      <c r="C762" s="21" t="s">
        <v>67</v>
      </c>
      <c r="D762" s="85" t="s">
        <v>325</v>
      </c>
      <c r="E762" s="103" t="s">
        <v>326</v>
      </c>
      <c r="F762" s="39">
        <v>25</v>
      </c>
      <c r="G762" s="39">
        <v>100</v>
      </c>
      <c r="H762" s="39">
        <v>100</v>
      </c>
    </row>
    <row r="763" spans="1:8" ht="28.5" customHeight="1">
      <c r="A763" s="16" t="s">
        <v>154</v>
      </c>
      <c r="B763" s="16" t="s">
        <v>141</v>
      </c>
      <c r="C763" s="21" t="s">
        <v>911</v>
      </c>
      <c r="D763" s="85"/>
      <c r="E763" s="103" t="s">
        <v>912</v>
      </c>
      <c r="F763" s="39">
        <f>F764</f>
        <v>584.1</v>
      </c>
      <c r="G763" s="39">
        <f t="shared" ref="G763:H763" si="285">G764</f>
        <v>0</v>
      </c>
      <c r="H763" s="39">
        <f t="shared" si="285"/>
        <v>0</v>
      </c>
    </row>
    <row r="764" spans="1:8" ht="43.5" customHeight="1">
      <c r="A764" s="16" t="s">
        <v>154</v>
      </c>
      <c r="B764" s="16" t="s">
        <v>141</v>
      </c>
      <c r="C764" s="21" t="s">
        <v>911</v>
      </c>
      <c r="D764" s="85" t="s">
        <v>325</v>
      </c>
      <c r="E764" s="103" t="s">
        <v>326</v>
      </c>
      <c r="F764" s="39">
        <v>584.1</v>
      </c>
      <c r="G764" s="39">
        <v>0</v>
      </c>
      <c r="H764" s="39">
        <v>0</v>
      </c>
    </row>
    <row r="765" spans="1:8" ht="20.25" customHeight="1">
      <c r="A765" s="4" t="s">
        <v>174</v>
      </c>
      <c r="B765" s="3"/>
      <c r="C765" s="3"/>
      <c r="D765" s="3"/>
      <c r="E765" s="49" t="s">
        <v>8</v>
      </c>
      <c r="F765" s="97">
        <f t="shared" ref="F765:H767" si="286">F766</f>
        <v>3591.5</v>
      </c>
      <c r="G765" s="97">
        <f t="shared" si="286"/>
        <v>2384.4</v>
      </c>
      <c r="H765" s="97">
        <f t="shared" si="286"/>
        <v>2384.4</v>
      </c>
    </row>
    <row r="766" spans="1:8" ht="27.75" customHeight="1">
      <c r="A766" s="35" t="s">
        <v>174</v>
      </c>
      <c r="B766" s="35" t="s">
        <v>146</v>
      </c>
      <c r="C766" s="35"/>
      <c r="D766" s="35"/>
      <c r="E766" s="50" t="s">
        <v>19</v>
      </c>
      <c r="F766" s="40">
        <f t="shared" si="286"/>
        <v>3591.5</v>
      </c>
      <c r="G766" s="40">
        <f t="shared" si="286"/>
        <v>2384.4</v>
      </c>
      <c r="H766" s="40">
        <f t="shared" si="286"/>
        <v>2384.4</v>
      </c>
    </row>
    <row r="767" spans="1:8" s="20" customFormat="1" ht="64.5">
      <c r="A767" s="16" t="s">
        <v>174</v>
      </c>
      <c r="B767" s="16" t="s">
        <v>146</v>
      </c>
      <c r="C767" s="74">
        <v>400000000</v>
      </c>
      <c r="D767" s="30"/>
      <c r="E767" s="64" t="s">
        <v>532</v>
      </c>
      <c r="F767" s="101">
        <f t="shared" si="286"/>
        <v>3591.5</v>
      </c>
      <c r="G767" s="101">
        <f t="shared" si="286"/>
        <v>2384.4</v>
      </c>
      <c r="H767" s="101">
        <f t="shared" si="286"/>
        <v>2384.4</v>
      </c>
    </row>
    <row r="768" spans="1:8" s="20" customFormat="1" ht="51.75">
      <c r="A768" s="16" t="s">
        <v>174</v>
      </c>
      <c r="B768" s="16" t="s">
        <v>146</v>
      </c>
      <c r="C768" s="75">
        <v>420000000</v>
      </c>
      <c r="D768" s="30"/>
      <c r="E768" s="46" t="s">
        <v>238</v>
      </c>
      <c r="F768" s="98">
        <f>F769+F771+F773+F775+F777+F779+F781</f>
        <v>3591.5</v>
      </c>
      <c r="G768" s="98">
        <f t="shared" ref="G768:H768" si="287">G769+G771+G773+G775+G777+G779</f>
        <v>2384.4</v>
      </c>
      <c r="H768" s="98">
        <f t="shared" si="287"/>
        <v>2384.4</v>
      </c>
    </row>
    <row r="769" spans="1:8" s="20" customFormat="1" ht="51.75" customHeight="1">
      <c r="A769" s="16" t="s">
        <v>174</v>
      </c>
      <c r="B769" s="16" t="s">
        <v>146</v>
      </c>
      <c r="C769" s="74" t="s">
        <v>481</v>
      </c>
      <c r="D769" s="16"/>
      <c r="E769" s="103" t="s">
        <v>635</v>
      </c>
      <c r="F769" s="41">
        <f t="shared" ref="F769:H769" si="288">F770</f>
        <v>300</v>
      </c>
      <c r="G769" s="41">
        <f t="shared" si="288"/>
        <v>300</v>
      </c>
      <c r="H769" s="41">
        <f t="shared" si="288"/>
        <v>300</v>
      </c>
    </row>
    <row r="770" spans="1:8" s="20" customFormat="1" ht="78.75" customHeight="1">
      <c r="A770" s="16" t="s">
        <v>174</v>
      </c>
      <c r="B770" s="16" t="s">
        <v>146</v>
      </c>
      <c r="C770" s="74" t="s">
        <v>481</v>
      </c>
      <c r="D770" s="16" t="s">
        <v>24</v>
      </c>
      <c r="E770" s="171" t="s">
        <v>654</v>
      </c>
      <c r="F770" s="41">
        <v>300</v>
      </c>
      <c r="G770" s="41">
        <v>300</v>
      </c>
      <c r="H770" s="41">
        <v>300</v>
      </c>
    </row>
    <row r="771" spans="1:8" s="20" customFormat="1" ht="76.5" customHeight="1">
      <c r="A771" s="16" t="s">
        <v>174</v>
      </c>
      <c r="B771" s="16" t="s">
        <v>146</v>
      </c>
      <c r="C771" s="74" t="s">
        <v>127</v>
      </c>
      <c r="D771" s="30"/>
      <c r="E771" s="103" t="s">
        <v>247</v>
      </c>
      <c r="F771" s="41">
        <f t="shared" ref="F771" si="289">F772</f>
        <v>575.29999999999995</v>
      </c>
      <c r="G771" s="41">
        <f t="shared" ref="G771:H771" si="290">G772</f>
        <v>300</v>
      </c>
      <c r="H771" s="41">
        <f t="shared" si="290"/>
        <v>300</v>
      </c>
    </row>
    <row r="772" spans="1:8" s="20" customFormat="1" ht="38.25">
      <c r="A772" s="16" t="s">
        <v>174</v>
      </c>
      <c r="B772" s="16" t="s">
        <v>146</v>
      </c>
      <c r="C772" s="74" t="s">
        <v>127</v>
      </c>
      <c r="D772" s="85" t="s">
        <v>325</v>
      </c>
      <c r="E772" s="103" t="s">
        <v>326</v>
      </c>
      <c r="F772" s="41">
        <v>575.29999999999995</v>
      </c>
      <c r="G772" s="41">
        <v>300</v>
      </c>
      <c r="H772" s="41">
        <v>300</v>
      </c>
    </row>
    <row r="773" spans="1:8" s="20" customFormat="1" ht="76.5">
      <c r="A773" s="16" t="s">
        <v>174</v>
      </c>
      <c r="B773" s="16" t="s">
        <v>146</v>
      </c>
      <c r="C773" s="74" t="s">
        <v>239</v>
      </c>
      <c r="D773" s="30"/>
      <c r="E773" s="103" t="s">
        <v>308</v>
      </c>
      <c r="F773" s="41">
        <f t="shared" ref="F773" si="291">F774</f>
        <v>436.8</v>
      </c>
      <c r="G773" s="41">
        <f t="shared" ref="G773:H773" si="292">G774</f>
        <v>300</v>
      </c>
      <c r="H773" s="41">
        <f t="shared" si="292"/>
        <v>300</v>
      </c>
    </row>
    <row r="774" spans="1:8" s="20" customFormat="1" ht="38.25">
      <c r="A774" s="16" t="s">
        <v>174</v>
      </c>
      <c r="B774" s="16" t="s">
        <v>146</v>
      </c>
      <c r="C774" s="74" t="s">
        <v>239</v>
      </c>
      <c r="D774" s="85" t="s">
        <v>325</v>
      </c>
      <c r="E774" s="103" t="s">
        <v>326</v>
      </c>
      <c r="F774" s="41">
        <v>436.8</v>
      </c>
      <c r="G774" s="41">
        <v>300</v>
      </c>
      <c r="H774" s="41">
        <v>300</v>
      </c>
    </row>
    <row r="775" spans="1:8" s="20" customFormat="1" ht="78.75" customHeight="1">
      <c r="A775" s="16" t="s">
        <v>174</v>
      </c>
      <c r="B775" s="16" t="s">
        <v>146</v>
      </c>
      <c r="C775" s="74" t="s">
        <v>240</v>
      </c>
      <c r="D775" s="16"/>
      <c r="E775" s="103" t="s">
        <v>64</v>
      </c>
      <c r="F775" s="41">
        <f t="shared" ref="F775" si="293">F776</f>
        <v>1300</v>
      </c>
      <c r="G775" s="41">
        <f t="shared" ref="G775:H775" si="294">G776</f>
        <v>600</v>
      </c>
      <c r="H775" s="41">
        <f t="shared" si="294"/>
        <v>600</v>
      </c>
    </row>
    <row r="776" spans="1:8" s="20" customFormat="1" ht="38.25">
      <c r="A776" s="16" t="s">
        <v>174</v>
      </c>
      <c r="B776" s="16" t="s">
        <v>146</v>
      </c>
      <c r="C776" s="74" t="s">
        <v>240</v>
      </c>
      <c r="D776" s="85" t="s">
        <v>325</v>
      </c>
      <c r="E776" s="103" t="s">
        <v>326</v>
      </c>
      <c r="F776" s="41">
        <v>1300</v>
      </c>
      <c r="G776" s="41">
        <v>600</v>
      </c>
      <c r="H776" s="41">
        <v>600</v>
      </c>
    </row>
    <row r="777" spans="1:8" s="20" customFormat="1" ht="38.25">
      <c r="A777" s="16" t="s">
        <v>174</v>
      </c>
      <c r="B777" s="16" t="s">
        <v>146</v>
      </c>
      <c r="C777" s="74">
        <v>420110320</v>
      </c>
      <c r="D777" s="16"/>
      <c r="E777" s="103" t="s">
        <v>666</v>
      </c>
      <c r="F777" s="41">
        <f t="shared" ref="F777:H777" si="295">F778</f>
        <v>884.4</v>
      </c>
      <c r="G777" s="41">
        <f t="shared" si="295"/>
        <v>884.4</v>
      </c>
      <c r="H777" s="41">
        <f t="shared" si="295"/>
        <v>884.4</v>
      </c>
    </row>
    <row r="778" spans="1:8" s="20" customFormat="1" ht="80.25" customHeight="1">
      <c r="A778" s="16" t="s">
        <v>174</v>
      </c>
      <c r="B778" s="16" t="s">
        <v>146</v>
      </c>
      <c r="C778" s="74">
        <v>420110320</v>
      </c>
      <c r="D778" s="16" t="s">
        <v>24</v>
      </c>
      <c r="E778" s="105" t="s">
        <v>655</v>
      </c>
      <c r="F778" s="41">
        <v>884.4</v>
      </c>
      <c r="G778" s="41">
        <v>884.4</v>
      </c>
      <c r="H778" s="41">
        <v>884.4</v>
      </c>
    </row>
    <row r="779" spans="1:8" s="20" customFormat="1" ht="43.5" customHeight="1">
      <c r="A779" s="16" t="s">
        <v>174</v>
      </c>
      <c r="B779" s="16" t="s">
        <v>146</v>
      </c>
      <c r="C779" s="74" t="s">
        <v>815</v>
      </c>
      <c r="D779" s="16"/>
      <c r="E779" s="103" t="s">
        <v>816</v>
      </c>
      <c r="F779" s="41">
        <f>F780</f>
        <v>10</v>
      </c>
      <c r="G779" s="41">
        <f t="shared" ref="G779:H779" si="296">G780</f>
        <v>0</v>
      </c>
      <c r="H779" s="41">
        <f t="shared" si="296"/>
        <v>0</v>
      </c>
    </row>
    <row r="780" spans="1:8" s="20" customFormat="1" ht="80.25" customHeight="1">
      <c r="A780" s="16" t="s">
        <v>174</v>
      </c>
      <c r="B780" s="16" t="s">
        <v>146</v>
      </c>
      <c r="C780" s="74" t="s">
        <v>815</v>
      </c>
      <c r="D780" s="16" t="s">
        <v>24</v>
      </c>
      <c r="E780" s="105" t="s">
        <v>655</v>
      </c>
      <c r="F780" s="41">
        <v>10</v>
      </c>
      <c r="G780" s="41">
        <v>0</v>
      </c>
      <c r="H780" s="41">
        <v>0</v>
      </c>
    </row>
    <row r="781" spans="1:8" s="20" customFormat="1" ht="52.5" customHeight="1">
      <c r="A781" s="16" t="s">
        <v>174</v>
      </c>
      <c r="B781" s="16" t="s">
        <v>146</v>
      </c>
      <c r="C781" s="74">
        <v>420110490</v>
      </c>
      <c r="D781" s="16"/>
      <c r="E781" s="165" t="s">
        <v>958</v>
      </c>
      <c r="F781" s="41">
        <f>F782</f>
        <v>85</v>
      </c>
      <c r="G781" s="41">
        <f t="shared" ref="G781:H781" si="297">G782</f>
        <v>0</v>
      </c>
      <c r="H781" s="41">
        <f t="shared" si="297"/>
        <v>0</v>
      </c>
    </row>
    <row r="782" spans="1:8" s="20" customFormat="1" ht="80.25" customHeight="1">
      <c r="A782" s="16" t="s">
        <v>174</v>
      </c>
      <c r="B782" s="16" t="s">
        <v>146</v>
      </c>
      <c r="C782" s="74">
        <v>420110490</v>
      </c>
      <c r="D782" s="16" t="s">
        <v>24</v>
      </c>
      <c r="E782" s="105" t="s">
        <v>655</v>
      </c>
      <c r="F782" s="41">
        <v>85</v>
      </c>
      <c r="G782" s="41">
        <v>0</v>
      </c>
      <c r="H782" s="41">
        <v>0</v>
      </c>
    </row>
    <row r="783" spans="1:8" s="20" customFormat="1" ht="30.75" customHeight="1">
      <c r="A783" s="4" t="s">
        <v>9</v>
      </c>
      <c r="B783" s="3"/>
      <c r="C783" s="10"/>
      <c r="D783" s="16"/>
      <c r="E783" s="49" t="s">
        <v>11</v>
      </c>
      <c r="F783" s="97">
        <f t="shared" ref="F783:H787" si="298">F784</f>
        <v>35</v>
      </c>
      <c r="G783" s="97">
        <f t="shared" si="298"/>
        <v>0</v>
      </c>
      <c r="H783" s="97">
        <f t="shared" si="298"/>
        <v>0</v>
      </c>
    </row>
    <row r="784" spans="1:8" s="20" customFormat="1" ht="26.25">
      <c r="A784" s="47" t="s">
        <v>9</v>
      </c>
      <c r="B784" s="47" t="s">
        <v>140</v>
      </c>
      <c r="C784" s="48"/>
      <c r="D784" s="47"/>
      <c r="E784" s="48" t="s">
        <v>295</v>
      </c>
      <c r="F784" s="98">
        <f t="shared" si="298"/>
        <v>35</v>
      </c>
      <c r="G784" s="98">
        <f t="shared" si="298"/>
        <v>0</v>
      </c>
      <c r="H784" s="98">
        <f t="shared" si="298"/>
        <v>0</v>
      </c>
    </row>
    <row r="785" spans="1:8" s="20" customFormat="1" ht="25.5">
      <c r="A785" s="16" t="s">
        <v>9</v>
      </c>
      <c r="B785" s="16" t="s">
        <v>140</v>
      </c>
      <c r="C785" s="80">
        <v>9900000000</v>
      </c>
      <c r="D785" s="35"/>
      <c r="E785" s="55" t="s">
        <v>202</v>
      </c>
      <c r="F785" s="39">
        <f t="shared" si="298"/>
        <v>35</v>
      </c>
      <c r="G785" s="39">
        <f t="shared" si="298"/>
        <v>0</v>
      </c>
      <c r="H785" s="39">
        <f t="shared" si="298"/>
        <v>0</v>
      </c>
    </row>
    <row r="786" spans="1:8" s="20" customFormat="1" ht="39">
      <c r="A786" s="16" t="s">
        <v>9</v>
      </c>
      <c r="B786" s="16" t="s">
        <v>140</v>
      </c>
      <c r="C786" s="80">
        <v>9940000000</v>
      </c>
      <c r="D786" s="16"/>
      <c r="E786" s="22" t="s">
        <v>56</v>
      </c>
      <c r="F786" s="39">
        <f t="shared" si="298"/>
        <v>35</v>
      </c>
      <c r="G786" s="39">
        <f t="shared" si="298"/>
        <v>0</v>
      </c>
      <c r="H786" s="39">
        <f t="shared" si="298"/>
        <v>0</v>
      </c>
    </row>
    <row r="787" spans="1:8" s="20" customFormat="1" ht="26.25">
      <c r="A787" s="16" t="s">
        <v>9</v>
      </c>
      <c r="B787" s="16" t="s">
        <v>140</v>
      </c>
      <c r="C787" s="80" t="s">
        <v>432</v>
      </c>
      <c r="D787" s="16"/>
      <c r="E787" s="105" t="s">
        <v>12</v>
      </c>
      <c r="F787" s="39">
        <f t="shared" si="298"/>
        <v>35</v>
      </c>
      <c r="G787" s="39">
        <f t="shared" si="298"/>
        <v>0</v>
      </c>
      <c r="H787" s="39">
        <f t="shared" si="298"/>
        <v>0</v>
      </c>
    </row>
    <row r="788" spans="1:8" s="20" customFormat="1" ht="15">
      <c r="A788" s="16" t="s">
        <v>9</v>
      </c>
      <c r="B788" s="16" t="s">
        <v>140</v>
      </c>
      <c r="C788" s="80" t="s">
        <v>432</v>
      </c>
      <c r="D788" s="16" t="s">
        <v>17</v>
      </c>
      <c r="E788" s="103" t="s">
        <v>18</v>
      </c>
      <c r="F788" s="39">
        <v>35</v>
      </c>
      <c r="G788" s="39">
        <v>0</v>
      </c>
      <c r="H788" s="39">
        <v>0</v>
      </c>
    </row>
    <row r="790" spans="1:8">
      <c r="F790" s="109"/>
    </row>
  </sheetData>
  <mergeCells count="9">
    <mergeCell ref="A16:H16"/>
    <mergeCell ref="A19:A21"/>
    <mergeCell ref="B19:B21"/>
    <mergeCell ref="C19:C21"/>
    <mergeCell ref="D19:D21"/>
    <mergeCell ref="E19:E21"/>
    <mergeCell ref="F19:H19"/>
    <mergeCell ref="F20:F21"/>
    <mergeCell ref="G20:H20"/>
  </mergeCells>
  <phoneticPr fontId="2" type="noConversion"/>
  <pageMargins left="0.27559055118110237" right="0.19685039370078741" top="0.3543307086614173" bottom="0.3543307086614173" header="0" footer="0"/>
  <pageSetup paperSize="9" fitToHeight="0" orientation="portrait" r:id="rId1"/>
  <headerFooter>
    <oddFooter>&amp;R&amp;P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3">
    <pageSetUpPr fitToPage="1"/>
  </sheetPr>
  <dimension ref="A1:L912"/>
  <sheetViews>
    <sheetView view="pageBreakPreview" topLeftCell="B1" zoomScale="60" zoomScaleNormal="100" workbookViewId="0">
      <selection activeCell="G5" sqref="G5"/>
    </sheetView>
  </sheetViews>
  <sheetFormatPr defaultColWidth="9.140625" defaultRowHeight="12.75"/>
  <cols>
    <col min="1" max="1" width="2.28515625" style="95" hidden="1" customWidth="1"/>
    <col min="2" max="2" width="3.7109375" style="68" customWidth="1"/>
    <col min="3" max="3" width="2.85546875" style="95" customWidth="1"/>
    <col min="4" max="4" width="2.5703125" style="95" customWidth="1"/>
    <col min="5" max="5" width="11.5703125" style="95" customWidth="1"/>
    <col min="6" max="6" width="3.42578125" style="95" customWidth="1"/>
    <col min="7" max="7" width="37.85546875" style="95" customWidth="1"/>
    <col min="8" max="8" width="11" style="95" customWidth="1"/>
    <col min="9" max="9" width="10.28515625" style="95" customWidth="1"/>
    <col min="10" max="10" width="9.5703125" style="95" customWidth="1"/>
    <col min="11" max="16384" width="9.140625" style="95"/>
  </cols>
  <sheetData>
    <row r="1" spans="1:10">
      <c r="G1" s="89" t="s">
        <v>777</v>
      </c>
    </row>
    <row r="2" spans="1:10">
      <c r="G2" s="89" t="s">
        <v>196</v>
      </c>
    </row>
    <row r="3" spans="1:10">
      <c r="G3" s="89" t="s">
        <v>1003</v>
      </c>
    </row>
    <row r="4" spans="1:10">
      <c r="G4" s="89" t="s">
        <v>773</v>
      </c>
    </row>
    <row r="5" spans="1:10">
      <c r="G5" s="89" t="s">
        <v>774</v>
      </c>
    </row>
    <row r="6" spans="1:10">
      <c r="G6" s="89" t="s">
        <v>200</v>
      </c>
    </row>
    <row r="7" spans="1:10">
      <c r="G7" s="89" t="s">
        <v>711</v>
      </c>
    </row>
    <row r="9" spans="1:10" s="138" customFormat="1">
      <c r="B9" s="237" t="s">
        <v>138</v>
      </c>
      <c r="C9" s="237"/>
      <c r="G9" s="89" t="s">
        <v>223</v>
      </c>
      <c r="H9" s="90"/>
      <c r="I9" s="90"/>
      <c r="J9" s="90"/>
    </row>
    <row r="10" spans="1:10" s="138" customFormat="1">
      <c r="B10" s="238" t="s">
        <v>189</v>
      </c>
      <c r="C10" s="238"/>
      <c r="G10" s="89" t="s">
        <v>690</v>
      </c>
      <c r="H10" s="89"/>
      <c r="I10" s="90"/>
      <c r="J10" s="90"/>
    </row>
    <row r="11" spans="1:10" s="138" customFormat="1">
      <c r="B11" s="237" t="s">
        <v>180</v>
      </c>
      <c r="C11" s="237"/>
      <c r="G11" s="89" t="s">
        <v>760</v>
      </c>
      <c r="H11" s="89"/>
      <c r="I11" s="90"/>
      <c r="J11" s="90"/>
    </row>
    <row r="12" spans="1:10">
      <c r="G12" s="89" t="s">
        <v>200</v>
      </c>
      <c r="H12" s="89"/>
      <c r="I12" s="90"/>
      <c r="J12" s="90"/>
    </row>
    <row r="13" spans="1:10">
      <c r="G13" s="89" t="s">
        <v>711</v>
      </c>
      <c r="H13" s="89"/>
      <c r="I13" s="90"/>
      <c r="J13" s="90"/>
    </row>
    <row r="14" spans="1:10">
      <c r="G14" s="89"/>
      <c r="H14" s="89"/>
      <c r="I14" s="90"/>
      <c r="J14" s="90"/>
    </row>
    <row r="15" spans="1:10">
      <c r="G15" s="7"/>
      <c r="H15" s="7"/>
    </row>
    <row r="16" spans="1:10" ht="75.75" customHeight="1">
      <c r="A16" s="216" t="s">
        <v>716</v>
      </c>
      <c r="B16" s="235"/>
      <c r="C16" s="235"/>
      <c r="D16" s="235"/>
      <c r="E16" s="235"/>
      <c r="F16" s="235"/>
      <c r="G16" s="235"/>
      <c r="H16" s="235"/>
      <c r="I16" s="236"/>
      <c r="J16" s="236"/>
    </row>
    <row r="17" spans="1:10" ht="15">
      <c r="A17" s="133"/>
      <c r="B17" s="136"/>
      <c r="C17" s="136"/>
      <c r="D17" s="136"/>
      <c r="E17" s="136"/>
      <c r="F17" s="136"/>
      <c r="G17" s="136"/>
      <c r="H17" s="136"/>
    </row>
    <row r="18" spans="1:10">
      <c r="B18" s="241" t="s">
        <v>179</v>
      </c>
      <c r="C18" s="222" t="s">
        <v>169</v>
      </c>
      <c r="D18" s="222" t="s">
        <v>170</v>
      </c>
      <c r="E18" s="222" t="s">
        <v>171</v>
      </c>
      <c r="F18" s="222" t="s">
        <v>165</v>
      </c>
      <c r="G18" s="222" t="s">
        <v>142</v>
      </c>
      <c r="H18" s="228" t="s">
        <v>35</v>
      </c>
      <c r="I18" s="215"/>
      <c r="J18" s="215"/>
    </row>
    <row r="19" spans="1:10">
      <c r="A19" s="239" t="s">
        <v>139</v>
      </c>
      <c r="B19" s="215"/>
      <c r="C19" s="223"/>
      <c r="D19" s="223"/>
      <c r="E19" s="223"/>
      <c r="F19" s="223"/>
      <c r="G19" s="223"/>
      <c r="H19" s="232" t="s">
        <v>525</v>
      </c>
      <c r="I19" s="215" t="s">
        <v>197</v>
      </c>
      <c r="J19" s="215"/>
    </row>
    <row r="20" spans="1:10">
      <c r="A20" s="240"/>
      <c r="B20" s="215"/>
      <c r="C20" s="224"/>
      <c r="D20" s="224"/>
      <c r="E20" s="224"/>
      <c r="F20" s="224"/>
      <c r="G20" s="224"/>
      <c r="H20" s="234"/>
      <c r="I20" s="1" t="s">
        <v>642</v>
      </c>
      <c r="J20" s="1" t="s">
        <v>713</v>
      </c>
    </row>
    <row r="21" spans="1:10">
      <c r="A21" s="2">
        <v>1</v>
      </c>
      <c r="B21" s="69">
        <v>1</v>
      </c>
      <c r="C21" s="69">
        <v>2</v>
      </c>
      <c r="D21" s="69">
        <v>3</v>
      </c>
      <c r="E21" s="69">
        <v>4</v>
      </c>
      <c r="F21" s="69">
        <v>5</v>
      </c>
      <c r="G21" s="69">
        <v>6</v>
      </c>
      <c r="H21" s="69">
        <v>7</v>
      </c>
      <c r="I21" s="69">
        <v>8</v>
      </c>
      <c r="J21" s="69">
        <v>9</v>
      </c>
    </row>
    <row r="22" spans="1:10" ht="18">
      <c r="A22" s="12"/>
      <c r="B22" s="25"/>
      <c r="C22" s="12"/>
      <c r="D22" s="12"/>
      <c r="E22" s="12"/>
      <c r="F22" s="12"/>
      <c r="G22" s="9" t="s">
        <v>144</v>
      </c>
      <c r="H22" s="59">
        <f>H23+H33+H40+H627+H773+H892</f>
        <v>1188431.3999999999</v>
      </c>
      <c r="I22" s="59">
        <f>I23+I33+I40+I627+I773+I892</f>
        <v>895629.60000000009</v>
      </c>
      <c r="J22" s="59">
        <f>J23+J33+J40+J627+J773+J892</f>
        <v>892250.3</v>
      </c>
    </row>
    <row r="23" spans="1:10" ht="36">
      <c r="A23" s="3">
        <v>1</v>
      </c>
      <c r="B23" s="96">
        <v>936</v>
      </c>
      <c r="C23" s="13"/>
      <c r="D23" s="13"/>
      <c r="E23" s="13"/>
      <c r="F23" s="13"/>
      <c r="G23" s="14" t="s">
        <v>192</v>
      </c>
      <c r="H23" s="97">
        <f t="shared" ref="H23:J26" si="0">H24</f>
        <v>3877.9</v>
      </c>
      <c r="I23" s="97">
        <f t="shared" si="0"/>
        <v>3877.9</v>
      </c>
      <c r="J23" s="97">
        <f t="shared" si="0"/>
        <v>3877.9</v>
      </c>
    </row>
    <row r="24" spans="1:10" ht="15.75">
      <c r="A24" s="3"/>
      <c r="B24" s="96"/>
      <c r="C24" s="4" t="s">
        <v>140</v>
      </c>
      <c r="D24" s="11"/>
      <c r="E24" s="11"/>
      <c r="F24" s="11"/>
      <c r="G24" s="49" t="s">
        <v>143</v>
      </c>
      <c r="H24" s="97">
        <f t="shared" si="0"/>
        <v>3877.9</v>
      </c>
      <c r="I24" s="97">
        <f t="shared" si="0"/>
        <v>3877.9</v>
      </c>
      <c r="J24" s="97">
        <f t="shared" si="0"/>
        <v>3877.9</v>
      </c>
    </row>
    <row r="25" spans="1:10" ht="64.5">
      <c r="A25" s="29"/>
      <c r="B25" s="24"/>
      <c r="C25" s="30" t="s">
        <v>140</v>
      </c>
      <c r="D25" s="30" t="s">
        <v>145</v>
      </c>
      <c r="E25" s="31"/>
      <c r="F25" s="31"/>
      <c r="G25" s="48" t="s">
        <v>178</v>
      </c>
      <c r="H25" s="43">
        <f t="shared" si="0"/>
        <v>3877.9</v>
      </c>
      <c r="I25" s="43">
        <f t="shared" si="0"/>
        <v>3877.9</v>
      </c>
      <c r="J25" s="43">
        <f t="shared" si="0"/>
        <v>3877.9</v>
      </c>
    </row>
    <row r="26" spans="1:10" ht="25.5">
      <c r="A26" s="1"/>
      <c r="B26" s="25"/>
      <c r="C26" s="16" t="s">
        <v>140</v>
      </c>
      <c r="D26" s="16" t="s">
        <v>145</v>
      </c>
      <c r="E26" s="80">
        <v>9900000000</v>
      </c>
      <c r="F26" s="21"/>
      <c r="G26" s="55" t="s">
        <v>202</v>
      </c>
      <c r="H26" s="41">
        <f t="shared" si="0"/>
        <v>3877.9</v>
      </c>
      <c r="I26" s="41">
        <f t="shared" si="0"/>
        <v>3877.9</v>
      </c>
      <c r="J26" s="41">
        <f t="shared" si="0"/>
        <v>3877.9</v>
      </c>
    </row>
    <row r="27" spans="1:10" ht="38.25">
      <c r="A27" s="1"/>
      <c r="B27" s="25"/>
      <c r="C27" s="16" t="s">
        <v>140</v>
      </c>
      <c r="D27" s="16" t="s">
        <v>145</v>
      </c>
      <c r="E27" s="80">
        <v>9990000000</v>
      </c>
      <c r="F27" s="16"/>
      <c r="G27" s="54" t="s">
        <v>37</v>
      </c>
      <c r="H27" s="41">
        <f t="shared" ref="H27:I27" si="1">H28+H30</f>
        <v>3877.9</v>
      </c>
      <c r="I27" s="41">
        <f t="shared" si="1"/>
        <v>3877.9</v>
      </c>
      <c r="J27" s="41">
        <f t="shared" ref="J27" si="2">J28+J30</f>
        <v>3877.9</v>
      </c>
    </row>
    <row r="28" spans="1:10">
      <c r="A28" s="1"/>
      <c r="B28" s="25"/>
      <c r="C28" s="16" t="s">
        <v>140</v>
      </c>
      <c r="D28" s="16" t="s">
        <v>145</v>
      </c>
      <c r="E28" s="80" t="s">
        <v>194</v>
      </c>
      <c r="F28" s="16"/>
      <c r="G28" s="103" t="s">
        <v>193</v>
      </c>
      <c r="H28" s="41">
        <f t="shared" ref="H28:J28" si="3">H29</f>
        <v>1397.6</v>
      </c>
      <c r="I28" s="41">
        <f t="shared" si="3"/>
        <v>1319.6</v>
      </c>
      <c r="J28" s="41">
        <f t="shared" si="3"/>
        <v>1319.6</v>
      </c>
    </row>
    <row r="29" spans="1:10" ht="38.25">
      <c r="A29" s="1"/>
      <c r="B29" s="25"/>
      <c r="C29" s="16" t="s">
        <v>140</v>
      </c>
      <c r="D29" s="16" t="s">
        <v>145</v>
      </c>
      <c r="E29" s="80" t="s">
        <v>194</v>
      </c>
      <c r="F29" s="16" t="s">
        <v>105</v>
      </c>
      <c r="G29" s="55" t="s">
        <v>106</v>
      </c>
      <c r="H29" s="39">
        <f>1319.6+78</f>
        <v>1397.6</v>
      </c>
      <c r="I29" s="39">
        <v>1319.6</v>
      </c>
      <c r="J29" s="39">
        <v>1319.6</v>
      </c>
    </row>
    <row r="30" spans="1:10">
      <c r="A30" s="1"/>
      <c r="B30" s="25"/>
      <c r="C30" s="16" t="s">
        <v>140</v>
      </c>
      <c r="D30" s="16" t="s">
        <v>145</v>
      </c>
      <c r="E30" s="80" t="s">
        <v>51</v>
      </c>
      <c r="F30" s="21"/>
      <c r="G30" s="22" t="s">
        <v>36</v>
      </c>
      <c r="H30" s="41">
        <f>SUM(H31:H32)</f>
        <v>2480.3000000000002</v>
      </c>
      <c r="I30" s="41">
        <f>SUM(I31:I32)</f>
        <v>2558.3000000000002</v>
      </c>
      <c r="J30" s="41">
        <f>SUM(J31:J32)</f>
        <v>2558.3000000000002</v>
      </c>
    </row>
    <row r="31" spans="1:10" ht="38.25">
      <c r="A31" s="1"/>
      <c r="B31" s="25"/>
      <c r="C31" s="16" t="s">
        <v>140</v>
      </c>
      <c r="D31" s="16" t="s">
        <v>145</v>
      </c>
      <c r="E31" s="80" t="s">
        <v>51</v>
      </c>
      <c r="F31" s="16" t="s">
        <v>105</v>
      </c>
      <c r="G31" s="55" t="s">
        <v>106</v>
      </c>
      <c r="H31" s="39">
        <f>2455.5-78</f>
        <v>2377.5</v>
      </c>
      <c r="I31" s="39">
        <v>2455.5</v>
      </c>
      <c r="J31" s="39">
        <v>2455.5</v>
      </c>
    </row>
    <row r="32" spans="1:10" ht="38.25">
      <c r="A32" s="1"/>
      <c r="B32" s="25"/>
      <c r="C32" s="16" t="s">
        <v>140</v>
      </c>
      <c r="D32" s="16" t="s">
        <v>145</v>
      </c>
      <c r="E32" s="80" t="s">
        <v>51</v>
      </c>
      <c r="F32" s="85" t="s">
        <v>325</v>
      </c>
      <c r="G32" s="103" t="s">
        <v>326</v>
      </c>
      <c r="H32" s="39">
        <f>98.8+4</f>
        <v>102.8</v>
      </c>
      <c r="I32" s="39">
        <f t="shared" ref="I32:J32" si="4">98.8+4</f>
        <v>102.8</v>
      </c>
      <c r="J32" s="39">
        <f t="shared" si="4"/>
        <v>102.8</v>
      </c>
    </row>
    <row r="33" spans="1:10" ht="47.25">
      <c r="A33" s="158"/>
      <c r="B33" s="96">
        <v>939</v>
      </c>
      <c r="C33" s="13"/>
      <c r="D33" s="13"/>
      <c r="E33" s="13"/>
      <c r="F33" s="13"/>
      <c r="G33" s="10" t="s">
        <v>302</v>
      </c>
      <c r="H33" s="97">
        <f t="shared" ref="H33:J33" si="5">H34</f>
        <v>1421.1</v>
      </c>
      <c r="I33" s="97">
        <f t="shared" si="5"/>
        <v>1421.1</v>
      </c>
      <c r="J33" s="97">
        <f t="shared" si="5"/>
        <v>1421.1</v>
      </c>
    </row>
    <row r="34" spans="1:10" ht="15.75">
      <c r="A34" s="158"/>
      <c r="B34" s="96"/>
      <c r="C34" s="4" t="s">
        <v>140</v>
      </c>
      <c r="D34" s="11"/>
      <c r="E34" s="11"/>
      <c r="F34" s="11"/>
      <c r="G34" s="49" t="s">
        <v>143</v>
      </c>
      <c r="H34" s="97">
        <f t="shared" ref="H34:J34" si="6">H35</f>
        <v>1421.1</v>
      </c>
      <c r="I34" s="97">
        <f t="shared" si="6"/>
        <v>1421.1</v>
      </c>
      <c r="J34" s="97">
        <f t="shared" si="6"/>
        <v>1421.1</v>
      </c>
    </row>
    <row r="35" spans="1:10" ht="51">
      <c r="A35" s="158"/>
      <c r="B35" s="24"/>
      <c r="C35" s="30" t="s">
        <v>140</v>
      </c>
      <c r="D35" s="30" t="s">
        <v>148</v>
      </c>
      <c r="E35" s="31"/>
      <c r="F35" s="31"/>
      <c r="G35" s="46" t="s">
        <v>177</v>
      </c>
      <c r="H35" s="98">
        <f t="shared" ref="H35:J35" si="7">H36</f>
        <v>1421.1</v>
      </c>
      <c r="I35" s="98">
        <f t="shared" si="7"/>
        <v>1421.1</v>
      </c>
      <c r="J35" s="98">
        <f t="shared" si="7"/>
        <v>1421.1</v>
      </c>
    </row>
    <row r="36" spans="1:10" ht="38.25">
      <c r="A36" s="158"/>
      <c r="B36" s="24"/>
      <c r="C36" s="16" t="s">
        <v>140</v>
      </c>
      <c r="D36" s="85" t="s">
        <v>148</v>
      </c>
      <c r="E36" s="80">
        <v>9990000000</v>
      </c>
      <c r="F36" s="16"/>
      <c r="G36" s="54" t="s">
        <v>37</v>
      </c>
      <c r="H36" s="39">
        <f t="shared" ref="H36:J36" si="8">H37</f>
        <v>1421.1</v>
      </c>
      <c r="I36" s="39">
        <f t="shared" si="8"/>
        <v>1421.1</v>
      </c>
      <c r="J36" s="39">
        <f t="shared" si="8"/>
        <v>1421.1</v>
      </c>
    </row>
    <row r="37" spans="1:10" ht="25.5">
      <c r="A37" s="1"/>
      <c r="B37" s="25"/>
      <c r="C37" s="16" t="s">
        <v>140</v>
      </c>
      <c r="D37" s="85" t="s">
        <v>148</v>
      </c>
      <c r="E37" s="80" t="s">
        <v>52</v>
      </c>
      <c r="F37" s="21"/>
      <c r="G37" s="134" t="s">
        <v>302</v>
      </c>
      <c r="H37" s="41">
        <f>H38+H39</f>
        <v>1421.1</v>
      </c>
      <c r="I37" s="41">
        <f>I38+I39</f>
        <v>1421.1</v>
      </c>
      <c r="J37" s="41">
        <f>J38+J39</f>
        <v>1421.1</v>
      </c>
    </row>
    <row r="38" spans="1:10" ht="38.25">
      <c r="A38" s="1"/>
      <c r="B38" s="25"/>
      <c r="C38" s="16" t="s">
        <v>140</v>
      </c>
      <c r="D38" s="85" t="s">
        <v>148</v>
      </c>
      <c r="E38" s="80" t="s">
        <v>52</v>
      </c>
      <c r="F38" s="16" t="s">
        <v>105</v>
      </c>
      <c r="G38" s="134" t="s">
        <v>130</v>
      </c>
      <c r="H38" s="39">
        <v>1417.6</v>
      </c>
      <c r="I38" s="39">
        <v>1417.6</v>
      </c>
      <c r="J38" s="39">
        <v>1417.6</v>
      </c>
    </row>
    <row r="39" spans="1:10" ht="38.25">
      <c r="A39" s="1"/>
      <c r="B39" s="25"/>
      <c r="C39" s="16" t="s">
        <v>140</v>
      </c>
      <c r="D39" s="85" t="s">
        <v>148</v>
      </c>
      <c r="E39" s="80" t="s">
        <v>52</v>
      </c>
      <c r="F39" s="85" t="s">
        <v>325</v>
      </c>
      <c r="G39" s="103" t="s">
        <v>326</v>
      </c>
      <c r="H39" s="39">
        <v>3.5</v>
      </c>
      <c r="I39" s="39">
        <v>3.5</v>
      </c>
      <c r="J39" s="39">
        <v>3.5</v>
      </c>
    </row>
    <row r="40" spans="1:10" s="8" customFormat="1" ht="54">
      <c r="A40" s="3">
        <v>2</v>
      </c>
      <c r="B40" s="96">
        <v>937</v>
      </c>
      <c r="C40" s="13"/>
      <c r="D40" s="13"/>
      <c r="E40" s="13"/>
      <c r="F40" s="13"/>
      <c r="G40" s="14" t="s">
        <v>296</v>
      </c>
      <c r="H40" s="59">
        <f>H41+H117+H169+H316+H567+H608</f>
        <v>480760.3</v>
      </c>
      <c r="I40" s="59">
        <f>I41+I117+I169+I316+I567+I608</f>
        <v>293216.5</v>
      </c>
      <c r="J40" s="59">
        <f>J41+J117+J169+J316+J567+J608</f>
        <v>288086</v>
      </c>
    </row>
    <row r="41" spans="1:10" ht="15.75">
      <c r="A41" s="3"/>
      <c r="B41" s="96"/>
      <c r="C41" s="4" t="s">
        <v>140</v>
      </c>
      <c r="D41" s="11"/>
      <c r="E41" s="11"/>
      <c r="F41" s="11"/>
      <c r="G41" s="15" t="s">
        <v>143</v>
      </c>
      <c r="H41" s="97">
        <f>H42+H47+H58+H63+H67</f>
        <v>102017.79999999999</v>
      </c>
      <c r="I41" s="97">
        <f t="shared" ref="I41:J41" si="9">I42+I47+I58+I63+I67</f>
        <v>85294.400000000009</v>
      </c>
      <c r="J41" s="97">
        <f t="shared" si="9"/>
        <v>85212.800000000003</v>
      </c>
    </row>
    <row r="42" spans="1:10" ht="51.75">
      <c r="A42" s="3"/>
      <c r="B42" s="96"/>
      <c r="C42" s="30" t="s">
        <v>140</v>
      </c>
      <c r="D42" s="30" t="s">
        <v>141</v>
      </c>
      <c r="E42" s="30"/>
      <c r="F42" s="30"/>
      <c r="G42" s="46" t="s">
        <v>22</v>
      </c>
      <c r="H42" s="40">
        <f t="shared" ref="H42:J42" si="10">H43</f>
        <v>1577.6</v>
      </c>
      <c r="I42" s="40">
        <f t="shared" si="10"/>
        <v>1577.6</v>
      </c>
      <c r="J42" s="40">
        <f t="shared" si="10"/>
        <v>1577.6</v>
      </c>
    </row>
    <row r="43" spans="1:10" ht="25.5">
      <c r="A43" s="3"/>
      <c r="B43" s="96"/>
      <c r="C43" s="16" t="s">
        <v>140</v>
      </c>
      <c r="D43" s="16" t="s">
        <v>141</v>
      </c>
      <c r="E43" s="80">
        <v>9900000000</v>
      </c>
      <c r="F43" s="16"/>
      <c r="G43" s="55" t="s">
        <v>201</v>
      </c>
      <c r="H43" s="41">
        <f t="shared" ref="H43:I43" si="11">H45</f>
        <v>1577.6</v>
      </c>
      <c r="I43" s="41">
        <f t="shared" si="11"/>
        <v>1577.6</v>
      </c>
      <c r="J43" s="41">
        <f t="shared" ref="J43" si="12">J45</f>
        <v>1577.6</v>
      </c>
    </row>
    <row r="44" spans="1:10" ht="38.25">
      <c r="A44" s="3"/>
      <c r="B44" s="96"/>
      <c r="C44" s="16" t="s">
        <v>140</v>
      </c>
      <c r="D44" s="16" t="s">
        <v>141</v>
      </c>
      <c r="E44" s="80">
        <v>9980000000</v>
      </c>
      <c r="F44" s="16"/>
      <c r="G44" s="54" t="s">
        <v>38</v>
      </c>
      <c r="H44" s="41">
        <f t="shared" ref="H44:J45" si="13">H45</f>
        <v>1577.6</v>
      </c>
      <c r="I44" s="41">
        <f t="shared" si="13"/>
        <v>1577.6</v>
      </c>
      <c r="J44" s="41">
        <f t="shared" si="13"/>
        <v>1577.6</v>
      </c>
    </row>
    <row r="45" spans="1:10" ht="15.75">
      <c r="A45" s="3"/>
      <c r="B45" s="96"/>
      <c r="C45" s="16" t="s">
        <v>140</v>
      </c>
      <c r="D45" s="16" t="s">
        <v>141</v>
      </c>
      <c r="E45" s="80" t="s">
        <v>195</v>
      </c>
      <c r="F45" s="16"/>
      <c r="G45" s="105" t="s">
        <v>166</v>
      </c>
      <c r="H45" s="39">
        <f t="shared" si="13"/>
        <v>1577.6</v>
      </c>
      <c r="I45" s="39">
        <f t="shared" si="13"/>
        <v>1577.6</v>
      </c>
      <c r="J45" s="39">
        <f t="shared" si="13"/>
        <v>1577.6</v>
      </c>
    </row>
    <row r="46" spans="1:10" ht="39">
      <c r="A46" s="3"/>
      <c r="B46" s="96"/>
      <c r="C46" s="16" t="s">
        <v>140</v>
      </c>
      <c r="D46" s="16" t="s">
        <v>141</v>
      </c>
      <c r="E46" s="80" t="s">
        <v>195</v>
      </c>
      <c r="F46" s="16" t="s">
        <v>105</v>
      </c>
      <c r="G46" s="134" t="s">
        <v>130</v>
      </c>
      <c r="H46" s="39">
        <v>1577.6</v>
      </c>
      <c r="I46" s="39">
        <v>1577.6</v>
      </c>
      <c r="J46" s="39">
        <v>1577.6</v>
      </c>
    </row>
    <row r="47" spans="1:10" s="26" customFormat="1" ht="76.5">
      <c r="A47" s="23"/>
      <c r="B47" s="24"/>
      <c r="C47" s="30" t="s">
        <v>140</v>
      </c>
      <c r="D47" s="30" t="s">
        <v>146</v>
      </c>
      <c r="E47" s="30"/>
      <c r="F47" s="30"/>
      <c r="G47" s="46" t="s">
        <v>176</v>
      </c>
      <c r="H47" s="40">
        <f t="shared" ref="H47:J47" si="14">H48</f>
        <v>44746.1</v>
      </c>
      <c r="I47" s="40">
        <f t="shared" si="14"/>
        <v>44867.000000000007</v>
      </c>
      <c r="J47" s="40">
        <f t="shared" si="14"/>
        <v>44870.3</v>
      </c>
    </row>
    <row r="48" spans="1:10" ht="25.5">
      <c r="A48" s="1"/>
      <c r="B48" s="25"/>
      <c r="C48" s="16" t="s">
        <v>140</v>
      </c>
      <c r="D48" s="16" t="s">
        <v>146</v>
      </c>
      <c r="E48" s="80">
        <v>9900000000</v>
      </c>
      <c r="F48" s="16"/>
      <c r="G48" s="55" t="s">
        <v>201</v>
      </c>
      <c r="H48" s="39">
        <f>H49+H53</f>
        <v>44746.1</v>
      </c>
      <c r="I48" s="39">
        <f t="shared" ref="I48:J48" si="15">I49+I53</f>
        <v>44867.000000000007</v>
      </c>
      <c r="J48" s="39">
        <f t="shared" si="15"/>
        <v>44870.3</v>
      </c>
    </row>
    <row r="49" spans="1:10" ht="25.5">
      <c r="A49" s="1"/>
      <c r="B49" s="25"/>
      <c r="C49" s="16" t="s">
        <v>140</v>
      </c>
      <c r="D49" s="16" t="s">
        <v>146</v>
      </c>
      <c r="E49" s="80">
        <v>9930000000</v>
      </c>
      <c r="F49" s="16"/>
      <c r="G49" s="22" t="s">
        <v>58</v>
      </c>
      <c r="H49" s="39">
        <f t="shared" ref="H49:J49" si="16">H50</f>
        <v>385.1</v>
      </c>
      <c r="I49" s="39">
        <f t="shared" si="16"/>
        <v>388.3</v>
      </c>
      <c r="J49" s="39">
        <f t="shared" si="16"/>
        <v>391.6</v>
      </c>
    </row>
    <row r="50" spans="1:10" ht="63.75">
      <c r="A50" s="1"/>
      <c r="B50" s="25"/>
      <c r="C50" s="16" t="s">
        <v>140</v>
      </c>
      <c r="D50" s="16" t="s">
        <v>146</v>
      </c>
      <c r="E50" s="80">
        <v>9930010510</v>
      </c>
      <c r="F50" s="16"/>
      <c r="G50" s="22" t="s">
        <v>20</v>
      </c>
      <c r="H50" s="39">
        <f>H51+H52</f>
        <v>385.1</v>
      </c>
      <c r="I50" s="39">
        <f>I51+I52</f>
        <v>388.3</v>
      </c>
      <c r="J50" s="39">
        <f>J51+J52</f>
        <v>391.6</v>
      </c>
    </row>
    <row r="51" spans="1:10" ht="38.25">
      <c r="A51" s="1"/>
      <c r="B51" s="25"/>
      <c r="C51" s="16" t="s">
        <v>140</v>
      </c>
      <c r="D51" s="16" t="s">
        <v>146</v>
      </c>
      <c r="E51" s="80">
        <v>9930010510</v>
      </c>
      <c r="F51" s="16" t="s">
        <v>105</v>
      </c>
      <c r="G51" s="108" t="s">
        <v>106</v>
      </c>
      <c r="H51" s="39">
        <v>375.5</v>
      </c>
      <c r="I51" s="39">
        <v>375.5</v>
      </c>
      <c r="J51" s="39">
        <v>375.5</v>
      </c>
    </row>
    <row r="52" spans="1:10" ht="38.25">
      <c r="A52" s="1"/>
      <c r="B52" s="25"/>
      <c r="C52" s="16" t="s">
        <v>140</v>
      </c>
      <c r="D52" s="16" t="s">
        <v>146</v>
      </c>
      <c r="E52" s="80">
        <v>9930010510</v>
      </c>
      <c r="F52" s="85" t="s">
        <v>325</v>
      </c>
      <c r="G52" s="103" t="s">
        <v>326</v>
      </c>
      <c r="H52" s="39">
        <v>9.6</v>
      </c>
      <c r="I52" s="39">
        <v>12.8</v>
      </c>
      <c r="J52" s="39">
        <v>16.100000000000001</v>
      </c>
    </row>
    <row r="53" spans="1:10" ht="38.25">
      <c r="A53" s="1"/>
      <c r="B53" s="25"/>
      <c r="C53" s="16" t="s">
        <v>140</v>
      </c>
      <c r="D53" s="16" t="s">
        <v>146</v>
      </c>
      <c r="E53" s="80">
        <v>9980000000</v>
      </c>
      <c r="F53" s="16"/>
      <c r="G53" s="54" t="s">
        <v>38</v>
      </c>
      <c r="H53" s="39">
        <f t="shared" ref="H53:J53" si="17">H54</f>
        <v>44361</v>
      </c>
      <c r="I53" s="39">
        <f t="shared" si="17"/>
        <v>44478.700000000004</v>
      </c>
      <c r="J53" s="39">
        <f t="shared" si="17"/>
        <v>44478.700000000004</v>
      </c>
    </row>
    <row r="54" spans="1:10">
      <c r="A54" s="1"/>
      <c r="B54" s="25"/>
      <c r="C54" s="16" t="s">
        <v>140</v>
      </c>
      <c r="D54" s="16" t="s">
        <v>146</v>
      </c>
      <c r="E54" s="80" t="s">
        <v>53</v>
      </c>
      <c r="F54" s="21"/>
      <c r="G54" s="105" t="s">
        <v>167</v>
      </c>
      <c r="H54" s="39">
        <f>SUM(H55:H57)</f>
        <v>44361</v>
      </c>
      <c r="I54" s="39">
        <f>SUM(I55:I57)</f>
        <v>44478.700000000004</v>
      </c>
      <c r="J54" s="39">
        <f>SUM(J55:J57)</f>
        <v>44478.700000000004</v>
      </c>
    </row>
    <row r="55" spans="1:10" ht="38.25">
      <c r="A55" s="1"/>
      <c r="B55" s="25"/>
      <c r="C55" s="16" t="s">
        <v>140</v>
      </c>
      <c r="D55" s="16" t="s">
        <v>146</v>
      </c>
      <c r="E55" s="80" t="s">
        <v>53</v>
      </c>
      <c r="F55" s="16" t="s">
        <v>105</v>
      </c>
      <c r="G55" s="55" t="s">
        <v>106</v>
      </c>
      <c r="H55" s="39">
        <f>41587.8-124</f>
        <v>41463.800000000003</v>
      </c>
      <c r="I55" s="39">
        <v>41587.800000000003</v>
      </c>
      <c r="J55" s="39">
        <v>41587.800000000003</v>
      </c>
    </row>
    <row r="56" spans="1:10" ht="38.25">
      <c r="A56" s="1"/>
      <c r="B56" s="25"/>
      <c r="C56" s="16" t="s">
        <v>140</v>
      </c>
      <c r="D56" s="16" t="s">
        <v>146</v>
      </c>
      <c r="E56" s="80" t="s">
        <v>53</v>
      </c>
      <c r="F56" s="85" t="s">
        <v>325</v>
      </c>
      <c r="G56" s="103" t="s">
        <v>326</v>
      </c>
      <c r="H56" s="39">
        <f>2846.5-7.2+99.9-93.6</f>
        <v>2845.6000000000004</v>
      </c>
      <c r="I56" s="39">
        <v>2846.5</v>
      </c>
      <c r="J56" s="39">
        <v>2846.5</v>
      </c>
    </row>
    <row r="57" spans="1:10">
      <c r="A57" s="1"/>
      <c r="B57" s="25"/>
      <c r="C57" s="16" t="s">
        <v>140</v>
      </c>
      <c r="D57" s="16" t="s">
        <v>146</v>
      </c>
      <c r="E57" s="80" t="s">
        <v>53</v>
      </c>
      <c r="F57" s="85" t="s">
        <v>183</v>
      </c>
      <c r="G57" s="103" t="s">
        <v>184</v>
      </c>
      <c r="H57" s="41">
        <f>44.4+7.2</f>
        <v>51.6</v>
      </c>
      <c r="I57" s="41">
        <v>44.4</v>
      </c>
      <c r="J57" s="41">
        <v>44.4</v>
      </c>
    </row>
    <row r="58" spans="1:10" ht="14.25">
      <c r="A58" s="1"/>
      <c r="B58" s="25"/>
      <c r="C58" s="35" t="s">
        <v>140</v>
      </c>
      <c r="D58" s="35" t="s">
        <v>147</v>
      </c>
      <c r="E58" s="35"/>
      <c r="F58" s="35"/>
      <c r="G58" s="46" t="s">
        <v>449</v>
      </c>
      <c r="H58" s="42">
        <f t="shared" ref="H58:J58" si="18">SUM(H59)</f>
        <v>15.6</v>
      </c>
      <c r="I58" s="42">
        <f t="shared" si="18"/>
        <v>94.3</v>
      </c>
      <c r="J58" s="42">
        <f t="shared" si="18"/>
        <v>7.5</v>
      </c>
    </row>
    <row r="59" spans="1:10" ht="25.5">
      <c r="A59" s="1"/>
      <c r="B59" s="25"/>
      <c r="C59" s="16" t="s">
        <v>140</v>
      </c>
      <c r="D59" s="85" t="s">
        <v>147</v>
      </c>
      <c r="E59" s="80">
        <v>9900000000</v>
      </c>
      <c r="F59" s="16"/>
      <c r="G59" s="55" t="s">
        <v>202</v>
      </c>
      <c r="H59" s="39">
        <f t="shared" ref="H59:J61" si="19">H60</f>
        <v>15.6</v>
      </c>
      <c r="I59" s="39">
        <f t="shared" si="19"/>
        <v>94.3</v>
      </c>
      <c r="J59" s="39">
        <f t="shared" si="19"/>
        <v>7.5</v>
      </c>
    </row>
    <row r="60" spans="1:10" ht="25.5">
      <c r="A60" s="1"/>
      <c r="B60" s="25"/>
      <c r="C60" s="16" t="s">
        <v>140</v>
      </c>
      <c r="D60" s="85" t="s">
        <v>147</v>
      </c>
      <c r="E60" s="80">
        <v>9930000000</v>
      </c>
      <c r="F60" s="16"/>
      <c r="G60" s="22" t="s">
        <v>58</v>
      </c>
      <c r="H60" s="39">
        <f t="shared" si="19"/>
        <v>15.6</v>
      </c>
      <c r="I60" s="39">
        <f t="shared" si="19"/>
        <v>94.3</v>
      </c>
      <c r="J60" s="39">
        <f t="shared" si="19"/>
        <v>7.5</v>
      </c>
    </row>
    <row r="61" spans="1:10" ht="63.75">
      <c r="A61" s="1"/>
      <c r="B61" s="25"/>
      <c r="C61" s="16" t="s">
        <v>140</v>
      </c>
      <c r="D61" s="85" t="s">
        <v>147</v>
      </c>
      <c r="E61" s="80">
        <v>9930051200</v>
      </c>
      <c r="F61" s="16"/>
      <c r="G61" s="54" t="s">
        <v>424</v>
      </c>
      <c r="H61" s="39">
        <f t="shared" si="19"/>
        <v>15.6</v>
      </c>
      <c r="I61" s="39">
        <f t="shared" si="19"/>
        <v>94.3</v>
      </c>
      <c r="J61" s="39">
        <f t="shared" si="19"/>
        <v>7.5</v>
      </c>
    </row>
    <row r="62" spans="1:10" ht="38.25">
      <c r="A62" s="1"/>
      <c r="B62" s="25"/>
      <c r="C62" s="16" t="s">
        <v>140</v>
      </c>
      <c r="D62" s="85" t="s">
        <v>147</v>
      </c>
      <c r="E62" s="80">
        <v>9930051200</v>
      </c>
      <c r="F62" s="85" t="s">
        <v>325</v>
      </c>
      <c r="G62" s="103" t="s">
        <v>326</v>
      </c>
      <c r="H62" s="119">
        <v>15.6</v>
      </c>
      <c r="I62" s="119">
        <v>94.3</v>
      </c>
      <c r="J62" s="119">
        <v>7.5</v>
      </c>
    </row>
    <row r="63" spans="1:10" ht="25.5">
      <c r="A63" s="158"/>
      <c r="B63" s="25"/>
      <c r="C63" s="35" t="s">
        <v>140</v>
      </c>
      <c r="D63" s="35" t="s">
        <v>156</v>
      </c>
      <c r="E63" s="35"/>
      <c r="F63" s="35"/>
      <c r="G63" s="173" t="s">
        <v>718</v>
      </c>
      <c r="H63" s="42">
        <f t="shared" ref="H63:J65" si="20">H64</f>
        <v>1844.8</v>
      </c>
      <c r="I63" s="42">
        <f t="shared" si="20"/>
        <v>0</v>
      </c>
      <c r="J63" s="42">
        <f t="shared" si="20"/>
        <v>0</v>
      </c>
    </row>
    <row r="64" spans="1:10" ht="25.5">
      <c r="A64" s="158"/>
      <c r="B64" s="25"/>
      <c r="C64" s="16" t="s">
        <v>140</v>
      </c>
      <c r="D64" s="85" t="s">
        <v>156</v>
      </c>
      <c r="E64" s="16" t="s">
        <v>32</v>
      </c>
      <c r="F64" s="16"/>
      <c r="G64" s="105" t="s">
        <v>56</v>
      </c>
      <c r="H64" s="42">
        <f t="shared" si="20"/>
        <v>1844.8</v>
      </c>
      <c r="I64" s="42">
        <f t="shared" si="20"/>
        <v>0</v>
      </c>
      <c r="J64" s="42">
        <f t="shared" si="20"/>
        <v>0</v>
      </c>
    </row>
    <row r="65" spans="1:10" ht="25.5">
      <c r="A65" s="158"/>
      <c r="B65" s="25"/>
      <c r="C65" s="16" t="s">
        <v>140</v>
      </c>
      <c r="D65" s="85" t="s">
        <v>156</v>
      </c>
      <c r="E65" s="80" t="s">
        <v>717</v>
      </c>
      <c r="F65" s="21"/>
      <c r="G65" s="165" t="s">
        <v>718</v>
      </c>
      <c r="H65" s="39">
        <f t="shared" si="20"/>
        <v>1844.8</v>
      </c>
      <c r="I65" s="39">
        <f t="shared" si="20"/>
        <v>0</v>
      </c>
      <c r="J65" s="39">
        <f t="shared" si="20"/>
        <v>0</v>
      </c>
    </row>
    <row r="66" spans="1:10">
      <c r="A66" s="158"/>
      <c r="B66" s="25"/>
      <c r="C66" s="16" t="s">
        <v>140</v>
      </c>
      <c r="D66" s="85" t="s">
        <v>156</v>
      </c>
      <c r="E66" s="80" t="s">
        <v>717</v>
      </c>
      <c r="F66" s="85" t="s">
        <v>723</v>
      </c>
      <c r="G66" s="103" t="s">
        <v>724</v>
      </c>
      <c r="H66" s="39">
        <v>1844.8</v>
      </c>
      <c r="I66" s="39">
        <v>0</v>
      </c>
      <c r="J66" s="39">
        <v>0</v>
      </c>
    </row>
    <row r="67" spans="1:10" s="26" customFormat="1" ht="14.25">
      <c r="A67" s="23"/>
      <c r="B67" s="24"/>
      <c r="C67" s="30" t="s">
        <v>140</v>
      </c>
      <c r="D67" s="30" t="s">
        <v>9</v>
      </c>
      <c r="E67" s="33"/>
      <c r="F67" s="33"/>
      <c r="G67" s="46" t="s">
        <v>149</v>
      </c>
      <c r="H67" s="40">
        <f>H68+H83+H92</f>
        <v>53833.7</v>
      </c>
      <c r="I67" s="40">
        <f>I68+I92</f>
        <v>38755.5</v>
      </c>
      <c r="J67" s="40">
        <f>J68+J92</f>
        <v>38757.4</v>
      </c>
    </row>
    <row r="68" spans="1:10" ht="50.25" customHeight="1">
      <c r="A68" s="1"/>
      <c r="B68" s="25"/>
      <c r="C68" s="16" t="s">
        <v>140</v>
      </c>
      <c r="D68" s="16" t="s">
        <v>9</v>
      </c>
      <c r="E68" s="73" t="s">
        <v>114</v>
      </c>
      <c r="F68" s="16"/>
      <c r="G68" s="53" t="s">
        <v>553</v>
      </c>
      <c r="H68" s="101">
        <f t="shared" ref="H68:J68" si="21">H69</f>
        <v>9729.6999999999989</v>
      </c>
      <c r="I68" s="101">
        <f t="shared" si="21"/>
        <v>4388</v>
      </c>
      <c r="J68" s="101">
        <f t="shared" si="21"/>
        <v>4388</v>
      </c>
    </row>
    <row r="69" spans="1:10" ht="27" customHeight="1">
      <c r="A69" s="1"/>
      <c r="B69" s="25"/>
      <c r="C69" s="16" t="s">
        <v>140</v>
      </c>
      <c r="D69" s="16" t="s">
        <v>9</v>
      </c>
      <c r="E69" s="52" t="s">
        <v>115</v>
      </c>
      <c r="F69" s="16"/>
      <c r="G69" s="48" t="s">
        <v>226</v>
      </c>
      <c r="H69" s="98">
        <f t="shared" ref="H69:I69" si="22">H70+H73</f>
        <v>9729.6999999999989</v>
      </c>
      <c r="I69" s="98">
        <f t="shared" si="22"/>
        <v>4388</v>
      </c>
      <c r="J69" s="98">
        <f t="shared" ref="J69" si="23">J70+J73</f>
        <v>4388</v>
      </c>
    </row>
    <row r="70" spans="1:10" ht="38.25">
      <c r="A70" s="1"/>
      <c r="B70" s="25"/>
      <c r="C70" s="16" t="s">
        <v>140</v>
      </c>
      <c r="D70" s="16" t="s">
        <v>9</v>
      </c>
      <c r="E70" s="21" t="s">
        <v>376</v>
      </c>
      <c r="F70" s="16"/>
      <c r="G70" s="105" t="s">
        <v>377</v>
      </c>
      <c r="H70" s="104">
        <f t="shared" ref="H70:J70" si="24">H71</f>
        <v>250</v>
      </c>
      <c r="I70" s="104">
        <f t="shared" si="24"/>
        <v>250</v>
      </c>
      <c r="J70" s="104">
        <f t="shared" si="24"/>
        <v>250</v>
      </c>
    </row>
    <row r="71" spans="1:10" ht="38.25">
      <c r="A71" s="1"/>
      <c r="B71" s="25"/>
      <c r="C71" s="16" t="s">
        <v>140</v>
      </c>
      <c r="D71" s="16" t="s">
        <v>9</v>
      </c>
      <c r="E71" s="85" t="s">
        <v>228</v>
      </c>
      <c r="F71" s="16"/>
      <c r="G71" s="102" t="s">
        <v>227</v>
      </c>
      <c r="H71" s="41">
        <f>H72</f>
        <v>250</v>
      </c>
      <c r="I71" s="41">
        <f>I72</f>
        <v>250</v>
      </c>
      <c r="J71" s="41">
        <f>J72</f>
        <v>250</v>
      </c>
    </row>
    <row r="72" spans="1:10" ht="38.25">
      <c r="A72" s="1"/>
      <c r="B72" s="25"/>
      <c r="C72" s="16" t="s">
        <v>140</v>
      </c>
      <c r="D72" s="16" t="s">
        <v>9</v>
      </c>
      <c r="E72" s="85" t="s">
        <v>228</v>
      </c>
      <c r="F72" s="85" t="s">
        <v>325</v>
      </c>
      <c r="G72" s="103" t="s">
        <v>326</v>
      </c>
      <c r="H72" s="41">
        <v>250</v>
      </c>
      <c r="I72" s="41">
        <v>250</v>
      </c>
      <c r="J72" s="41">
        <v>250</v>
      </c>
    </row>
    <row r="73" spans="1:10" ht="63.75">
      <c r="A73" s="1"/>
      <c r="B73" s="25"/>
      <c r="C73" s="16" t="s">
        <v>140</v>
      </c>
      <c r="D73" s="16" t="s">
        <v>9</v>
      </c>
      <c r="E73" s="21" t="s">
        <v>378</v>
      </c>
      <c r="F73" s="85"/>
      <c r="G73" s="105" t="s">
        <v>379</v>
      </c>
      <c r="H73" s="41">
        <f>H74+H76+H78+H81</f>
        <v>9479.6999999999989</v>
      </c>
      <c r="I73" s="41">
        <f t="shared" ref="I73:J73" si="25">I74+I76+I78+I81</f>
        <v>4138</v>
      </c>
      <c r="J73" s="41">
        <f t="shared" si="25"/>
        <v>4138</v>
      </c>
    </row>
    <row r="74" spans="1:10" ht="51">
      <c r="A74" s="1"/>
      <c r="B74" s="25"/>
      <c r="C74" s="16" t="s">
        <v>140</v>
      </c>
      <c r="D74" s="16" t="s">
        <v>9</v>
      </c>
      <c r="E74" s="74" t="s">
        <v>116</v>
      </c>
      <c r="F74" s="16"/>
      <c r="G74" s="102" t="s">
        <v>229</v>
      </c>
      <c r="H74" s="41">
        <f>H75</f>
        <v>122.5</v>
      </c>
      <c r="I74" s="41">
        <f>I75</f>
        <v>100</v>
      </c>
      <c r="J74" s="41">
        <f>J75</f>
        <v>100</v>
      </c>
    </row>
    <row r="75" spans="1:10" ht="38.25">
      <c r="A75" s="1"/>
      <c r="B75" s="25"/>
      <c r="C75" s="16" t="s">
        <v>140</v>
      </c>
      <c r="D75" s="16" t="s">
        <v>9</v>
      </c>
      <c r="E75" s="74" t="s">
        <v>116</v>
      </c>
      <c r="F75" s="85" t="s">
        <v>325</v>
      </c>
      <c r="G75" s="103" t="s">
        <v>326</v>
      </c>
      <c r="H75" s="41">
        <f>100+19+3.5</f>
        <v>122.5</v>
      </c>
      <c r="I75" s="41">
        <v>100</v>
      </c>
      <c r="J75" s="41">
        <v>100</v>
      </c>
    </row>
    <row r="76" spans="1:10" ht="76.5">
      <c r="A76" s="1"/>
      <c r="B76" s="25"/>
      <c r="C76" s="16" t="s">
        <v>140</v>
      </c>
      <c r="D76" s="16" t="s">
        <v>9</v>
      </c>
      <c r="E76" s="74" t="s">
        <v>117</v>
      </c>
      <c r="F76" s="16"/>
      <c r="G76" s="102" t="s">
        <v>230</v>
      </c>
      <c r="H76" s="41">
        <f>H77</f>
        <v>130.5</v>
      </c>
      <c r="I76" s="41">
        <f>I77</f>
        <v>110</v>
      </c>
      <c r="J76" s="41">
        <f>J77</f>
        <v>110</v>
      </c>
    </row>
    <row r="77" spans="1:10" ht="38.25">
      <c r="A77" s="1"/>
      <c r="B77" s="25"/>
      <c r="C77" s="16" t="s">
        <v>140</v>
      </c>
      <c r="D77" s="16" t="s">
        <v>9</v>
      </c>
      <c r="E77" s="74" t="s">
        <v>117</v>
      </c>
      <c r="F77" s="85" t="s">
        <v>325</v>
      </c>
      <c r="G77" s="103" t="s">
        <v>326</v>
      </c>
      <c r="H77" s="41">
        <f>134-3.5</f>
        <v>130.5</v>
      </c>
      <c r="I77" s="41">
        <v>110</v>
      </c>
      <c r="J77" s="41">
        <v>110</v>
      </c>
    </row>
    <row r="78" spans="1:10" ht="38.25">
      <c r="A78" s="1"/>
      <c r="B78" s="25"/>
      <c r="C78" s="16" t="s">
        <v>140</v>
      </c>
      <c r="D78" s="16" t="s">
        <v>9</v>
      </c>
      <c r="E78" s="74" t="s">
        <v>118</v>
      </c>
      <c r="F78" s="16"/>
      <c r="G78" s="102" t="s">
        <v>231</v>
      </c>
      <c r="H78" s="41">
        <f>SUM(H79:H80)</f>
        <v>8600.6999999999989</v>
      </c>
      <c r="I78" s="41">
        <f>SUM(I79:I79)</f>
        <v>3928</v>
      </c>
      <c r="J78" s="41">
        <f>SUM(J79:J79)</f>
        <v>3928</v>
      </c>
    </row>
    <row r="79" spans="1:10" ht="38.25">
      <c r="A79" s="1"/>
      <c r="B79" s="25"/>
      <c r="C79" s="16" t="s">
        <v>140</v>
      </c>
      <c r="D79" s="16" t="s">
        <v>9</v>
      </c>
      <c r="E79" s="74" t="s">
        <v>118</v>
      </c>
      <c r="F79" s="85" t="s">
        <v>325</v>
      </c>
      <c r="G79" s="103" t="s">
        <v>326</v>
      </c>
      <c r="H79" s="41">
        <f>5444.5+1424.7-36.6+120-28+969.7-10.7+323.6+300</f>
        <v>8507.1999999999989</v>
      </c>
      <c r="I79" s="41">
        <v>3928</v>
      </c>
      <c r="J79" s="41">
        <v>3928</v>
      </c>
    </row>
    <row r="80" spans="1:10">
      <c r="A80" s="158"/>
      <c r="B80" s="25"/>
      <c r="C80" s="16" t="s">
        <v>140</v>
      </c>
      <c r="D80" s="16" t="s">
        <v>9</v>
      </c>
      <c r="E80" s="74" t="s">
        <v>118</v>
      </c>
      <c r="F80" s="85" t="s">
        <v>183</v>
      </c>
      <c r="G80" s="179" t="s">
        <v>184</v>
      </c>
      <c r="H80" s="41">
        <f>36.6+28+10.7+18.2</f>
        <v>93.5</v>
      </c>
      <c r="I80" s="41">
        <v>0</v>
      </c>
      <c r="J80" s="41">
        <v>0</v>
      </c>
    </row>
    <row r="81" spans="1:10" ht="38.25">
      <c r="A81" s="158"/>
      <c r="B81" s="25"/>
      <c r="C81" s="85" t="s">
        <v>140</v>
      </c>
      <c r="D81" s="85" t="s">
        <v>9</v>
      </c>
      <c r="E81" s="74" t="s">
        <v>962</v>
      </c>
      <c r="F81" s="84"/>
      <c r="G81" s="103" t="s">
        <v>963</v>
      </c>
      <c r="H81" s="41">
        <f>SUM(H82)</f>
        <v>626</v>
      </c>
      <c r="I81" s="41">
        <f t="shared" ref="I81:J81" si="26">SUM(I82)</f>
        <v>0</v>
      </c>
      <c r="J81" s="41">
        <f t="shared" si="26"/>
        <v>0</v>
      </c>
    </row>
    <row r="82" spans="1:10" ht="63.75">
      <c r="A82" s="158"/>
      <c r="B82" s="25"/>
      <c r="C82" s="85" t="s">
        <v>140</v>
      </c>
      <c r="D82" s="85" t="s">
        <v>9</v>
      </c>
      <c r="E82" s="74" t="s">
        <v>962</v>
      </c>
      <c r="F82" s="84" t="s">
        <v>15</v>
      </c>
      <c r="G82" s="103" t="s">
        <v>663</v>
      </c>
      <c r="H82" s="41">
        <v>626</v>
      </c>
      <c r="I82" s="41">
        <v>0</v>
      </c>
      <c r="J82" s="41">
        <v>0</v>
      </c>
    </row>
    <row r="83" spans="1:10" ht="51">
      <c r="A83" s="158"/>
      <c r="B83" s="25"/>
      <c r="C83" s="5" t="s">
        <v>140</v>
      </c>
      <c r="D83" s="5" t="s">
        <v>9</v>
      </c>
      <c r="E83" s="73" t="s">
        <v>87</v>
      </c>
      <c r="F83" s="16"/>
      <c r="G83" s="53" t="s">
        <v>550</v>
      </c>
      <c r="H83" s="125">
        <f>H84</f>
        <v>1199.5999999999999</v>
      </c>
      <c r="I83" s="125">
        <f t="shared" ref="I83:J84" si="27">I84</f>
        <v>0</v>
      </c>
      <c r="J83" s="125">
        <f t="shared" si="27"/>
        <v>0</v>
      </c>
    </row>
    <row r="84" spans="1:10" ht="51">
      <c r="A84" s="158"/>
      <c r="B84" s="25"/>
      <c r="C84" s="16" t="s">
        <v>140</v>
      </c>
      <c r="D84" s="16" t="s">
        <v>9</v>
      </c>
      <c r="E84" s="52" t="s">
        <v>778</v>
      </c>
      <c r="F84" s="16"/>
      <c r="G84" s="60" t="s">
        <v>779</v>
      </c>
      <c r="H84" s="98">
        <f>H85</f>
        <v>1199.5999999999999</v>
      </c>
      <c r="I84" s="98">
        <f t="shared" si="27"/>
        <v>0</v>
      </c>
      <c r="J84" s="98">
        <f t="shared" si="27"/>
        <v>0</v>
      </c>
    </row>
    <row r="85" spans="1:10" ht="63.75">
      <c r="A85" s="158"/>
      <c r="B85" s="25"/>
      <c r="C85" s="16" t="s">
        <v>140</v>
      </c>
      <c r="D85" s="16" t="s">
        <v>9</v>
      </c>
      <c r="E85" s="21" t="s">
        <v>781</v>
      </c>
      <c r="F85" s="16"/>
      <c r="G85" s="103" t="s">
        <v>782</v>
      </c>
      <c r="H85" s="104">
        <f>H86+H88+H90</f>
        <v>1199.5999999999999</v>
      </c>
      <c r="I85" s="104">
        <f t="shared" ref="I85:J85" si="28">I86+I88+I90</f>
        <v>0</v>
      </c>
      <c r="J85" s="104">
        <f t="shared" si="28"/>
        <v>0</v>
      </c>
    </row>
    <row r="86" spans="1:10" ht="76.5">
      <c r="A86" s="158"/>
      <c r="B86" s="25"/>
      <c r="C86" s="16" t="s">
        <v>140</v>
      </c>
      <c r="D86" s="16" t="s">
        <v>9</v>
      </c>
      <c r="E86" s="21" t="s">
        <v>840</v>
      </c>
      <c r="F86" s="85"/>
      <c r="G86" s="103" t="s">
        <v>845</v>
      </c>
      <c r="H86" s="41">
        <f>H87</f>
        <v>539.6</v>
      </c>
      <c r="I86" s="41">
        <f>I87</f>
        <v>0</v>
      </c>
      <c r="J86" s="41">
        <f>J87</f>
        <v>0</v>
      </c>
    </row>
    <row r="87" spans="1:10" ht="38.25">
      <c r="A87" s="158"/>
      <c r="B87" s="25"/>
      <c r="C87" s="16" t="s">
        <v>140</v>
      </c>
      <c r="D87" s="16" t="s">
        <v>9</v>
      </c>
      <c r="E87" s="21" t="s">
        <v>840</v>
      </c>
      <c r="F87" s="85" t="s">
        <v>325</v>
      </c>
      <c r="G87" s="103" t="s">
        <v>326</v>
      </c>
      <c r="H87" s="41">
        <f>525.7+132+1-143+2.5+21.4</f>
        <v>539.6</v>
      </c>
      <c r="I87" s="41">
        <v>0</v>
      </c>
      <c r="J87" s="39">
        <v>0</v>
      </c>
    </row>
    <row r="88" spans="1:10" ht="63.75">
      <c r="A88" s="158"/>
      <c r="B88" s="25"/>
      <c r="C88" s="16" t="s">
        <v>140</v>
      </c>
      <c r="D88" s="16" t="s">
        <v>9</v>
      </c>
      <c r="E88" s="21" t="s">
        <v>841</v>
      </c>
      <c r="F88" s="85"/>
      <c r="G88" s="54" t="s">
        <v>847</v>
      </c>
      <c r="H88" s="41">
        <f>H89</f>
        <v>650</v>
      </c>
      <c r="I88" s="41">
        <f t="shared" ref="I88:J88" si="29">I89</f>
        <v>0</v>
      </c>
      <c r="J88" s="41">
        <f t="shared" si="29"/>
        <v>0</v>
      </c>
    </row>
    <row r="89" spans="1:10" ht="38.25">
      <c r="A89" s="158"/>
      <c r="B89" s="25"/>
      <c r="C89" s="16" t="s">
        <v>140</v>
      </c>
      <c r="D89" s="16" t="s">
        <v>9</v>
      </c>
      <c r="E89" s="21" t="s">
        <v>841</v>
      </c>
      <c r="F89" s="85" t="s">
        <v>325</v>
      </c>
      <c r="G89" s="103" t="s">
        <v>326</v>
      </c>
      <c r="H89" s="41">
        <v>650</v>
      </c>
      <c r="I89" s="41">
        <v>0</v>
      </c>
      <c r="J89" s="41">
        <v>0</v>
      </c>
    </row>
    <row r="90" spans="1:10" ht="89.25">
      <c r="A90" s="158"/>
      <c r="B90" s="25"/>
      <c r="C90" s="16" t="s">
        <v>140</v>
      </c>
      <c r="D90" s="16" t="s">
        <v>9</v>
      </c>
      <c r="E90" s="21" t="s">
        <v>842</v>
      </c>
      <c r="F90" s="85"/>
      <c r="G90" s="184" t="s">
        <v>843</v>
      </c>
      <c r="H90" s="41">
        <f>H91</f>
        <v>10</v>
      </c>
      <c r="I90" s="41">
        <f t="shared" ref="I90:J90" si="30">I91</f>
        <v>0</v>
      </c>
      <c r="J90" s="41">
        <f t="shared" si="30"/>
        <v>0</v>
      </c>
    </row>
    <row r="91" spans="1:10" ht="38.25">
      <c r="A91" s="158"/>
      <c r="B91" s="25"/>
      <c r="C91" s="16" t="s">
        <v>140</v>
      </c>
      <c r="D91" s="16" t="s">
        <v>9</v>
      </c>
      <c r="E91" s="21" t="s">
        <v>842</v>
      </c>
      <c r="F91" s="85" t="s">
        <v>325</v>
      </c>
      <c r="G91" s="103" t="s">
        <v>326</v>
      </c>
      <c r="H91" s="41">
        <v>10</v>
      </c>
      <c r="I91" s="41">
        <v>0</v>
      </c>
      <c r="J91" s="41">
        <v>0</v>
      </c>
    </row>
    <row r="92" spans="1:10" ht="25.5">
      <c r="A92" s="1"/>
      <c r="B92" s="25"/>
      <c r="C92" s="5" t="s">
        <v>140</v>
      </c>
      <c r="D92" s="5" t="s">
        <v>9</v>
      </c>
      <c r="E92" s="87">
        <v>9900000000</v>
      </c>
      <c r="F92" s="5"/>
      <c r="G92" s="88" t="s">
        <v>201</v>
      </c>
      <c r="H92" s="101">
        <f>H93+H99+H104+H113</f>
        <v>42904.4</v>
      </c>
      <c r="I92" s="101">
        <f>I93+I99+I104+I113</f>
        <v>34367.5</v>
      </c>
      <c r="J92" s="101">
        <f>J93+J99+J104+J113</f>
        <v>34369.4</v>
      </c>
    </row>
    <row r="93" spans="1:10" ht="25.5">
      <c r="A93" s="1"/>
      <c r="B93" s="25"/>
      <c r="C93" s="16" t="s">
        <v>140</v>
      </c>
      <c r="D93" s="16" t="s">
        <v>9</v>
      </c>
      <c r="E93" s="80">
        <v>9930000000</v>
      </c>
      <c r="F93" s="16"/>
      <c r="G93" s="22" t="s">
        <v>58</v>
      </c>
      <c r="H93" s="39">
        <f>H94+H97</f>
        <v>765.2</v>
      </c>
      <c r="I93" s="39">
        <f t="shared" ref="I93:J93" si="31">I94+I97</f>
        <v>201.70000000000002</v>
      </c>
      <c r="J93" s="39">
        <f t="shared" si="31"/>
        <v>203.60000000000002</v>
      </c>
    </row>
    <row r="94" spans="1:10" ht="38.25">
      <c r="A94" s="1"/>
      <c r="B94" s="25"/>
      <c r="C94" s="16" t="s">
        <v>140</v>
      </c>
      <c r="D94" s="16" t="s">
        <v>9</v>
      </c>
      <c r="E94" s="80">
        <v>9930010540</v>
      </c>
      <c r="F94" s="16"/>
      <c r="G94" s="22" t="s">
        <v>21</v>
      </c>
      <c r="H94" s="39">
        <f>H95+H96</f>
        <v>199.8</v>
      </c>
      <c r="I94" s="39">
        <f>I95+I96</f>
        <v>201.70000000000002</v>
      </c>
      <c r="J94" s="39">
        <f>J95+J96</f>
        <v>203.60000000000002</v>
      </c>
    </row>
    <row r="95" spans="1:10" ht="38.25">
      <c r="A95" s="1"/>
      <c r="B95" s="25"/>
      <c r="C95" s="16" t="s">
        <v>140</v>
      </c>
      <c r="D95" s="16" t="s">
        <v>9</v>
      </c>
      <c r="E95" s="80">
        <v>9930010540</v>
      </c>
      <c r="F95" s="16" t="s">
        <v>105</v>
      </c>
      <c r="G95" s="108" t="s">
        <v>106</v>
      </c>
      <c r="H95" s="39">
        <v>171.3</v>
      </c>
      <c r="I95" s="39">
        <v>171.3</v>
      </c>
      <c r="J95" s="39">
        <v>171.3</v>
      </c>
    </row>
    <row r="96" spans="1:10" ht="38.25">
      <c r="A96" s="1"/>
      <c r="B96" s="25"/>
      <c r="C96" s="16" t="s">
        <v>140</v>
      </c>
      <c r="D96" s="16" t="s">
        <v>9</v>
      </c>
      <c r="E96" s="80">
        <v>9930010540</v>
      </c>
      <c r="F96" s="85" t="s">
        <v>325</v>
      </c>
      <c r="G96" s="103" t="s">
        <v>326</v>
      </c>
      <c r="H96" s="39">
        <v>28.5</v>
      </c>
      <c r="I96" s="39">
        <v>30.4</v>
      </c>
      <c r="J96" s="39">
        <v>32.299999999999997</v>
      </c>
    </row>
    <row r="97" spans="1:10" ht="25.5">
      <c r="A97" s="158"/>
      <c r="B97" s="25"/>
      <c r="C97" s="16" t="s">
        <v>140</v>
      </c>
      <c r="D97" s="16" t="s">
        <v>9</v>
      </c>
      <c r="E97" s="80">
        <v>9930054690</v>
      </c>
      <c r="F97" s="85"/>
      <c r="G97" s="103" t="s">
        <v>742</v>
      </c>
      <c r="H97" s="39">
        <f>H98</f>
        <v>565.4</v>
      </c>
      <c r="I97" s="39">
        <f t="shared" ref="I97:J97" si="32">I98</f>
        <v>0</v>
      </c>
      <c r="J97" s="39">
        <f t="shared" si="32"/>
        <v>0</v>
      </c>
    </row>
    <row r="98" spans="1:10" ht="38.25">
      <c r="A98" s="158"/>
      <c r="B98" s="25"/>
      <c r="C98" s="16" t="s">
        <v>140</v>
      </c>
      <c r="D98" s="16" t="s">
        <v>9</v>
      </c>
      <c r="E98" s="80">
        <v>9930054690</v>
      </c>
      <c r="F98" s="85" t="s">
        <v>325</v>
      </c>
      <c r="G98" s="103" t="s">
        <v>326</v>
      </c>
      <c r="H98" s="39">
        <f>577.4-12</f>
        <v>565.4</v>
      </c>
      <c r="I98" s="39">
        <v>0</v>
      </c>
      <c r="J98" s="39">
        <v>0</v>
      </c>
    </row>
    <row r="99" spans="1:10" ht="25.5">
      <c r="A99" s="1"/>
      <c r="B99" s="25"/>
      <c r="C99" s="16" t="s">
        <v>140</v>
      </c>
      <c r="D99" s="16" t="s">
        <v>9</v>
      </c>
      <c r="E99" s="16" t="s">
        <v>32</v>
      </c>
      <c r="F99" s="16"/>
      <c r="G99" s="105" t="s">
        <v>56</v>
      </c>
      <c r="H99" s="39">
        <f>H100</f>
        <v>2728.4</v>
      </c>
      <c r="I99" s="39">
        <f t="shared" ref="I99:J99" si="33">I100</f>
        <v>1202</v>
      </c>
      <c r="J99" s="39">
        <f t="shared" si="33"/>
        <v>1202</v>
      </c>
    </row>
    <row r="100" spans="1:10" ht="25.5">
      <c r="A100" s="1"/>
      <c r="B100" s="25"/>
      <c r="C100" s="16" t="s">
        <v>140</v>
      </c>
      <c r="D100" s="16" t="s">
        <v>9</v>
      </c>
      <c r="E100" s="84" t="s">
        <v>293</v>
      </c>
      <c r="F100" s="16"/>
      <c r="G100" s="105" t="s">
        <v>57</v>
      </c>
      <c r="H100" s="39">
        <f>SUM(H101:H103)</f>
        <v>2728.4</v>
      </c>
      <c r="I100" s="39">
        <f>SUM(I101:I103)</f>
        <v>1202</v>
      </c>
      <c r="J100" s="39">
        <f>SUM(J101:J103)</f>
        <v>1202</v>
      </c>
    </row>
    <row r="101" spans="1:10" ht="38.25">
      <c r="A101" s="1"/>
      <c r="B101" s="25"/>
      <c r="C101" s="16" t="s">
        <v>140</v>
      </c>
      <c r="D101" s="16" t="s">
        <v>9</v>
      </c>
      <c r="E101" s="84" t="s">
        <v>293</v>
      </c>
      <c r="F101" s="85" t="s">
        <v>325</v>
      </c>
      <c r="G101" s="103" t="s">
        <v>326</v>
      </c>
      <c r="H101" s="39">
        <v>241</v>
      </c>
      <c r="I101" s="39">
        <v>241</v>
      </c>
      <c r="J101" s="39">
        <v>241</v>
      </c>
    </row>
    <row r="102" spans="1:10">
      <c r="A102" s="1"/>
      <c r="B102" s="25"/>
      <c r="C102" s="16" t="s">
        <v>140</v>
      </c>
      <c r="D102" s="16" t="s">
        <v>9</v>
      </c>
      <c r="E102" s="84" t="s">
        <v>293</v>
      </c>
      <c r="F102" s="16" t="s">
        <v>133</v>
      </c>
      <c r="G102" s="103" t="s">
        <v>134</v>
      </c>
      <c r="H102" s="39">
        <f>359-101</f>
        <v>258</v>
      </c>
      <c r="I102" s="39">
        <v>359</v>
      </c>
      <c r="J102" s="39">
        <v>359</v>
      </c>
    </row>
    <row r="103" spans="1:10">
      <c r="A103" s="1"/>
      <c r="B103" s="25"/>
      <c r="C103" s="16" t="s">
        <v>140</v>
      </c>
      <c r="D103" s="16" t="s">
        <v>9</v>
      </c>
      <c r="E103" s="84" t="s">
        <v>293</v>
      </c>
      <c r="F103" s="84" t="s">
        <v>183</v>
      </c>
      <c r="G103" s="103" t="s">
        <v>184</v>
      </c>
      <c r="H103" s="39">
        <f>602+127.4+750+350+300+100</f>
        <v>2229.4</v>
      </c>
      <c r="I103" s="39">
        <v>602</v>
      </c>
      <c r="J103" s="39">
        <v>602</v>
      </c>
    </row>
    <row r="104" spans="1:10" ht="25.5">
      <c r="A104" s="1"/>
      <c r="B104" s="25"/>
      <c r="C104" s="16" t="s">
        <v>140</v>
      </c>
      <c r="D104" s="16" t="s">
        <v>9</v>
      </c>
      <c r="E104" s="85" t="s">
        <v>290</v>
      </c>
      <c r="F104" s="16"/>
      <c r="G104" s="105" t="s">
        <v>291</v>
      </c>
      <c r="H104" s="39">
        <f>H105+H109</f>
        <v>38893.300000000003</v>
      </c>
      <c r="I104" s="39">
        <f>I105+I109</f>
        <v>32446.3</v>
      </c>
      <c r="J104" s="39">
        <f>J105+J109</f>
        <v>32446.3</v>
      </c>
    </row>
    <row r="105" spans="1:10" ht="38.25">
      <c r="A105" s="1"/>
      <c r="B105" s="25"/>
      <c r="C105" s="16" t="s">
        <v>140</v>
      </c>
      <c r="D105" s="16" t="s">
        <v>9</v>
      </c>
      <c r="E105" s="21" t="s">
        <v>292</v>
      </c>
      <c r="F105" s="47"/>
      <c r="G105" s="54" t="s">
        <v>433</v>
      </c>
      <c r="H105" s="41">
        <f>SUM(H106:H108)</f>
        <v>8869.2000000000007</v>
      </c>
      <c r="I105" s="41">
        <f t="shared" ref="I105:J105" si="34">SUM(I106:I108)</f>
        <v>8869.2000000000007</v>
      </c>
      <c r="J105" s="41">
        <f t="shared" si="34"/>
        <v>8869.2000000000007</v>
      </c>
    </row>
    <row r="106" spans="1:10" ht="25.5">
      <c r="A106" s="1"/>
      <c r="B106" s="25"/>
      <c r="C106" s="16" t="s">
        <v>140</v>
      </c>
      <c r="D106" s="16" t="s">
        <v>9</v>
      </c>
      <c r="E106" s="21" t="s">
        <v>292</v>
      </c>
      <c r="F106" s="16" t="s">
        <v>107</v>
      </c>
      <c r="G106" s="108" t="s">
        <v>182</v>
      </c>
      <c r="H106" s="41">
        <v>8108.8</v>
      </c>
      <c r="I106" s="41">
        <v>8108.8</v>
      </c>
      <c r="J106" s="41">
        <v>8108.8</v>
      </c>
    </row>
    <row r="107" spans="1:10" ht="38.25">
      <c r="A107" s="1"/>
      <c r="B107" s="25"/>
      <c r="C107" s="16" t="s">
        <v>140</v>
      </c>
      <c r="D107" s="16" t="s">
        <v>9</v>
      </c>
      <c r="E107" s="21" t="s">
        <v>292</v>
      </c>
      <c r="F107" s="85" t="s">
        <v>325</v>
      </c>
      <c r="G107" s="103" t="s">
        <v>326</v>
      </c>
      <c r="H107" s="41">
        <f>760.4-2.2</f>
        <v>758.19999999999993</v>
      </c>
      <c r="I107" s="41">
        <v>760.4</v>
      </c>
      <c r="J107" s="41">
        <v>760.4</v>
      </c>
    </row>
    <row r="108" spans="1:10">
      <c r="A108" s="158"/>
      <c r="B108" s="25"/>
      <c r="C108" s="16" t="s">
        <v>140</v>
      </c>
      <c r="D108" s="16" t="s">
        <v>9</v>
      </c>
      <c r="E108" s="21" t="s">
        <v>292</v>
      </c>
      <c r="F108" s="85" t="s">
        <v>183</v>
      </c>
      <c r="G108" s="103" t="s">
        <v>184</v>
      </c>
      <c r="H108" s="41">
        <v>2.2000000000000002</v>
      </c>
      <c r="I108" s="41">
        <v>0</v>
      </c>
      <c r="J108" s="41">
        <v>0</v>
      </c>
    </row>
    <row r="109" spans="1:10" ht="25.5">
      <c r="A109" s="1"/>
      <c r="B109" s="25"/>
      <c r="C109" s="16" t="s">
        <v>140</v>
      </c>
      <c r="D109" s="16" t="s">
        <v>9</v>
      </c>
      <c r="E109" s="21" t="s">
        <v>294</v>
      </c>
      <c r="F109" s="47"/>
      <c r="G109" s="54" t="s">
        <v>434</v>
      </c>
      <c r="H109" s="41">
        <f>SUM(H110:H112)</f>
        <v>30024.1</v>
      </c>
      <c r="I109" s="41">
        <f>SUM(I110:I112)</f>
        <v>23577.1</v>
      </c>
      <c r="J109" s="41">
        <f>SUM(J110:J112)</f>
        <v>23577.1</v>
      </c>
    </row>
    <row r="110" spans="1:10" ht="25.5">
      <c r="A110" s="1"/>
      <c r="B110" s="25"/>
      <c r="C110" s="16" t="s">
        <v>140</v>
      </c>
      <c r="D110" s="16" t="s">
        <v>9</v>
      </c>
      <c r="E110" s="21" t="s">
        <v>294</v>
      </c>
      <c r="F110" s="16" t="s">
        <v>107</v>
      </c>
      <c r="G110" s="108" t="s">
        <v>182</v>
      </c>
      <c r="H110" s="41">
        <f>8142.2-25+260</f>
        <v>8377.2000000000007</v>
      </c>
      <c r="I110" s="41">
        <v>8142.2</v>
      </c>
      <c r="J110" s="41">
        <v>8142.2</v>
      </c>
    </row>
    <row r="111" spans="1:10" ht="38.25">
      <c r="A111" s="1"/>
      <c r="B111" s="25"/>
      <c r="C111" s="16" t="s">
        <v>140</v>
      </c>
      <c r="D111" s="16" t="s">
        <v>9</v>
      </c>
      <c r="E111" s="21" t="s">
        <v>294</v>
      </c>
      <c r="F111" s="85" t="s">
        <v>325</v>
      </c>
      <c r="G111" s="103" t="s">
        <v>326</v>
      </c>
      <c r="H111" s="41">
        <f>15321.3+1000+8072-15-2500-100-260</f>
        <v>21518.3</v>
      </c>
      <c r="I111" s="41">
        <v>15321.3</v>
      </c>
      <c r="J111" s="41">
        <v>15321.3</v>
      </c>
    </row>
    <row r="112" spans="1:10">
      <c r="A112" s="158"/>
      <c r="B112" s="25"/>
      <c r="C112" s="16" t="s">
        <v>140</v>
      </c>
      <c r="D112" s="16" t="s">
        <v>9</v>
      </c>
      <c r="E112" s="21" t="s">
        <v>294</v>
      </c>
      <c r="F112" s="85" t="s">
        <v>183</v>
      </c>
      <c r="G112" s="103" t="s">
        <v>184</v>
      </c>
      <c r="H112" s="119">
        <f>113.6+15</f>
        <v>128.6</v>
      </c>
      <c r="I112" s="119">
        <v>113.6</v>
      </c>
      <c r="J112" s="119">
        <v>113.6</v>
      </c>
    </row>
    <row r="113" spans="1:10" ht="38.25">
      <c r="A113" s="1"/>
      <c r="B113" s="25"/>
      <c r="C113" s="16" t="s">
        <v>140</v>
      </c>
      <c r="D113" s="16" t="s">
        <v>9</v>
      </c>
      <c r="E113" s="80">
        <v>9980000000</v>
      </c>
      <c r="F113" s="16"/>
      <c r="G113" s="54" t="s">
        <v>38</v>
      </c>
      <c r="H113" s="39">
        <f t="shared" ref="H113:J113" si="35">H114</f>
        <v>517.5</v>
      </c>
      <c r="I113" s="39">
        <f t="shared" si="35"/>
        <v>517.5</v>
      </c>
      <c r="J113" s="39">
        <f t="shared" si="35"/>
        <v>517.5</v>
      </c>
    </row>
    <row r="114" spans="1:10">
      <c r="A114" s="1"/>
      <c r="B114" s="25"/>
      <c r="C114" s="16" t="s">
        <v>140</v>
      </c>
      <c r="D114" s="16" t="s">
        <v>9</v>
      </c>
      <c r="E114" s="80" t="s">
        <v>55</v>
      </c>
      <c r="F114" s="16"/>
      <c r="G114" s="110" t="s">
        <v>436</v>
      </c>
      <c r="H114" s="39">
        <f t="shared" ref="H114:I114" si="36">H115+H116</f>
        <v>517.5</v>
      </c>
      <c r="I114" s="39">
        <f t="shared" si="36"/>
        <v>517.5</v>
      </c>
      <c r="J114" s="39">
        <f t="shared" ref="J114" si="37">J115+J116</f>
        <v>517.5</v>
      </c>
    </row>
    <row r="115" spans="1:10" ht="38.25">
      <c r="A115" s="1"/>
      <c r="B115" s="25"/>
      <c r="C115" s="16" t="s">
        <v>140</v>
      </c>
      <c r="D115" s="16" t="s">
        <v>9</v>
      </c>
      <c r="E115" s="80" t="s">
        <v>55</v>
      </c>
      <c r="F115" s="16" t="s">
        <v>105</v>
      </c>
      <c r="G115" s="55" t="s">
        <v>106</v>
      </c>
      <c r="H115" s="39">
        <v>203.6</v>
      </c>
      <c r="I115" s="39">
        <v>203.6</v>
      </c>
      <c r="J115" s="39">
        <v>203.6</v>
      </c>
    </row>
    <row r="116" spans="1:10" ht="38.25">
      <c r="A116" s="1"/>
      <c r="B116" s="25"/>
      <c r="C116" s="16" t="s">
        <v>140</v>
      </c>
      <c r="D116" s="16" t="s">
        <v>9</v>
      </c>
      <c r="E116" s="80" t="s">
        <v>55</v>
      </c>
      <c r="F116" s="85" t="s">
        <v>325</v>
      </c>
      <c r="G116" s="103" t="s">
        <v>326</v>
      </c>
      <c r="H116" s="39">
        <v>313.89999999999998</v>
      </c>
      <c r="I116" s="39">
        <v>313.89999999999998</v>
      </c>
      <c r="J116" s="39">
        <v>313.89999999999998</v>
      </c>
    </row>
    <row r="117" spans="1:10" ht="45">
      <c r="A117" s="3"/>
      <c r="B117" s="96"/>
      <c r="C117" s="4" t="s">
        <v>145</v>
      </c>
      <c r="D117" s="3"/>
      <c r="E117" s="3"/>
      <c r="F117" s="3"/>
      <c r="G117" s="49" t="s">
        <v>150</v>
      </c>
      <c r="H117" s="97">
        <f>H118+H123+H154</f>
        <v>7886.4000000000005</v>
      </c>
      <c r="I117" s="97">
        <f>I118+I123+I154</f>
        <v>7658.0000000000009</v>
      </c>
      <c r="J117" s="97">
        <f>J118+J123+J154</f>
        <v>7615.1</v>
      </c>
    </row>
    <row r="118" spans="1:10" ht="15.75">
      <c r="A118" s="3"/>
      <c r="B118" s="96"/>
      <c r="C118" s="28" t="s">
        <v>145</v>
      </c>
      <c r="D118" s="28" t="s">
        <v>146</v>
      </c>
      <c r="E118" s="28"/>
      <c r="F118" s="34"/>
      <c r="G118" s="46" t="s">
        <v>23</v>
      </c>
      <c r="H118" s="40">
        <f t="shared" ref="H118:I118" si="38">H121</f>
        <v>1124.4000000000001</v>
      </c>
      <c r="I118" s="40">
        <f t="shared" si="38"/>
        <v>1118.3</v>
      </c>
      <c r="J118" s="40">
        <f t="shared" ref="J118" si="39">J121</f>
        <v>1075.4000000000001</v>
      </c>
    </row>
    <row r="119" spans="1:10" ht="25.5">
      <c r="A119" s="3"/>
      <c r="B119" s="96"/>
      <c r="C119" s="16" t="s">
        <v>145</v>
      </c>
      <c r="D119" s="16" t="s">
        <v>146</v>
      </c>
      <c r="E119" s="80">
        <v>9900000000</v>
      </c>
      <c r="F119" s="34"/>
      <c r="G119" s="55" t="s">
        <v>201</v>
      </c>
      <c r="H119" s="41">
        <f t="shared" ref="H119:J120" si="40">H120</f>
        <v>1124.4000000000001</v>
      </c>
      <c r="I119" s="41">
        <f t="shared" si="40"/>
        <v>1118.3</v>
      </c>
      <c r="J119" s="41">
        <f t="shared" si="40"/>
        <v>1075.4000000000001</v>
      </c>
    </row>
    <row r="120" spans="1:10" ht="26.25">
      <c r="A120" s="3"/>
      <c r="B120" s="96"/>
      <c r="C120" s="16" t="s">
        <v>145</v>
      </c>
      <c r="D120" s="16" t="s">
        <v>146</v>
      </c>
      <c r="E120" s="80">
        <v>9930000000</v>
      </c>
      <c r="F120" s="16"/>
      <c r="G120" s="22" t="s">
        <v>58</v>
      </c>
      <c r="H120" s="41">
        <f t="shared" si="40"/>
        <v>1124.4000000000001</v>
      </c>
      <c r="I120" s="41">
        <f t="shared" si="40"/>
        <v>1118.3</v>
      </c>
      <c r="J120" s="41">
        <f t="shared" si="40"/>
        <v>1075.4000000000001</v>
      </c>
    </row>
    <row r="121" spans="1:10" ht="51.75">
      <c r="A121" s="3"/>
      <c r="B121" s="96"/>
      <c r="C121" s="16" t="s">
        <v>145</v>
      </c>
      <c r="D121" s="16" t="s">
        <v>146</v>
      </c>
      <c r="E121" s="80">
        <v>9930059302</v>
      </c>
      <c r="F121" s="16"/>
      <c r="G121" s="163" t="s">
        <v>661</v>
      </c>
      <c r="H121" s="39">
        <f>SUM(H122:H122)</f>
        <v>1124.4000000000001</v>
      </c>
      <c r="I121" s="39">
        <f>SUM(I122:I122)</f>
        <v>1118.3</v>
      </c>
      <c r="J121" s="39">
        <f>SUM(J122:J122)</f>
        <v>1075.4000000000001</v>
      </c>
    </row>
    <row r="122" spans="1:10" ht="38.25">
      <c r="A122" s="3"/>
      <c r="B122" s="96"/>
      <c r="C122" s="16" t="s">
        <v>145</v>
      </c>
      <c r="D122" s="16" t="s">
        <v>146</v>
      </c>
      <c r="E122" s="80">
        <v>9930059302</v>
      </c>
      <c r="F122" s="16" t="s">
        <v>105</v>
      </c>
      <c r="G122" s="55" t="s">
        <v>106</v>
      </c>
      <c r="H122" s="39">
        <v>1124.4000000000001</v>
      </c>
      <c r="I122" s="39">
        <v>1118.3</v>
      </c>
      <c r="J122" s="39">
        <v>1075.4000000000001</v>
      </c>
    </row>
    <row r="123" spans="1:10" ht="51.75">
      <c r="A123" s="3"/>
      <c r="B123" s="96"/>
      <c r="C123" s="28" t="s">
        <v>145</v>
      </c>
      <c r="D123" s="28" t="s">
        <v>162</v>
      </c>
      <c r="E123" s="28"/>
      <c r="F123" s="34"/>
      <c r="G123" s="48" t="s">
        <v>715</v>
      </c>
      <c r="H123" s="40">
        <f>H124+H149</f>
        <v>6605.7000000000007</v>
      </c>
      <c r="I123" s="40">
        <f>I124+I149</f>
        <v>6505.7000000000007</v>
      </c>
      <c r="J123" s="40">
        <f>J124+J149</f>
        <v>6505.7000000000007</v>
      </c>
    </row>
    <row r="124" spans="1:10" ht="64.5">
      <c r="A124" s="3"/>
      <c r="B124" s="96"/>
      <c r="C124" s="21" t="s">
        <v>145</v>
      </c>
      <c r="D124" s="21" t="s">
        <v>162</v>
      </c>
      <c r="E124" s="73" t="s">
        <v>76</v>
      </c>
      <c r="F124" s="16"/>
      <c r="G124" s="64" t="s">
        <v>554</v>
      </c>
      <c r="H124" s="59">
        <f>H125+H131+H137+H143</f>
        <v>1700</v>
      </c>
      <c r="I124" s="59">
        <f>I125+I131+I137+I143</f>
        <v>1600</v>
      </c>
      <c r="J124" s="59">
        <f>J125+J131+J137+J143</f>
        <v>1600</v>
      </c>
    </row>
    <row r="125" spans="1:10" ht="51.75">
      <c r="A125" s="3"/>
      <c r="B125" s="96"/>
      <c r="C125" s="21" t="s">
        <v>145</v>
      </c>
      <c r="D125" s="21" t="s">
        <v>162</v>
      </c>
      <c r="E125" s="52" t="s">
        <v>77</v>
      </c>
      <c r="F125" s="16"/>
      <c r="G125" s="48" t="s">
        <v>492</v>
      </c>
      <c r="H125" s="98">
        <f t="shared" ref="H125" si="41">H127+H129</f>
        <v>80</v>
      </c>
      <c r="I125" s="98">
        <f t="shared" ref="I125:J125" si="42">I127+I129</f>
        <v>80</v>
      </c>
      <c r="J125" s="98">
        <f t="shared" si="42"/>
        <v>80</v>
      </c>
    </row>
    <row r="126" spans="1:10" ht="64.5">
      <c r="A126" s="3"/>
      <c r="B126" s="96"/>
      <c r="C126" s="21" t="s">
        <v>145</v>
      </c>
      <c r="D126" s="21" t="s">
        <v>162</v>
      </c>
      <c r="E126" s="21" t="s">
        <v>336</v>
      </c>
      <c r="F126" s="16"/>
      <c r="G126" s="105" t="s">
        <v>453</v>
      </c>
      <c r="H126" s="104">
        <f t="shared" ref="H126:I126" si="43">H127+H129</f>
        <v>80</v>
      </c>
      <c r="I126" s="104">
        <f t="shared" si="43"/>
        <v>80</v>
      </c>
      <c r="J126" s="104">
        <f t="shared" ref="J126" si="44">J127+J129</f>
        <v>80</v>
      </c>
    </row>
    <row r="127" spans="1:10" ht="27.75" customHeight="1">
      <c r="A127" s="3"/>
      <c r="B127" s="96"/>
      <c r="C127" s="21" t="s">
        <v>145</v>
      </c>
      <c r="D127" s="21" t="s">
        <v>162</v>
      </c>
      <c r="E127" s="74" t="s">
        <v>75</v>
      </c>
      <c r="F127" s="16"/>
      <c r="G127" s="105" t="s">
        <v>335</v>
      </c>
      <c r="H127" s="39">
        <f>H128</f>
        <v>49</v>
      </c>
      <c r="I127" s="39">
        <f>I128</f>
        <v>40</v>
      </c>
      <c r="J127" s="39">
        <f>J128</f>
        <v>40</v>
      </c>
    </row>
    <row r="128" spans="1:10" ht="38.25">
      <c r="A128" s="3"/>
      <c r="B128" s="96"/>
      <c r="C128" s="21" t="s">
        <v>145</v>
      </c>
      <c r="D128" s="21" t="s">
        <v>162</v>
      </c>
      <c r="E128" s="74" t="s">
        <v>75</v>
      </c>
      <c r="F128" s="85" t="s">
        <v>325</v>
      </c>
      <c r="G128" s="103" t="s">
        <v>326</v>
      </c>
      <c r="H128" s="39">
        <v>49</v>
      </c>
      <c r="I128" s="39">
        <v>40</v>
      </c>
      <c r="J128" s="39">
        <v>40</v>
      </c>
    </row>
    <row r="129" spans="1:10" ht="51.75">
      <c r="A129" s="3"/>
      <c r="B129" s="96"/>
      <c r="C129" s="21" t="s">
        <v>145</v>
      </c>
      <c r="D129" s="21" t="s">
        <v>162</v>
      </c>
      <c r="E129" s="74" t="s">
        <v>78</v>
      </c>
      <c r="F129" s="16"/>
      <c r="G129" s="105" t="s">
        <v>310</v>
      </c>
      <c r="H129" s="41">
        <f>H130</f>
        <v>31</v>
      </c>
      <c r="I129" s="41">
        <f>I130</f>
        <v>40</v>
      </c>
      <c r="J129" s="41">
        <f>J130</f>
        <v>40</v>
      </c>
    </row>
    <row r="130" spans="1:10" ht="38.25">
      <c r="A130" s="3"/>
      <c r="B130" s="96"/>
      <c r="C130" s="21" t="s">
        <v>145</v>
      </c>
      <c r="D130" s="21" t="s">
        <v>162</v>
      </c>
      <c r="E130" s="74" t="s">
        <v>78</v>
      </c>
      <c r="F130" s="85" t="s">
        <v>325</v>
      </c>
      <c r="G130" s="103" t="s">
        <v>326</v>
      </c>
      <c r="H130" s="41">
        <v>31</v>
      </c>
      <c r="I130" s="41">
        <v>40</v>
      </c>
      <c r="J130" s="41">
        <v>40</v>
      </c>
    </row>
    <row r="131" spans="1:10" ht="39">
      <c r="A131" s="3"/>
      <c r="B131" s="96"/>
      <c r="C131" s="21" t="s">
        <v>145</v>
      </c>
      <c r="D131" s="21" t="s">
        <v>162</v>
      </c>
      <c r="E131" s="52" t="s">
        <v>79</v>
      </c>
      <c r="F131" s="16"/>
      <c r="G131" s="48" t="s">
        <v>299</v>
      </c>
      <c r="H131" s="98">
        <f t="shared" ref="H131:J131" si="45">H132</f>
        <v>1600</v>
      </c>
      <c r="I131" s="98">
        <f t="shared" si="45"/>
        <v>1500</v>
      </c>
      <c r="J131" s="98">
        <f t="shared" si="45"/>
        <v>1500</v>
      </c>
    </row>
    <row r="132" spans="1:10" ht="51.75">
      <c r="A132" s="3"/>
      <c r="B132" s="96"/>
      <c r="C132" s="21" t="s">
        <v>145</v>
      </c>
      <c r="D132" s="21" t="s">
        <v>162</v>
      </c>
      <c r="E132" s="21" t="s">
        <v>79</v>
      </c>
      <c r="F132" s="16"/>
      <c r="G132" s="105" t="s">
        <v>337</v>
      </c>
      <c r="H132" s="104">
        <f t="shared" ref="H132:I132" si="46">H133+H135</f>
        <v>1600</v>
      </c>
      <c r="I132" s="104">
        <f t="shared" si="46"/>
        <v>1500</v>
      </c>
      <c r="J132" s="104">
        <f t="shared" ref="J132" si="47">J133+J135</f>
        <v>1500</v>
      </c>
    </row>
    <row r="133" spans="1:10" ht="51">
      <c r="A133" s="3"/>
      <c r="B133" s="96"/>
      <c r="C133" s="21" t="s">
        <v>145</v>
      </c>
      <c r="D133" s="21" t="s">
        <v>162</v>
      </c>
      <c r="E133" s="74" t="s">
        <v>80</v>
      </c>
      <c r="F133" s="16"/>
      <c r="G133" s="103" t="s">
        <v>608</v>
      </c>
      <c r="H133" s="41">
        <f>H134</f>
        <v>916.8</v>
      </c>
      <c r="I133" s="41">
        <f>I134</f>
        <v>916.8</v>
      </c>
      <c r="J133" s="41">
        <f>J134</f>
        <v>916.8</v>
      </c>
    </row>
    <row r="134" spans="1:10" ht="38.25">
      <c r="A134" s="3"/>
      <c r="B134" s="96"/>
      <c r="C134" s="21" t="s">
        <v>145</v>
      </c>
      <c r="D134" s="21" t="s">
        <v>162</v>
      </c>
      <c r="E134" s="74" t="s">
        <v>80</v>
      </c>
      <c r="F134" s="85" t="s">
        <v>325</v>
      </c>
      <c r="G134" s="103" t="s">
        <v>326</v>
      </c>
      <c r="H134" s="41">
        <v>916.8</v>
      </c>
      <c r="I134" s="41">
        <v>916.8</v>
      </c>
      <c r="J134" s="41">
        <v>916.8</v>
      </c>
    </row>
    <row r="135" spans="1:10" ht="38.25">
      <c r="A135" s="3"/>
      <c r="B135" s="96"/>
      <c r="C135" s="21" t="s">
        <v>145</v>
      </c>
      <c r="D135" s="21" t="s">
        <v>162</v>
      </c>
      <c r="E135" s="74" t="s">
        <v>606</v>
      </c>
      <c r="F135" s="16"/>
      <c r="G135" s="103" t="s">
        <v>607</v>
      </c>
      <c r="H135" s="41">
        <f>SUM(H136:H136)</f>
        <v>683.2</v>
      </c>
      <c r="I135" s="41">
        <f>SUM(I136:I136)</f>
        <v>583.20000000000005</v>
      </c>
      <c r="J135" s="41">
        <f>SUM(J136:J136)</f>
        <v>583.20000000000005</v>
      </c>
    </row>
    <row r="136" spans="1:10" ht="38.25">
      <c r="A136" s="3"/>
      <c r="B136" s="96"/>
      <c r="C136" s="21" t="s">
        <v>145</v>
      </c>
      <c r="D136" s="21" t="s">
        <v>162</v>
      </c>
      <c r="E136" s="74" t="s">
        <v>606</v>
      </c>
      <c r="F136" s="85" t="s">
        <v>325</v>
      </c>
      <c r="G136" s="103" t="s">
        <v>326</v>
      </c>
      <c r="H136" s="41">
        <v>683.2</v>
      </c>
      <c r="I136" s="41">
        <v>583.20000000000005</v>
      </c>
      <c r="J136" s="41">
        <v>583.20000000000005</v>
      </c>
    </row>
    <row r="137" spans="1:10" ht="51.75">
      <c r="A137" s="3"/>
      <c r="B137" s="96"/>
      <c r="C137" s="21" t="s">
        <v>145</v>
      </c>
      <c r="D137" s="21" t="s">
        <v>162</v>
      </c>
      <c r="E137" s="52" t="s">
        <v>81</v>
      </c>
      <c r="F137" s="16"/>
      <c r="G137" s="48" t="s">
        <v>309</v>
      </c>
      <c r="H137" s="98">
        <f t="shared" ref="H137:I137" si="48">H139+H141</f>
        <v>5</v>
      </c>
      <c r="I137" s="98">
        <f t="shared" si="48"/>
        <v>5</v>
      </c>
      <c r="J137" s="98">
        <f t="shared" ref="J137" si="49">J139+J141</f>
        <v>5</v>
      </c>
    </row>
    <row r="138" spans="1:10" ht="64.5">
      <c r="A138" s="3"/>
      <c r="B138" s="96"/>
      <c r="C138" s="21" t="s">
        <v>145</v>
      </c>
      <c r="D138" s="21" t="s">
        <v>162</v>
      </c>
      <c r="E138" s="21" t="s">
        <v>339</v>
      </c>
      <c r="F138" s="16"/>
      <c r="G138" s="105" t="s">
        <v>489</v>
      </c>
      <c r="H138" s="104">
        <f t="shared" ref="H138:I138" si="50">H139+H141</f>
        <v>5</v>
      </c>
      <c r="I138" s="104">
        <f t="shared" si="50"/>
        <v>5</v>
      </c>
      <c r="J138" s="104">
        <f t="shared" ref="J138" si="51">J139+J141</f>
        <v>5</v>
      </c>
    </row>
    <row r="139" spans="1:10" ht="25.5">
      <c r="A139" s="3"/>
      <c r="B139" s="96"/>
      <c r="C139" s="21" t="s">
        <v>145</v>
      </c>
      <c r="D139" s="21" t="s">
        <v>162</v>
      </c>
      <c r="E139" s="74" t="s">
        <v>82</v>
      </c>
      <c r="F139" s="16"/>
      <c r="G139" s="103" t="s">
        <v>385</v>
      </c>
      <c r="H139" s="41">
        <f>H140</f>
        <v>4</v>
      </c>
      <c r="I139" s="41">
        <f>I140</f>
        <v>4</v>
      </c>
      <c r="J139" s="41">
        <f>J140</f>
        <v>4</v>
      </c>
    </row>
    <row r="140" spans="1:10" ht="38.25">
      <c r="A140" s="3"/>
      <c r="B140" s="96"/>
      <c r="C140" s="21" t="s">
        <v>145</v>
      </c>
      <c r="D140" s="21" t="s">
        <v>162</v>
      </c>
      <c r="E140" s="74" t="s">
        <v>82</v>
      </c>
      <c r="F140" s="85" t="s">
        <v>325</v>
      </c>
      <c r="G140" s="103" t="s">
        <v>326</v>
      </c>
      <c r="H140" s="41">
        <v>4</v>
      </c>
      <c r="I140" s="41">
        <v>4</v>
      </c>
      <c r="J140" s="41">
        <v>4</v>
      </c>
    </row>
    <row r="141" spans="1:10" ht="38.25">
      <c r="A141" s="3"/>
      <c r="B141" s="96"/>
      <c r="C141" s="21" t="s">
        <v>145</v>
      </c>
      <c r="D141" s="21" t="s">
        <v>162</v>
      </c>
      <c r="E141" s="74" t="s">
        <v>83</v>
      </c>
      <c r="F141" s="16"/>
      <c r="G141" s="103" t="s">
        <v>340</v>
      </c>
      <c r="H141" s="41">
        <f>H142</f>
        <v>1</v>
      </c>
      <c r="I141" s="41">
        <f>I142</f>
        <v>1</v>
      </c>
      <c r="J141" s="41">
        <f>J142</f>
        <v>1</v>
      </c>
    </row>
    <row r="142" spans="1:10" ht="38.25">
      <c r="A142" s="3"/>
      <c r="B142" s="96"/>
      <c r="C142" s="21" t="s">
        <v>145</v>
      </c>
      <c r="D142" s="21" t="s">
        <v>162</v>
      </c>
      <c r="E142" s="74" t="s">
        <v>83</v>
      </c>
      <c r="F142" s="85" t="s">
        <v>325</v>
      </c>
      <c r="G142" s="103" t="s">
        <v>326</v>
      </c>
      <c r="H142" s="41">
        <v>1</v>
      </c>
      <c r="I142" s="41">
        <v>1</v>
      </c>
      <c r="J142" s="41">
        <v>1</v>
      </c>
    </row>
    <row r="143" spans="1:10" ht="51" customHeight="1">
      <c r="A143" s="3"/>
      <c r="B143" s="96"/>
      <c r="C143" s="21" t="s">
        <v>145</v>
      </c>
      <c r="D143" s="21" t="s">
        <v>162</v>
      </c>
      <c r="E143" s="52" t="s">
        <v>84</v>
      </c>
      <c r="F143" s="16"/>
      <c r="G143" s="48" t="s">
        <v>306</v>
      </c>
      <c r="H143" s="98">
        <f t="shared" ref="H143:I143" si="52">H145+H147</f>
        <v>15</v>
      </c>
      <c r="I143" s="98">
        <f t="shared" si="52"/>
        <v>15</v>
      </c>
      <c r="J143" s="98">
        <f t="shared" ref="J143" si="53">J145+J147</f>
        <v>15</v>
      </c>
    </row>
    <row r="144" spans="1:10" ht="51">
      <c r="A144" s="3"/>
      <c r="B144" s="96"/>
      <c r="C144" s="21" t="s">
        <v>145</v>
      </c>
      <c r="D144" s="21" t="s">
        <v>162</v>
      </c>
      <c r="E144" s="21" t="s">
        <v>452</v>
      </c>
      <c r="F144" s="16"/>
      <c r="G144" s="103" t="s">
        <v>490</v>
      </c>
      <c r="H144" s="41">
        <f t="shared" ref="H144:I144" si="54">H145+H147</f>
        <v>15</v>
      </c>
      <c r="I144" s="41">
        <f t="shared" si="54"/>
        <v>15</v>
      </c>
      <c r="J144" s="41">
        <f t="shared" ref="J144" si="55">J145+J147</f>
        <v>15</v>
      </c>
    </row>
    <row r="145" spans="1:10" ht="25.5">
      <c r="A145" s="3"/>
      <c r="B145" s="96"/>
      <c r="C145" s="21" t="s">
        <v>145</v>
      </c>
      <c r="D145" s="21" t="s">
        <v>162</v>
      </c>
      <c r="E145" s="74" t="s">
        <v>85</v>
      </c>
      <c r="F145" s="16"/>
      <c r="G145" s="103" t="s">
        <v>385</v>
      </c>
      <c r="H145" s="41">
        <f>H146</f>
        <v>12</v>
      </c>
      <c r="I145" s="41">
        <f>I146</f>
        <v>12</v>
      </c>
      <c r="J145" s="41">
        <f>J146</f>
        <v>12</v>
      </c>
    </row>
    <row r="146" spans="1:10" ht="38.25">
      <c r="A146" s="3"/>
      <c r="B146" s="96"/>
      <c r="C146" s="21" t="s">
        <v>145</v>
      </c>
      <c r="D146" s="21" t="s">
        <v>162</v>
      </c>
      <c r="E146" s="74" t="s">
        <v>85</v>
      </c>
      <c r="F146" s="85" t="s">
        <v>325</v>
      </c>
      <c r="G146" s="103" t="s">
        <v>326</v>
      </c>
      <c r="H146" s="41">
        <v>12</v>
      </c>
      <c r="I146" s="41">
        <v>12</v>
      </c>
      <c r="J146" s="41">
        <v>12</v>
      </c>
    </row>
    <row r="147" spans="1:10" ht="38.25">
      <c r="A147" s="3"/>
      <c r="B147" s="96"/>
      <c r="C147" s="21" t="s">
        <v>145</v>
      </c>
      <c r="D147" s="21" t="s">
        <v>162</v>
      </c>
      <c r="E147" s="74" t="s">
        <v>86</v>
      </c>
      <c r="F147" s="16"/>
      <c r="G147" s="103" t="s">
        <v>342</v>
      </c>
      <c r="H147" s="41">
        <f>H148</f>
        <v>3</v>
      </c>
      <c r="I147" s="41">
        <f>I148</f>
        <v>3</v>
      </c>
      <c r="J147" s="41">
        <f>J148</f>
        <v>3</v>
      </c>
    </row>
    <row r="148" spans="1:10" ht="38.25">
      <c r="A148" s="3"/>
      <c r="B148" s="96"/>
      <c r="C148" s="21" t="s">
        <v>145</v>
      </c>
      <c r="D148" s="21" t="s">
        <v>162</v>
      </c>
      <c r="E148" s="74" t="s">
        <v>86</v>
      </c>
      <c r="F148" s="85" t="s">
        <v>325</v>
      </c>
      <c r="G148" s="103" t="s">
        <v>326</v>
      </c>
      <c r="H148" s="41">
        <v>3</v>
      </c>
      <c r="I148" s="41">
        <v>3</v>
      </c>
      <c r="J148" s="41">
        <v>3</v>
      </c>
    </row>
    <row r="149" spans="1:10" ht="25.5">
      <c r="A149" s="3"/>
      <c r="B149" s="96"/>
      <c r="C149" s="83" t="s">
        <v>145</v>
      </c>
      <c r="D149" s="83" t="s">
        <v>162</v>
      </c>
      <c r="E149" s="73" t="s">
        <v>290</v>
      </c>
      <c r="F149" s="33"/>
      <c r="G149" s="88" t="s">
        <v>201</v>
      </c>
      <c r="H149" s="61">
        <f t="shared" ref="H149:J149" si="56">H150</f>
        <v>4905.7000000000007</v>
      </c>
      <c r="I149" s="61">
        <f t="shared" si="56"/>
        <v>4905.7000000000007</v>
      </c>
      <c r="J149" s="61">
        <f t="shared" si="56"/>
        <v>4905.7000000000007</v>
      </c>
    </row>
    <row r="150" spans="1:10" ht="25.5">
      <c r="A150" s="3"/>
      <c r="B150" s="96"/>
      <c r="C150" s="21" t="s">
        <v>145</v>
      </c>
      <c r="D150" s="21" t="s">
        <v>162</v>
      </c>
      <c r="E150" s="21" t="s">
        <v>289</v>
      </c>
      <c r="F150" s="16"/>
      <c r="G150" s="54" t="s">
        <v>425</v>
      </c>
      <c r="H150" s="41">
        <f>H151+H152+H153</f>
        <v>4905.7000000000007</v>
      </c>
      <c r="I150" s="41">
        <f t="shared" ref="I150:J150" si="57">I151+I152</f>
        <v>4905.7000000000007</v>
      </c>
      <c r="J150" s="41">
        <f t="shared" si="57"/>
        <v>4905.7000000000007</v>
      </c>
    </row>
    <row r="151" spans="1:10" ht="25.5">
      <c r="A151" s="3"/>
      <c r="B151" s="96"/>
      <c r="C151" s="21" t="s">
        <v>145</v>
      </c>
      <c r="D151" s="21" t="s">
        <v>162</v>
      </c>
      <c r="E151" s="21" t="s">
        <v>289</v>
      </c>
      <c r="F151" s="16" t="s">
        <v>107</v>
      </c>
      <c r="G151" s="108" t="s">
        <v>182</v>
      </c>
      <c r="H151" s="41">
        <v>4615.6000000000004</v>
      </c>
      <c r="I151" s="41">
        <v>4615.6000000000004</v>
      </c>
      <c r="J151" s="41">
        <v>4615.6000000000004</v>
      </c>
    </row>
    <row r="152" spans="1:10" ht="38.25">
      <c r="A152" s="3"/>
      <c r="B152" s="96"/>
      <c r="C152" s="21" t="s">
        <v>145</v>
      </c>
      <c r="D152" s="21" t="s">
        <v>162</v>
      </c>
      <c r="E152" s="21" t="s">
        <v>289</v>
      </c>
      <c r="F152" s="85" t="s">
        <v>325</v>
      </c>
      <c r="G152" s="103" t="s">
        <v>326</v>
      </c>
      <c r="H152" s="41">
        <f>290.1-0.5</f>
        <v>289.60000000000002</v>
      </c>
      <c r="I152" s="41">
        <v>290.10000000000002</v>
      </c>
      <c r="J152" s="41">
        <v>290.10000000000002</v>
      </c>
    </row>
    <row r="153" spans="1:10" ht="15.75">
      <c r="A153" s="3"/>
      <c r="B153" s="96"/>
      <c r="C153" s="21" t="s">
        <v>145</v>
      </c>
      <c r="D153" s="21" t="s">
        <v>162</v>
      </c>
      <c r="E153" s="21" t="s">
        <v>289</v>
      </c>
      <c r="F153" s="85" t="s">
        <v>183</v>
      </c>
      <c r="G153" s="103" t="s">
        <v>184</v>
      </c>
      <c r="H153" s="41">
        <v>0.5</v>
      </c>
      <c r="I153" s="41">
        <v>0</v>
      </c>
      <c r="J153" s="41">
        <v>0</v>
      </c>
    </row>
    <row r="154" spans="1:10" ht="39">
      <c r="A154" s="3"/>
      <c r="B154" s="96"/>
      <c r="C154" s="28" t="s">
        <v>145</v>
      </c>
      <c r="D154" s="28" t="s">
        <v>173</v>
      </c>
      <c r="E154" s="28"/>
      <c r="F154" s="34"/>
      <c r="G154" s="46" t="s">
        <v>27</v>
      </c>
      <c r="H154" s="40">
        <f t="shared" ref="H154:I154" si="58">H155+H162</f>
        <v>156.30000000000001</v>
      </c>
      <c r="I154" s="40">
        <f t="shared" si="58"/>
        <v>34</v>
      </c>
      <c r="J154" s="40">
        <f t="shared" ref="J154" si="59">J155+J162</f>
        <v>34</v>
      </c>
    </row>
    <row r="155" spans="1:10" ht="51.75">
      <c r="A155" s="3"/>
      <c r="B155" s="96"/>
      <c r="C155" s="21" t="s">
        <v>145</v>
      </c>
      <c r="D155" s="21" t="s">
        <v>173</v>
      </c>
      <c r="E155" s="73" t="s">
        <v>119</v>
      </c>
      <c r="F155" s="16"/>
      <c r="G155" s="53" t="s">
        <v>555</v>
      </c>
      <c r="H155" s="101">
        <f t="shared" ref="H155:J156" si="60">H156</f>
        <v>134</v>
      </c>
      <c r="I155" s="101">
        <f t="shared" si="60"/>
        <v>34</v>
      </c>
      <c r="J155" s="101">
        <f t="shared" si="60"/>
        <v>34</v>
      </c>
    </row>
    <row r="156" spans="1:10" ht="51">
      <c r="A156" s="3"/>
      <c r="B156" s="96"/>
      <c r="C156" s="21" t="s">
        <v>145</v>
      </c>
      <c r="D156" s="21" t="s">
        <v>173</v>
      </c>
      <c r="E156" s="52" t="s">
        <v>120</v>
      </c>
      <c r="F156" s="16"/>
      <c r="G156" s="60" t="s">
        <v>271</v>
      </c>
      <c r="H156" s="58">
        <f t="shared" si="60"/>
        <v>134</v>
      </c>
      <c r="I156" s="58">
        <f t="shared" si="60"/>
        <v>34</v>
      </c>
      <c r="J156" s="58">
        <f t="shared" si="60"/>
        <v>34</v>
      </c>
    </row>
    <row r="157" spans="1:10" ht="38.25">
      <c r="A157" s="3"/>
      <c r="B157" s="96"/>
      <c r="C157" s="21" t="s">
        <v>145</v>
      </c>
      <c r="D157" s="21" t="s">
        <v>173</v>
      </c>
      <c r="E157" s="21" t="s">
        <v>345</v>
      </c>
      <c r="F157" s="16"/>
      <c r="G157" s="103" t="s">
        <v>346</v>
      </c>
      <c r="H157" s="41">
        <f t="shared" ref="H157:I157" si="61">H158+H160</f>
        <v>134</v>
      </c>
      <c r="I157" s="41">
        <f t="shared" si="61"/>
        <v>34</v>
      </c>
      <c r="J157" s="41">
        <f t="shared" ref="J157" si="62">J158+J160</f>
        <v>34</v>
      </c>
    </row>
    <row r="158" spans="1:10" ht="63.75">
      <c r="A158" s="3"/>
      <c r="B158" s="96"/>
      <c r="C158" s="21" t="s">
        <v>145</v>
      </c>
      <c r="D158" s="21" t="s">
        <v>173</v>
      </c>
      <c r="E158" s="21" t="s">
        <v>272</v>
      </c>
      <c r="F158" s="16"/>
      <c r="G158" s="103" t="s">
        <v>614</v>
      </c>
      <c r="H158" s="41">
        <f>H159</f>
        <v>34</v>
      </c>
      <c r="I158" s="41">
        <f t="shared" ref="I158:J158" si="63">I159</f>
        <v>34</v>
      </c>
      <c r="J158" s="41">
        <f t="shared" si="63"/>
        <v>34</v>
      </c>
    </row>
    <row r="159" spans="1:10" ht="25.5">
      <c r="A159" s="3"/>
      <c r="B159" s="96"/>
      <c r="C159" s="21" t="s">
        <v>145</v>
      </c>
      <c r="D159" s="21" t="s">
        <v>173</v>
      </c>
      <c r="E159" s="21" t="s">
        <v>272</v>
      </c>
      <c r="F159" s="85" t="s">
        <v>107</v>
      </c>
      <c r="G159" s="55" t="s">
        <v>182</v>
      </c>
      <c r="H159" s="41">
        <v>34</v>
      </c>
      <c r="I159" s="41">
        <v>34</v>
      </c>
      <c r="J159" s="41">
        <v>34</v>
      </c>
    </row>
    <row r="160" spans="1:10" ht="35.25" customHeight="1">
      <c r="A160" s="3"/>
      <c r="B160" s="96"/>
      <c r="C160" s="21" t="s">
        <v>145</v>
      </c>
      <c r="D160" s="21" t="s">
        <v>173</v>
      </c>
      <c r="E160" s="21" t="s">
        <v>729</v>
      </c>
      <c r="F160" s="85"/>
      <c r="G160" s="103" t="s">
        <v>730</v>
      </c>
      <c r="H160" s="41">
        <f>H161</f>
        <v>100</v>
      </c>
      <c r="I160" s="41">
        <f>I161</f>
        <v>0</v>
      </c>
      <c r="J160" s="41">
        <f>J161</f>
        <v>0</v>
      </c>
    </row>
    <row r="161" spans="1:10" ht="38.25">
      <c r="A161" s="3"/>
      <c r="B161" s="96"/>
      <c r="C161" s="21" t="s">
        <v>145</v>
      </c>
      <c r="D161" s="21" t="s">
        <v>173</v>
      </c>
      <c r="E161" s="21" t="s">
        <v>729</v>
      </c>
      <c r="F161" s="85" t="s">
        <v>325</v>
      </c>
      <c r="G161" s="103" t="s">
        <v>326</v>
      </c>
      <c r="H161" s="41">
        <v>100</v>
      </c>
      <c r="I161" s="41">
        <v>0</v>
      </c>
      <c r="J161" s="41">
        <v>0</v>
      </c>
    </row>
    <row r="162" spans="1:10" ht="64.5">
      <c r="A162" s="3"/>
      <c r="B162" s="96"/>
      <c r="C162" s="73" t="s">
        <v>145</v>
      </c>
      <c r="D162" s="73" t="s">
        <v>173</v>
      </c>
      <c r="E162" s="73" t="s">
        <v>347</v>
      </c>
      <c r="F162" s="16"/>
      <c r="G162" s="64" t="s">
        <v>529</v>
      </c>
      <c r="H162" s="101">
        <f t="shared" ref="H162:J167" si="64">H163</f>
        <v>22.3</v>
      </c>
      <c r="I162" s="101">
        <f t="shared" si="64"/>
        <v>0</v>
      </c>
      <c r="J162" s="101">
        <f t="shared" si="64"/>
        <v>0</v>
      </c>
    </row>
    <row r="163" spans="1:10" ht="51.75">
      <c r="A163" s="3"/>
      <c r="B163" s="96"/>
      <c r="C163" s="21" t="s">
        <v>145</v>
      </c>
      <c r="D163" s="21" t="s">
        <v>173</v>
      </c>
      <c r="E163" s="52" t="s">
        <v>348</v>
      </c>
      <c r="F163" s="16"/>
      <c r="G163" s="48" t="s">
        <v>349</v>
      </c>
      <c r="H163" s="58">
        <f>H164</f>
        <v>22.3</v>
      </c>
      <c r="I163" s="58">
        <f t="shared" si="64"/>
        <v>0</v>
      </c>
      <c r="J163" s="58">
        <f t="shared" si="64"/>
        <v>0</v>
      </c>
    </row>
    <row r="164" spans="1:10" ht="43.5" customHeight="1">
      <c r="A164" s="3"/>
      <c r="B164" s="96"/>
      <c r="C164" s="21" t="s">
        <v>145</v>
      </c>
      <c r="D164" s="21" t="s">
        <v>173</v>
      </c>
      <c r="E164" s="21" t="s">
        <v>350</v>
      </c>
      <c r="F164" s="16"/>
      <c r="G164" s="105" t="s">
        <v>351</v>
      </c>
      <c r="H164" s="99">
        <f>H165+H167</f>
        <v>22.3</v>
      </c>
      <c r="I164" s="99">
        <f t="shared" ref="I164:J164" si="65">I165+I167</f>
        <v>0</v>
      </c>
      <c r="J164" s="99">
        <f t="shared" si="65"/>
        <v>0</v>
      </c>
    </row>
    <row r="165" spans="1:10" ht="38.25">
      <c r="A165" s="3"/>
      <c r="B165" s="96"/>
      <c r="C165" s="21" t="s">
        <v>145</v>
      </c>
      <c r="D165" s="21" t="s">
        <v>173</v>
      </c>
      <c r="E165" s="21" t="s">
        <v>647</v>
      </c>
      <c r="F165" s="16"/>
      <c r="G165" s="103" t="s">
        <v>662</v>
      </c>
      <c r="H165" s="99">
        <f t="shared" si="64"/>
        <v>16.3</v>
      </c>
      <c r="I165" s="99">
        <f t="shared" si="64"/>
        <v>0</v>
      </c>
      <c r="J165" s="99">
        <f t="shared" si="64"/>
        <v>0</v>
      </c>
    </row>
    <row r="166" spans="1:10" ht="38.25">
      <c r="A166" s="3"/>
      <c r="B166" s="96"/>
      <c r="C166" s="21" t="s">
        <v>145</v>
      </c>
      <c r="D166" s="21" t="s">
        <v>173</v>
      </c>
      <c r="E166" s="21" t="s">
        <v>647</v>
      </c>
      <c r="F166" s="85" t="s">
        <v>325</v>
      </c>
      <c r="G166" s="103" t="s">
        <v>326</v>
      </c>
      <c r="H166" s="41">
        <v>16.3</v>
      </c>
      <c r="I166" s="41">
        <v>0</v>
      </c>
      <c r="J166" s="41">
        <v>0</v>
      </c>
    </row>
    <row r="167" spans="1:10" ht="25.5">
      <c r="A167" s="3"/>
      <c r="B167" s="96"/>
      <c r="C167" s="21" t="s">
        <v>145</v>
      </c>
      <c r="D167" s="21" t="s">
        <v>173</v>
      </c>
      <c r="E167" s="21" t="s">
        <v>648</v>
      </c>
      <c r="F167" s="16"/>
      <c r="G167" s="103" t="s">
        <v>649</v>
      </c>
      <c r="H167" s="99">
        <f t="shared" si="64"/>
        <v>6</v>
      </c>
      <c r="I167" s="99">
        <f t="shared" si="64"/>
        <v>0</v>
      </c>
      <c r="J167" s="99">
        <f t="shared" si="64"/>
        <v>0</v>
      </c>
    </row>
    <row r="168" spans="1:10" ht="38.25">
      <c r="A168" s="3"/>
      <c r="B168" s="96"/>
      <c r="C168" s="21" t="s">
        <v>145</v>
      </c>
      <c r="D168" s="21" t="s">
        <v>173</v>
      </c>
      <c r="E168" s="21" t="s">
        <v>648</v>
      </c>
      <c r="F168" s="85" t="s">
        <v>325</v>
      </c>
      <c r="G168" s="103" t="s">
        <v>326</v>
      </c>
      <c r="H168" s="41">
        <v>6</v>
      </c>
      <c r="I168" s="41">
        <v>0</v>
      </c>
      <c r="J168" s="41">
        <v>0</v>
      </c>
    </row>
    <row r="169" spans="1:10" ht="15.75">
      <c r="A169" s="3"/>
      <c r="B169" s="96"/>
      <c r="C169" s="4" t="s">
        <v>146</v>
      </c>
      <c r="D169" s="3"/>
      <c r="E169" s="3"/>
      <c r="F169" s="3"/>
      <c r="G169" s="49" t="s">
        <v>152</v>
      </c>
      <c r="H169" s="59">
        <f>H170+H176+H186+H281</f>
        <v>189592</v>
      </c>
      <c r="I169" s="59">
        <f>I170+I176+I186+I281</f>
        <v>150648.9</v>
      </c>
      <c r="J169" s="59">
        <f>J170+J176+J186+J281</f>
        <v>149342.80000000002</v>
      </c>
    </row>
    <row r="170" spans="1:10" s="32" customFormat="1" ht="14.25">
      <c r="A170" s="29"/>
      <c r="B170" s="24"/>
      <c r="C170" s="30" t="s">
        <v>146</v>
      </c>
      <c r="D170" s="30" t="s">
        <v>147</v>
      </c>
      <c r="E170" s="30"/>
      <c r="F170" s="30"/>
      <c r="G170" s="45" t="s">
        <v>155</v>
      </c>
      <c r="H170" s="40">
        <f>H171</f>
        <v>324.2</v>
      </c>
      <c r="I170" s="40">
        <f t="shared" ref="I170:J170" si="66">I171</f>
        <v>63</v>
      </c>
      <c r="J170" s="40">
        <f t="shared" si="66"/>
        <v>63</v>
      </c>
    </row>
    <row r="171" spans="1:10" s="32" customFormat="1" ht="52.5" customHeight="1">
      <c r="A171" s="29"/>
      <c r="B171" s="24"/>
      <c r="C171" s="17" t="s">
        <v>146</v>
      </c>
      <c r="D171" s="17" t="s">
        <v>147</v>
      </c>
      <c r="E171" s="74">
        <v>400000000</v>
      </c>
      <c r="F171" s="30"/>
      <c r="G171" s="64" t="s">
        <v>532</v>
      </c>
      <c r="H171" s="101">
        <f t="shared" ref="H171:J173" si="67">H172</f>
        <v>324.2</v>
      </c>
      <c r="I171" s="101">
        <f t="shared" si="67"/>
        <v>63</v>
      </c>
      <c r="J171" s="101">
        <f t="shared" si="67"/>
        <v>63</v>
      </c>
    </row>
    <row r="172" spans="1:10" s="32" customFormat="1" ht="38.25">
      <c r="A172" s="29"/>
      <c r="B172" s="24"/>
      <c r="C172" s="47" t="s">
        <v>146</v>
      </c>
      <c r="D172" s="47" t="s">
        <v>147</v>
      </c>
      <c r="E172" s="75">
        <v>410000000</v>
      </c>
      <c r="F172" s="30"/>
      <c r="G172" s="46" t="s">
        <v>237</v>
      </c>
      <c r="H172" s="98">
        <f t="shared" si="67"/>
        <v>324.2</v>
      </c>
      <c r="I172" s="98">
        <f t="shared" si="67"/>
        <v>63</v>
      </c>
      <c r="J172" s="98">
        <f t="shared" si="67"/>
        <v>63</v>
      </c>
    </row>
    <row r="173" spans="1:10" s="32" customFormat="1" ht="25.5">
      <c r="A173" s="29"/>
      <c r="B173" s="24"/>
      <c r="C173" s="85" t="s">
        <v>146</v>
      </c>
      <c r="D173" s="85" t="s">
        <v>147</v>
      </c>
      <c r="E173" s="74">
        <v>410100000</v>
      </c>
      <c r="F173" s="30"/>
      <c r="G173" s="102" t="s">
        <v>353</v>
      </c>
      <c r="H173" s="98">
        <f>H174</f>
        <v>324.2</v>
      </c>
      <c r="I173" s="98">
        <f t="shared" si="67"/>
        <v>63</v>
      </c>
      <c r="J173" s="98">
        <f t="shared" si="67"/>
        <v>63</v>
      </c>
    </row>
    <row r="174" spans="1:10" s="32" customFormat="1" ht="25.5">
      <c r="A174" s="29"/>
      <c r="B174" s="24"/>
      <c r="C174" s="85" t="s">
        <v>146</v>
      </c>
      <c r="D174" s="85" t="s">
        <v>147</v>
      </c>
      <c r="E174" s="74" t="s">
        <v>465</v>
      </c>
      <c r="F174" s="16"/>
      <c r="G174" s="105" t="s">
        <v>246</v>
      </c>
      <c r="H174" s="39">
        <f>H175</f>
        <v>324.2</v>
      </c>
      <c r="I174" s="39">
        <f>I175</f>
        <v>63</v>
      </c>
      <c r="J174" s="39">
        <f>J175</f>
        <v>63</v>
      </c>
    </row>
    <row r="175" spans="1:10" s="32" customFormat="1" ht="38.25">
      <c r="A175" s="29"/>
      <c r="B175" s="24"/>
      <c r="C175" s="85" t="s">
        <v>146</v>
      </c>
      <c r="D175" s="85" t="s">
        <v>147</v>
      </c>
      <c r="E175" s="74" t="s">
        <v>465</v>
      </c>
      <c r="F175" s="85" t="s">
        <v>325</v>
      </c>
      <c r="G175" s="103" t="s">
        <v>326</v>
      </c>
      <c r="H175" s="39">
        <v>324.2</v>
      </c>
      <c r="I175" s="39">
        <v>63</v>
      </c>
      <c r="J175" s="39">
        <v>63</v>
      </c>
    </row>
    <row r="176" spans="1:10" ht="14.25">
      <c r="A176" s="1"/>
      <c r="B176" s="25"/>
      <c r="C176" s="30" t="s">
        <v>146</v>
      </c>
      <c r="D176" s="30" t="s">
        <v>153</v>
      </c>
      <c r="E176" s="30"/>
      <c r="F176" s="30"/>
      <c r="G176" s="27" t="s">
        <v>1</v>
      </c>
      <c r="H176" s="40">
        <f t="shared" ref="H176:J176" si="68">H177</f>
        <v>23891.5</v>
      </c>
      <c r="I176" s="40">
        <f t="shared" si="68"/>
        <v>24643.7</v>
      </c>
      <c r="J176" s="40">
        <f t="shared" si="68"/>
        <v>24474.3</v>
      </c>
    </row>
    <row r="177" spans="1:10" ht="63.75">
      <c r="A177" s="1"/>
      <c r="B177" s="25"/>
      <c r="C177" s="5" t="s">
        <v>146</v>
      </c>
      <c r="D177" s="5" t="s">
        <v>153</v>
      </c>
      <c r="E177" s="73" t="s">
        <v>111</v>
      </c>
      <c r="F177" s="30"/>
      <c r="G177" s="64" t="s">
        <v>534</v>
      </c>
      <c r="H177" s="101">
        <f t="shared" ref="H177:J178" si="69">H178</f>
        <v>23891.5</v>
      </c>
      <c r="I177" s="101">
        <f t="shared" si="69"/>
        <v>24643.7</v>
      </c>
      <c r="J177" s="101">
        <f t="shared" si="69"/>
        <v>24474.3</v>
      </c>
    </row>
    <row r="178" spans="1:10" ht="63.75">
      <c r="A178" s="1"/>
      <c r="B178" s="25"/>
      <c r="C178" s="16" t="s">
        <v>146</v>
      </c>
      <c r="D178" s="16" t="s">
        <v>153</v>
      </c>
      <c r="E178" s="126" t="s">
        <v>329</v>
      </c>
      <c r="F178" s="30"/>
      <c r="G178" s="46" t="s">
        <v>270</v>
      </c>
      <c r="H178" s="39">
        <f t="shared" si="69"/>
        <v>23891.5</v>
      </c>
      <c r="I178" s="39">
        <f t="shared" si="69"/>
        <v>24643.7</v>
      </c>
      <c r="J178" s="39">
        <f t="shared" si="69"/>
        <v>24474.3</v>
      </c>
    </row>
    <row r="179" spans="1:10" ht="25.5">
      <c r="A179" s="1"/>
      <c r="B179" s="25"/>
      <c r="C179" s="16" t="s">
        <v>146</v>
      </c>
      <c r="D179" s="16" t="s">
        <v>153</v>
      </c>
      <c r="E179" s="130" t="s">
        <v>460</v>
      </c>
      <c r="F179" s="30"/>
      <c r="G179" s="103" t="s">
        <v>461</v>
      </c>
      <c r="H179" s="39">
        <f>H180+H182+H184</f>
        <v>23891.5</v>
      </c>
      <c r="I179" s="39">
        <f t="shared" ref="I179:J179" si="70">I180+I182+I184</f>
        <v>24643.7</v>
      </c>
      <c r="J179" s="39">
        <f t="shared" si="70"/>
        <v>24474.3</v>
      </c>
    </row>
    <row r="180" spans="1:10" ht="63.75" customHeight="1">
      <c r="A180" s="1"/>
      <c r="B180" s="25"/>
      <c r="C180" s="16" t="s">
        <v>146</v>
      </c>
      <c r="D180" s="16" t="s">
        <v>153</v>
      </c>
      <c r="E180" s="74" t="s">
        <v>479</v>
      </c>
      <c r="F180" s="30"/>
      <c r="G180" s="102" t="s">
        <v>330</v>
      </c>
      <c r="H180" s="39">
        <f t="shared" ref="H180:J180" si="71">H181</f>
        <v>4525.1000000000004</v>
      </c>
      <c r="I180" s="39">
        <f t="shared" si="71"/>
        <v>4928.7</v>
      </c>
      <c r="J180" s="39">
        <f t="shared" si="71"/>
        <v>4894.8</v>
      </c>
    </row>
    <row r="181" spans="1:10" ht="38.25">
      <c r="A181" s="1"/>
      <c r="B181" s="25"/>
      <c r="C181" s="16" t="s">
        <v>146</v>
      </c>
      <c r="D181" s="16" t="s">
        <v>153</v>
      </c>
      <c r="E181" s="74" t="s">
        <v>479</v>
      </c>
      <c r="F181" s="85" t="s">
        <v>325</v>
      </c>
      <c r="G181" s="103" t="s">
        <v>326</v>
      </c>
      <c r="H181" s="39">
        <v>4525.1000000000004</v>
      </c>
      <c r="I181" s="39">
        <v>4928.7</v>
      </c>
      <c r="J181" s="39">
        <v>4894.8</v>
      </c>
    </row>
    <row r="182" spans="1:10" ht="76.5" customHeight="1">
      <c r="A182" s="1"/>
      <c r="B182" s="25"/>
      <c r="C182" s="16" t="s">
        <v>146</v>
      </c>
      <c r="D182" s="16" t="s">
        <v>153</v>
      </c>
      <c r="E182" s="74" t="s">
        <v>484</v>
      </c>
      <c r="F182" s="16"/>
      <c r="G182" s="131" t="s">
        <v>488</v>
      </c>
      <c r="H182" s="39">
        <f t="shared" ref="H182:J182" si="72">H183</f>
        <v>1266.1000000000001</v>
      </c>
      <c r="I182" s="39">
        <f t="shared" si="72"/>
        <v>0</v>
      </c>
      <c r="J182" s="39">
        <f t="shared" si="72"/>
        <v>0</v>
      </c>
    </row>
    <row r="183" spans="1:10" ht="38.25">
      <c r="A183" s="1"/>
      <c r="B183" s="25"/>
      <c r="C183" s="16" t="s">
        <v>146</v>
      </c>
      <c r="D183" s="16" t="s">
        <v>153</v>
      </c>
      <c r="E183" s="74" t="s">
        <v>484</v>
      </c>
      <c r="F183" s="85" t="s">
        <v>325</v>
      </c>
      <c r="G183" s="103" t="s">
        <v>326</v>
      </c>
      <c r="H183" s="39">
        <f>1218.4+47.7</f>
        <v>1266.1000000000001</v>
      </c>
      <c r="I183" s="39">
        <v>0</v>
      </c>
      <c r="J183" s="39">
        <v>0</v>
      </c>
    </row>
    <row r="184" spans="1:10" ht="78" customHeight="1">
      <c r="A184" s="1"/>
      <c r="B184" s="25"/>
      <c r="C184" s="16" t="s">
        <v>146</v>
      </c>
      <c r="D184" s="16" t="s">
        <v>153</v>
      </c>
      <c r="E184" s="74">
        <v>920110300</v>
      </c>
      <c r="F184" s="85"/>
      <c r="G184" s="54" t="s">
        <v>625</v>
      </c>
      <c r="H184" s="39">
        <f t="shared" ref="H184:J184" si="73">H185</f>
        <v>18100.3</v>
      </c>
      <c r="I184" s="39">
        <f t="shared" si="73"/>
        <v>19715</v>
      </c>
      <c r="J184" s="39">
        <f t="shared" si="73"/>
        <v>19579.5</v>
      </c>
    </row>
    <row r="185" spans="1:10" ht="38.25">
      <c r="A185" s="1"/>
      <c r="B185" s="25"/>
      <c r="C185" s="16" t="s">
        <v>146</v>
      </c>
      <c r="D185" s="16" t="s">
        <v>153</v>
      </c>
      <c r="E185" s="74">
        <v>920110300</v>
      </c>
      <c r="F185" s="85" t="s">
        <v>325</v>
      </c>
      <c r="G185" s="103" t="s">
        <v>326</v>
      </c>
      <c r="H185" s="39">
        <v>18100.3</v>
      </c>
      <c r="I185" s="39">
        <v>19715</v>
      </c>
      <c r="J185" s="39">
        <v>19579.5</v>
      </c>
    </row>
    <row r="186" spans="1:10" ht="28.5">
      <c r="A186" s="1"/>
      <c r="B186" s="25"/>
      <c r="C186" s="30" t="s">
        <v>146</v>
      </c>
      <c r="D186" s="30" t="s">
        <v>151</v>
      </c>
      <c r="E186" s="30"/>
      <c r="F186" s="30"/>
      <c r="G186" s="50" t="s">
        <v>298</v>
      </c>
      <c r="H186" s="40">
        <f>+H187+H214+H262+H278</f>
        <v>156762.79999999999</v>
      </c>
      <c r="I186" s="40">
        <f>+I187+I214+I262+I278</f>
        <v>125022.2</v>
      </c>
      <c r="J186" s="40">
        <f>+J187+J214+J262+J278</f>
        <v>123885.50000000001</v>
      </c>
    </row>
    <row r="187" spans="1:10" ht="63.75">
      <c r="A187" s="1"/>
      <c r="B187" s="25"/>
      <c r="C187" s="5" t="s">
        <v>146</v>
      </c>
      <c r="D187" s="5" t="s">
        <v>151</v>
      </c>
      <c r="E187" s="73" t="s">
        <v>111</v>
      </c>
      <c r="F187" s="30"/>
      <c r="G187" s="64" t="s">
        <v>534</v>
      </c>
      <c r="H187" s="101">
        <f t="shared" ref="H187:J188" si="74">H188</f>
        <v>127225.40000000001</v>
      </c>
      <c r="I187" s="101">
        <f t="shared" si="74"/>
        <v>115050.5</v>
      </c>
      <c r="J187" s="101">
        <f t="shared" si="74"/>
        <v>118893.20000000001</v>
      </c>
    </row>
    <row r="188" spans="1:10" ht="63.75">
      <c r="A188" s="1"/>
      <c r="B188" s="25"/>
      <c r="C188" s="16" t="s">
        <v>146</v>
      </c>
      <c r="D188" s="16" t="s">
        <v>151</v>
      </c>
      <c r="E188" s="126" t="s">
        <v>112</v>
      </c>
      <c r="F188" s="123"/>
      <c r="G188" s="127" t="s">
        <v>236</v>
      </c>
      <c r="H188" s="128">
        <f t="shared" si="74"/>
        <v>127225.40000000001</v>
      </c>
      <c r="I188" s="128">
        <f t="shared" si="74"/>
        <v>115050.5</v>
      </c>
      <c r="J188" s="128">
        <f t="shared" si="74"/>
        <v>118893.20000000001</v>
      </c>
    </row>
    <row r="189" spans="1:10" ht="38.25">
      <c r="A189" s="1"/>
      <c r="B189" s="25"/>
      <c r="C189" s="16" t="s">
        <v>146</v>
      </c>
      <c r="D189" s="16" t="s">
        <v>151</v>
      </c>
      <c r="E189" s="130" t="s">
        <v>459</v>
      </c>
      <c r="F189" s="123"/>
      <c r="G189" s="120" t="s">
        <v>482</v>
      </c>
      <c r="H189" s="128">
        <f>H190+H192+H194+H196+H198+H200+H202+H204+H206+H208+H210+H212</f>
        <v>127225.40000000001</v>
      </c>
      <c r="I189" s="128">
        <f t="shared" ref="I189:J189" si="75">I190+I192+I194+I196+I198+I200+I202+I204+I206+I208+I210+I212</f>
        <v>115050.5</v>
      </c>
      <c r="J189" s="128">
        <f t="shared" si="75"/>
        <v>118893.20000000001</v>
      </c>
    </row>
    <row r="190" spans="1:10" ht="77.25" customHeight="1">
      <c r="A190" s="1"/>
      <c r="B190" s="25"/>
      <c r="C190" s="16" t="s">
        <v>146</v>
      </c>
      <c r="D190" s="16" t="s">
        <v>151</v>
      </c>
      <c r="E190" s="79" t="s">
        <v>113</v>
      </c>
      <c r="F190" s="123"/>
      <c r="G190" s="120" t="s">
        <v>458</v>
      </c>
      <c r="H190" s="114">
        <f>H191</f>
        <v>12237.3</v>
      </c>
      <c r="I190" s="114">
        <f>I191</f>
        <v>15386.8</v>
      </c>
      <c r="J190" s="114">
        <f>J191</f>
        <v>15386.8</v>
      </c>
    </row>
    <row r="191" spans="1:10" ht="38.25">
      <c r="A191" s="1"/>
      <c r="B191" s="25"/>
      <c r="C191" s="16" t="s">
        <v>146</v>
      </c>
      <c r="D191" s="16" t="s">
        <v>151</v>
      </c>
      <c r="E191" s="79" t="s">
        <v>113</v>
      </c>
      <c r="F191" s="85" t="s">
        <v>325</v>
      </c>
      <c r="G191" s="103" t="s">
        <v>326</v>
      </c>
      <c r="H191" s="114">
        <f>12490-178.7-74</f>
        <v>12237.3</v>
      </c>
      <c r="I191" s="114">
        <v>15386.8</v>
      </c>
      <c r="J191" s="114">
        <v>15386.8</v>
      </c>
    </row>
    <row r="192" spans="1:10" ht="63.75">
      <c r="A192" s="1"/>
      <c r="B192" s="25"/>
      <c r="C192" s="16" t="s">
        <v>146</v>
      </c>
      <c r="D192" s="16" t="s">
        <v>151</v>
      </c>
      <c r="E192" s="79">
        <v>910110520</v>
      </c>
      <c r="F192" s="123"/>
      <c r="G192" s="120" t="s">
        <v>267</v>
      </c>
      <c r="H192" s="114">
        <f>H193</f>
        <v>12239.2</v>
      </c>
      <c r="I192" s="114">
        <f>I193</f>
        <v>12728.8</v>
      </c>
      <c r="J192" s="114">
        <f>J193</f>
        <v>13238</v>
      </c>
    </row>
    <row r="193" spans="1:10" ht="26.25" customHeight="1">
      <c r="A193" s="1"/>
      <c r="B193" s="25"/>
      <c r="C193" s="16" t="s">
        <v>146</v>
      </c>
      <c r="D193" s="16" t="s">
        <v>151</v>
      </c>
      <c r="E193" s="79">
        <v>910110520</v>
      </c>
      <c r="F193" s="85" t="s">
        <v>325</v>
      </c>
      <c r="G193" s="103" t="s">
        <v>14</v>
      </c>
      <c r="H193" s="114">
        <v>12239.2</v>
      </c>
      <c r="I193" s="114">
        <v>12728.8</v>
      </c>
      <c r="J193" s="114">
        <v>13238</v>
      </c>
    </row>
    <row r="194" spans="1:10" ht="25.5">
      <c r="A194" s="1"/>
      <c r="B194" s="25"/>
      <c r="C194" s="16" t="s">
        <v>146</v>
      </c>
      <c r="D194" s="16" t="s">
        <v>151</v>
      </c>
      <c r="E194" s="79" t="s">
        <v>269</v>
      </c>
      <c r="F194" s="129"/>
      <c r="G194" s="103" t="s">
        <v>268</v>
      </c>
      <c r="H194" s="114">
        <f>H195</f>
        <v>14676.2</v>
      </c>
      <c r="I194" s="114">
        <f>I195</f>
        <v>16457</v>
      </c>
      <c r="J194" s="114">
        <f>J195</f>
        <v>16457</v>
      </c>
    </row>
    <row r="195" spans="1:10" ht="38.25">
      <c r="A195" s="1"/>
      <c r="B195" s="25"/>
      <c r="C195" s="16" t="s">
        <v>146</v>
      </c>
      <c r="D195" s="16" t="s">
        <v>151</v>
      </c>
      <c r="E195" s="79" t="s">
        <v>269</v>
      </c>
      <c r="F195" s="85" t="s">
        <v>325</v>
      </c>
      <c r="G195" s="103" t="s">
        <v>326</v>
      </c>
      <c r="H195" s="114">
        <f>14293.5+382.7</f>
        <v>14676.2</v>
      </c>
      <c r="I195" s="114">
        <v>16457</v>
      </c>
      <c r="J195" s="114">
        <v>16457</v>
      </c>
    </row>
    <row r="196" spans="1:10" ht="89.25">
      <c r="A196" s="1"/>
      <c r="B196" s="25"/>
      <c r="C196" s="16" t="s">
        <v>146</v>
      </c>
      <c r="D196" s="16" t="s">
        <v>151</v>
      </c>
      <c r="E196" s="79" t="s">
        <v>753</v>
      </c>
      <c r="F196" s="129"/>
      <c r="G196" s="103" t="s">
        <v>932</v>
      </c>
      <c r="H196" s="114">
        <f>H197</f>
        <v>300</v>
      </c>
      <c r="I196" s="114">
        <f>I197</f>
        <v>0</v>
      </c>
      <c r="J196" s="114">
        <f>J197</f>
        <v>0</v>
      </c>
    </row>
    <row r="197" spans="1:10" ht="38.25">
      <c r="A197" s="1"/>
      <c r="B197" s="25"/>
      <c r="C197" s="16" t="s">
        <v>146</v>
      </c>
      <c r="D197" s="16" t="s">
        <v>151</v>
      </c>
      <c r="E197" s="79" t="s">
        <v>753</v>
      </c>
      <c r="F197" s="85" t="s">
        <v>325</v>
      </c>
      <c r="G197" s="103" t="s">
        <v>326</v>
      </c>
      <c r="H197" s="114">
        <f>920-620</f>
        <v>300</v>
      </c>
      <c r="I197" s="114">
        <v>0</v>
      </c>
      <c r="J197" s="114">
        <v>0</v>
      </c>
    </row>
    <row r="198" spans="1:10" ht="25.5">
      <c r="A198" s="1"/>
      <c r="B198" s="25"/>
      <c r="C198" s="16" t="s">
        <v>146</v>
      </c>
      <c r="D198" s="16" t="s">
        <v>151</v>
      </c>
      <c r="E198" s="79" t="s">
        <v>754</v>
      </c>
      <c r="F198" s="85"/>
      <c r="G198" s="167" t="s">
        <v>755</v>
      </c>
      <c r="H198" s="114">
        <f>H199</f>
        <v>1550</v>
      </c>
      <c r="I198" s="114">
        <f>I199</f>
        <v>0</v>
      </c>
      <c r="J198" s="114">
        <f>J199</f>
        <v>0</v>
      </c>
    </row>
    <row r="199" spans="1:10" ht="38.25">
      <c r="A199" s="1"/>
      <c r="B199" s="25"/>
      <c r="C199" s="16" t="s">
        <v>146</v>
      </c>
      <c r="D199" s="16" t="s">
        <v>151</v>
      </c>
      <c r="E199" s="79" t="s">
        <v>754</v>
      </c>
      <c r="F199" s="85" t="s">
        <v>325</v>
      </c>
      <c r="G199" s="103" t="s">
        <v>326</v>
      </c>
      <c r="H199" s="114">
        <f>200+1350</f>
        <v>1550</v>
      </c>
      <c r="I199" s="114">
        <v>0</v>
      </c>
      <c r="J199" s="114">
        <v>0</v>
      </c>
    </row>
    <row r="200" spans="1:10" ht="51">
      <c r="A200" s="1"/>
      <c r="B200" s="25"/>
      <c r="C200" s="16" t="s">
        <v>146</v>
      </c>
      <c r="D200" s="16" t="s">
        <v>151</v>
      </c>
      <c r="E200" s="79" t="s">
        <v>627</v>
      </c>
      <c r="F200" s="85"/>
      <c r="G200" s="157" t="s">
        <v>626</v>
      </c>
      <c r="H200" s="114">
        <f>H201</f>
        <v>3170.8</v>
      </c>
      <c r="I200" s="114">
        <f>I201</f>
        <v>1243.2</v>
      </c>
      <c r="J200" s="114">
        <f>J201</f>
        <v>1260.5999999999999</v>
      </c>
    </row>
    <row r="201" spans="1:10" ht="38.25">
      <c r="A201" s="1"/>
      <c r="B201" s="25"/>
      <c r="C201" s="16" t="s">
        <v>146</v>
      </c>
      <c r="D201" s="16" t="s">
        <v>151</v>
      </c>
      <c r="E201" s="79" t="s">
        <v>627</v>
      </c>
      <c r="F201" s="85" t="s">
        <v>325</v>
      </c>
      <c r="G201" s="103" t="s">
        <v>326</v>
      </c>
      <c r="H201" s="114">
        <f>2328.2+733.3+109.3</f>
        <v>3170.8</v>
      </c>
      <c r="I201" s="114">
        <v>1243.2</v>
      </c>
      <c r="J201" s="114">
        <v>1260.5999999999999</v>
      </c>
    </row>
    <row r="202" spans="1:10" ht="63.75">
      <c r="A202" s="1"/>
      <c r="B202" s="25"/>
      <c r="C202" s="16" t="s">
        <v>146</v>
      </c>
      <c r="D202" s="16" t="s">
        <v>151</v>
      </c>
      <c r="E202" s="79">
        <v>910111020</v>
      </c>
      <c r="F202" s="85"/>
      <c r="G202" s="157" t="s">
        <v>628</v>
      </c>
      <c r="H202" s="114">
        <f>H203</f>
        <v>4781.6000000000004</v>
      </c>
      <c r="I202" s="114">
        <f>I203</f>
        <v>4972.8999999999996</v>
      </c>
      <c r="J202" s="114">
        <f>J203</f>
        <v>5042.5</v>
      </c>
    </row>
    <row r="203" spans="1:10" ht="38.25">
      <c r="A203" s="1"/>
      <c r="B203" s="25"/>
      <c r="C203" s="16" t="s">
        <v>146</v>
      </c>
      <c r="D203" s="16" t="s">
        <v>151</v>
      </c>
      <c r="E203" s="79">
        <v>910111020</v>
      </c>
      <c r="F203" s="85" t="s">
        <v>325</v>
      </c>
      <c r="G203" s="103" t="s">
        <v>326</v>
      </c>
      <c r="H203" s="114">
        <v>4781.6000000000004</v>
      </c>
      <c r="I203" s="114">
        <v>4972.8999999999996</v>
      </c>
      <c r="J203" s="114">
        <v>5042.5</v>
      </c>
    </row>
    <row r="204" spans="1:10" ht="25.5">
      <c r="A204" s="158"/>
      <c r="B204" s="25"/>
      <c r="C204" s="16" t="s">
        <v>146</v>
      </c>
      <c r="D204" s="16" t="s">
        <v>151</v>
      </c>
      <c r="E204" s="79" t="s">
        <v>622</v>
      </c>
      <c r="F204" s="85"/>
      <c r="G204" s="103" t="s">
        <v>623</v>
      </c>
      <c r="H204" s="114">
        <f>H205</f>
        <v>13048.6</v>
      </c>
      <c r="I204" s="114">
        <f>I205</f>
        <v>12852.4</v>
      </c>
      <c r="J204" s="114">
        <f>J205</f>
        <v>13501.7</v>
      </c>
    </row>
    <row r="205" spans="1:10" ht="38.25">
      <c r="A205" s="158"/>
      <c r="B205" s="25"/>
      <c r="C205" s="16" t="s">
        <v>146</v>
      </c>
      <c r="D205" s="16" t="s">
        <v>151</v>
      </c>
      <c r="E205" s="79" t="s">
        <v>622</v>
      </c>
      <c r="F205" s="85" t="s">
        <v>325</v>
      </c>
      <c r="G205" s="103" t="s">
        <v>326</v>
      </c>
      <c r="H205" s="114">
        <f>5551.9+270.2+1453.9+4977.1+3134.6+3157.3-5464.3-32.1</f>
        <v>13048.6</v>
      </c>
      <c r="I205" s="114">
        <v>12852.4</v>
      </c>
      <c r="J205" s="114">
        <v>13501.7</v>
      </c>
    </row>
    <row r="206" spans="1:10" ht="25.5">
      <c r="A206" s="158"/>
      <c r="B206" s="25"/>
      <c r="C206" s="16" t="s">
        <v>146</v>
      </c>
      <c r="D206" s="16" t="s">
        <v>151</v>
      </c>
      <c r="E206" s="79">
        <v>910111050</v>
      </c>
      <c r="F206" s="85"/>
      <c r="G206" s="103" t="s">
        <v>624</v>
      </c>
      <c r="H206" s="114">
        <f>H207</f>
        <v>51113.8</v>
      </c>
      <c r="I206" s="114">
        <f>I207</f>
        <v>51409.4</v>
      </c>
      <c r="J206" s="114">
        <f>J207</f>
        <v>54006.6</v>
      </c>
    </row>
    <row r="207" spans="1:10" ht="38.25">
      <c r="A207" s="158"/>
      <c r="B207" s="25"/>
      <c r="C207" s="16" t="s">
        <v>146</v>
      </c>
      <c r="D207" s="16" t="s">
        <v>151</v>
      </c>
      <c r="E207" s="79">
        <v>910111050</v>
      </c>
      <c r="F207" s="85" t="s">
        <v>325</v>
      </c>
      <c r="G207" s="103" t="s">
        <v>326</v>
      </c>
      <c r="H207" s="114">
        <v>51113.8</v>
      </c>
      <c r="I207" s="114">
        <v>51409.4</v>
      </c>
      <c r="J207" s="114">
        <v>54006.6</v>
      </c>
    </row>
    <row r="208" spans="1:10" ht="25.5">
      <c r="A208" s="158"/>
      <c r="B208" s="25"/>
      <c r="C208" s="16" t="s">
        <v>146</v>
      </c>
      <c r="D208" s="16" t="s">
        <v>151</v>
      </c>
      <c r="E208" s="79" t="s">
        <v>743</v>
      </c>
      <c r="F208" s="85"/>
      <c r="G208" s="103" t="s">
        <v>744</v>
      </c>
      <c r="H208" s="114">
        <f>H209</f>
        <v>13080.6</v>
      </c>
      <c r="I208" s="114">
        <f t="shared" ref="I208:J208" si="76">I209</f>
        <v>0</v>
      </c>
      <c r="J208" s="114">
        <f t="shared" si="76"/>
        <v>0</v>
      </c>
    </row>
    <row r="209" spans="1:10" ht="38.25">
      <c r="A209" s="158"/>
      <c r="B209" s="25"/>
      <c r="C209" s="16" t="s">
        <v>146</v>
      </c>
      <c r="D209" s="16" t="s">
        <v>151</v>
      </c>
      <c r="E209" s="79" t="s">
        <v>743</v>
      </c>
      <c r="F209" s="85" t="s">
        <v>325</v>
      </c>
      <c r="G209" s="103" t="s">
        <v>326</v>
      </c>
      <c r="H209" s="114">
        <f>4416.4+8664.2</f>
        <v>13080.6</v>
      </c>
      <c r="I209" s="114">
        <v>0</v>
      </c>
      <c r="J209" s="114">
        <v>0</v>
      </c>
    </row>
    <row r="210" spans="1:10" ht="38.25">
      <c r="A210" s="158"/>
      <c r="B210" s="25"/>
      <c r="C210" s="16" t="s">
        <v>146</v>
      </c>
      <c r="D210" s="16" t="s">
        <v>151</v>
      </c>
      <c r="E210" s="74" t="s">
        <v>918</v>
      </c>
      <c r="F210" s="84"/>
      <c r="G210" s="184" t="s">
        <v>919</v>
      </c>
      <c r="H210" s="39">
        <f>H211</f>
        <v>532.19999999999993</v>
      </c>
      <c r="I210" s="39">
        <f t="shared" ref="I210:J210" si="77">I211</f>
        <v>0</v>
      </c>
      <c r="J210" s="39">
        <f t="shared" si="77"/>
        <v>0</v>
      </c>
    </row>
    <row r="211" spans="1:10" ht="38.25">
      <c r="A211" s="158"/>
      <c r="B211" s="25"/>
      <c r="C211" s="16" t="s">
        <v>146</v>
      </c>
      <c r="D211" s="16" t="s">
        <v>151</v>
      </c>
      <c r="E211" s="74" t="s">
        <v>918</v>
      </c>
      <c r="F211" s="84" t="s">
        <v>325</v>
      </c>
      <c r="G211" s="184" t="s">
        <v>326</v>
      </c>
      <c r="H211" s="39">
        <f>416.9+115.3</f>
        <v>532.19999999999993</v>
      </c>
      <c r="I211" s="114">
        <v>0</v>
      </c>
      <c r="J211" s="114">
        <v>0</v>
      </c>
    </row>
    <row r="212" spans="1:10" ht="38.25">
      <c r="A212" s="158"/>
      <c r="B212" s="25"/>
      <c r="C212" s="16" t="s">
        <v>146</v>
      </c>
      <c r="D212" s="16" t="s">
        <v>151</v>
      </c>
      <c r="E212" s="79" t="s">
        <v>756</v>
      </c>
      <c r="F212" s="85"/>
      <c r="G212" s="103" t="s">
        <v>757</v>
      </c>
      <c r="H212" s="114">
        <f>H213</f>
        <v>495.1</v>
      </c>
      <c r="I212" s="114">
        <f t="shared" ref="I212:J212" si="78">I213</f>
        <v>0</v>
      </c>
      <c r="J212" s="114">
        <f t="shared" si="78"/>
        <v>0</v>
      </c>
    </row>
    <row r="213" spans="1:10" ht="38.25">
      <c r="A213" s="158"/>
      <c r="B213" s="25"/>
      <c r="C213" s="16" t="s">
        <v>146</v>
      </c>
      <c r="D213" s="16" t="s">
        <v>151</v>
      </c>
      <c r="E213" s="79" t="s">
        <v>756</v>
      </c>
      <c r="F213" s="85" t="s">
        <v>325</v>
      </c>
      <c r="G213" s="103" t="s">
        <v>326</v>
      </c>
      <c r="H213" s="114">
        <f>900-404.9</f>
        <v>495.1</v>
      </c>
      <c r="I213" s="114">
        <v>0</v>
      </c>
      <c r="J213" s="114">
        <v>0</v>
      </c>
    </row>
    <row r="214" spans="1:10" ht="51">
      <c r="A214" s="158"/>
      <c r="B214" s="25"/>
      <c r="C214" s="5" t="s">
        <v>146</v>
      </c>
      <c r="D214" s="5" t="s">
        <v>151</v>
      </c>
      <c r="E214" s="73" t="s">
        <v>87</v>
      </c>
      <c r="F214" s="16"/>
      <c r="G214" s="53" t="s">
        <v>550</v>
      </c>
      <c r="H214" s="125">
        <f>H215+H246</f>
        <v>22223.1</v>
      </c>
      <c r="I214" s="125">
        <f>I215+I246</f>
        <v>4972.5000000000009</v>
      </c>
      <c r="J214" s="125">
        <f t="shared" ref="J214" si="79">J246</f>
        <v>0</v>
      </c>
    </row>
    <row r="215" spans="1:10" ht="51">
      <c r="A215" s="158"/>
      <c r="B215" s="25"/>
      <c r="C215" s="16" t="s">
        <v>146</v>
      </c>
      <c r="D215" s="16" t="s">
        <v>151</v>
      </c>
      <c r="E215" s="52" t="s">
        <v>778</v>
      </c>
      <c r="F215" s="16"/>
      <c r="G215" s="191" t="s">
        <v>779</v>
      </c>
      <c r="H215" s="98">
        <f>H216+H229</f>
        <v>8850.7000000000007</v>
      </c>
      <c r="I215" s="98">
        <f>I216+I229</f>
        <v>4972.5000000000009</v>
      </c>
      <c r="J215" s="98">
        <f t="shared" ref="I215:J216" si="80">J216</f>
        <v>0</v>
      </c>
    </row>
    <row r="216" spans="1:10" ht="63.75">
      <c r="A216" s="158"/>
      <c r="B216" s="25"/>
      <c r="C216" s="16" t="s">
        <v>146</v>
      </c>
      <c r="D216" s="16" t="s">
        <v>151</v>
      </c>
      <c r="E216" s="21" t="s">
        <v>898</v>
      </c>
      <c r="F216" s="84"/>
      <c r="G216" s="184" t="s">
        <v>899</v>
      </c>
      <c r="H216" s="41">
        <f>H217+H223</f>
        <v>4056.1</v>
      </c>
      <c r="I216" s="41">
        <f t="shared" si="80"/>
        <v>442.6</v>
      </c>
      <c r="J216" s="41">
        <f t="shared" si="80"/>
        <v>0</v>
      </c>
    </row>
    <row r="217" spans="1:10" ht="51">
      <c r="A217" s="158"/>
      <c r="B217" s="25"/>
      <c r="C217" s="16" t="s">
        <v>146</v>
      </c>
      <c r="D217" s="16" t="s">
        <v>151</v>
      </c>
      <c r="E217" s="21" t="s">
        <v>900</v>
      </c>
      <c r="F217" s="84"/>
      <c r="G217" s="184" t="s">
        <v>780</v>
      </c>
      <c r="H217" s="41">
        <f>H218</f>
        <v>2191.1</v>
      </c>
      <c r="I217" s="41">
        <f>I218</f>
        <v>442.6</v>
      </c>
      <c r="J217" s="41">
        <f>J218</f>
        <v>0</v>
      </c>
    </row>
    <row r="218" spans="1:10" ht="38.25">
      <c r="A218" s="158"/>
      <c r="B218" s="25"/>
      <c r="C218" s="16" t="s">
        <v>146</v>
      </c>
      <c r="D218" s="16" t="s">
        <v>151</v>
      </c>
      <c r="E218" s="21" t="s">
        <v>900</v>
      </c>
      <c r="F218" s="84" t="s">
        <v>325</v>
      </c>
      <c r="G218" s="184" t="s">
        <v>326</v>
      </c>
      <c r="H218" s="41">
        <f>H220+H222</f>
        <v>2191.1</v>
      </c>
      <c r="I218" s="41">
        <v>442.6</v>
      </c>
      <c r="J218" s="39">
        <v>0</v>
      </c>
    </row>
    <row r="219" spans="1:10" ht="51">
      <c r="A219" s="158"/>
      <c r="B219" s="25"/>
      <c r="C219" s="16" t="s">
        <v>146</v>
      </c>
      <c r="D219" s="16" t="s">
        <v>151</v>
      </c>
      <c r="E219" s="21" t="s">
        <v>904</v>
      </c>
      <c r="F219" s="16"/>
      <c r="G219" s="105" t="s">
        <v>905</v>
      </c>
      <c r="H219" s="192">
        <f>H220</f>
        <v>1404.8</v>
      </c>
      <c r="I219" s="192">
        <f t="shared" ref="I219" si="81">I220</f>
        <v>0</v>
      </c>
      <c r="J219" s="192">
        <f t="shared" ref="J219" si="82">J220</f>
        <v>0</v>
      </c>
    </row>
    <row r="220" spans="1:10" ht="38.25">
      <c r="A220" s="158"/>
      <c r="B220" s="25"/>
      <c r="C220" s="16" t="s">
        <v>146</v>
      </c>
      <c r="D220" s="16" t="s">
        <v>151</v>
      </c>
      <c r="E220" s="21" t="s">
        <v>904</v>
      </c>
      <c r="F220" s="84" t="s">
        <v>325</v>
      </c>
      <c r="G220" s="184" t="s">
        <v>326</v>
      </c>
      <c r="H220" s="192">
        <f>1170.7+234.1</f>
        <v>1404.8</v>
      </c>
      <c r="I220" s="41">
        <v>0</v>
      </c>
      <c r="J220" s="39">
        <v>0</v>
      </c>
    </row>
    <row r="221" spans="1:10" ht="51">
      <c r="A221" s="158"/>
      <c r="B221" s="25"/>
      <c r="C221" s="16" t="s">
        <v>146</v>
      </c>
      <c r="D221" s="16" t="s">
        <v>151</v>
      </c>
      <c r="E221" s="21" t="s">
        <v>906</v>
      </c>
      <c r="F221" s="16"/>
      <c r="G221" s="105" t="s">
        <v>907</v>
      </c>
      <c r="H221" s="192">
        <f>H222</f>
        <v>786.3</v>
      </c>
      <c r="I221" s="192">
        <f t="shared" ref="I221" si="83">I222</f>
        <v>0</v>
      </c>
      <c r="J221" s="192">
        <f t="shared" ref="J221" si="84">J222</f>
        <v>0</v>
      </c>
    </row>
    <row r="222" spans="1:10" ht="38.25">
      <c r="A222" s="158"/>
      <c r="B222" s="25"/>
      <c r="C222" s="16" t="s">
        <v>146</v>
      </c>
      <c r="D222" s="16" t="s">
        <v>151</v>
      </c>
      <c r="E222" s="21" t="s">
        <v>906</v>
      </c>
      <c r="F222" s="84" t="s">
        <v>325</v>
      </c>
      <c r="G222" s="184" t="s">
        <v>326</v>
      </c>
      <c r="H222" s="192">
        <f>703.8+82.5</f>
        <v>786.3</v>
      </c>
      <c r="I222" s="41">
        <v>0</v>
      </c>
      <c r="J222" s="39">
        <v>0</v>
      </c>
    </row>
    <row r="223" spans="1:10" ht="38.25">
      <c r="A223" s="158"/>
      <c r="B223" s="25"/>
      <c r="C223" s="16" t="s">
        <v>146</v>
      </c>
      <c r="D223" s="16" t="s">
        <v>151</v>
      </c>
      <c r="E223" s="21" t="s">
        <v>908</v>
      </c>
      <c r="F223" s="85"/>
      <c r="G223" s="54" t="s">
        <v>835</v>
      </c>
      <c r="H223" s="41">
        <f>H224</f>
        <v>1865</v>
      </c>
      <c r="I223" s="41">
        <f t="shared" ref="I223:J223" si="85">I224</f>
        <v>0</v>
      </c>
      <c r="J223" s="41">
        <f t="shared" si="85"/>
        <v>0</v>
      </c>
    </row>
    <row r="224" spans="1:10" ht="38.25">
      <c r="A224" s="158"/>
      <c r="B224" s="25"/>
      <c r="C224" s="16" t="s">
        <v>146</v>
      </c>
      <c r="D224" s="16" t="s">
        <v>151</v>
      </c>
      <c r="E224" s="21" t="s">
        <v>908</v>
      </c>
      <c r="F224" s="85" t="s">
        <v>325</v>
      </c>
      <c r="G224" s="103" t="s">
        <v>326</v>
      </c>
      <c r="H224" s="41">
        <f>H226+H228</f>
        <v>1865</v>
      </c>
      <c r="I224" s="41">
        <f t="shared" ref="I224:J224" si="86">I226+I228</f>
        <v>0</v>
      </c>
      <c r="J224" s="41">
        <f t="shared" si="86"/>
        <v>0</v>
      </c>
    </row>
    <row r="225" spans="1:10" ht="51">
      <c r="A225" s="158"/>
      <c r="B225" s="25"/>
      <c r="C225" s="16" t="s">
        <v>146</v>
      </c>
      <c r="D225" s="16" t="s">
        <v>151</v>
      </c>
      <c r="E225" s="21" t="s">
        <v>909</v>
      </c>
      <c r="F225" s="84"/>
      <c r="G225" s="105" t="s">
        <v>905</v>
      </c>
      <c r="H225" s="192">
        <f>H226</f>
        <v>1170</v>
      </c>
      <c r="I225" s="192">
        <f t="shared" ref="I225:J225" si="87">I226</f>
        <v>0</v>
      </c>
      <c r="J225" s="192">
        <f t="shared" si="87"/>
        <v>0</v>
      </c>
    </row>
    <row r="226" spans="1:10" ht="38.25">
      <c r="A226" s="158"/>
      <c r="B226" s="25"/>
      <c r="C226" s="16" t="s">
        <v>146</v>
      </c>
      <c r="D226" s="16" t="s">
        <v>151</v>
      </c>
      <c r="E226" s="21" t="s">
        <v>909</v>
      </c>
      <c r="F226" s="85" t="s">
        <v>325</v>
      </c>
      <c r="G226" s="103" t="s">
        <v>326</v>
      </c>
      <c r="H226" s="192">
        <v>1170</v>
      </c>
      <c r="I226" s="41">
        <v>0</v>
      </c>
      <c r="J226" s="41">
        <v>0</v>
      </c>
    </row>
    <row r="227" spans="1:10" ht="51">
      <c r="A227" s="158"/>
      <c r="B227" s="25"/>
      <c r="C227" s="16" t="s">
        <v>146</v>
      </c>
      <c r="D227" s="16" t="s">
        <v>151</v>
      </c>
      <c r="E227" s="21" t="s">
        <v>910</v>
      </c>
      <c r="F227" s="84"/>
      <c r="G227" s="105" t="s">
        <v>907</v>
      </c>
      <c r="H227" s="192">
        <f>H228</f>
        <v>695</v>
      </c>
      <c r="I227" s="192">
        <f t="shared" ref="I227:J227" si="88">I228</f>
        <v>0</v>
      </c>
      <c r="J227" s="192">
        <f t="shared" si="88"/>
        <v>0</v>
      </c>
    </row>
    <row r="228" spans="1:10" ht="38.25">
      <c r="A228" s="158"/>
      <c r="B228" s="25"/>
      <c r="C228" s="16" t="s">
        <v>146</v>
      </c>
      <c r="D228" s="16" t="s">
        <v>151</v>
      </c>
      <c r="E228" s="21" t="s">
        <v>910</v>
      </c>
      <c r="F228" s="85" t="s">
        <v>325</v>
      </c>
      <c r="G228" s="103" t="s">
        <v>326</v>
      </c>
      <c r="H228" s="192">
        <v>695</v>
      </c>
      <c r="I228" s="41">
        <v>0</v>
      </c>
      <c r="J228" s="41">
        <v>0</v>
      </c>
    </row>
    <row r="229" spans="1:10" ht="63.75">
      <c r="A229" s="158"/>
      <c r="B229" s="25"/>
      <c r="C229" s="16" t="s">
        <v>146</v>
      </c>
      <c r="D229" s="16" t="s">
        <v>151</v>
      </c>
      <c r="E229" s="21" t="s">
        <v>921</v>
      </c>
      <c r="F229" s="84"/>
      <c r="G229" s="184" t="s">
        <v>922</v>
      </c>
      <c r="H229" s="41">
        <f>H230+H238</f>
        <v>4794.6000000000004</v>
      </c>
      <c r="I229" s="41">
        <f t="shared" ref="I229:J230" si="89">I230</f>
        <v>4529.9000000000005</v>
      </c>
      <c r="J229" s="41">
        <f t="shared" si="89"/>
        <v>0</v>
      </c>
    </row>
    <row r="230" spans="1:10" ht="51">
      <c r="A230" s="158"/>
      <c r="B230" s="25"/>
      <c r="C230" s="16" t="s">
        <v>146</v>
      </c>
      <c r="D230" s="16" t="s">
        <v>151</v>
      </c>
      <c r="E230" s="21" t="s">
        <v>923</v>
      </c>
      <c r="F230" s="84"/>
      <c r="G230" s="184" t="s">
        <v>780</v>
      </c>
      <c r="H230" s="192">
        <f>H231</f>
        <v>2602.6</v>
      </c>
      <c r="I230" s="192">
        <f t="shared" si="89"/>
        <v>4529.9000000000005</v>
      </c>
      <c r="J230" s="192">
        <f t="shared" si="89"/>
        <v>0</v>
      </c>
    </row>
    <row r="231" spans="1:10" ht="38.25">
      <c r="A231" s="158"/>
      <c r="B231" s="25"/>
      <c r="C231" s="16" t="s">
        <v>146</v>
      </c>
      <c r="D231" s="16" t="s">
        <v>151</v>
      </c>
      <c r="E231" s="21" t="s">
        <v>923</v>
      </c>
      <c r="F231" s="84" t="s">
        <v>325</v>
      </c>
      <c r="G231" s="184" t="s">
        <v>326</v>
      </c>
      <c r="H231" s="192">
        <f>H233+H235+H237</f>
        <v>2602.6</v>
      </c>
      <c r="I231" s="192">
        <f>412.6+4117.3</f>
        <v>4529.9000000000005</v>
      </c>
      <c r="J231" s="192">
        <f t="shared" ref="J231" si="90">J233+J235+J237</f>
        <v>0</v>
      </c>
    </row>
    <row r="232" spans="1:10" ht="42.75" customHeight="1">
      <c r="A232" s="158"/>
      <c r="B232" s="25"/>
      <c r="C232" s="16" t="s">
        <v>146</v>
      </c>
      <c r="D232" s="16" t="s">
        <v>151</v>
      </c>
      <c r="E232" s="21" t="s">
        <v>924</v>
      </c>
      <c r="F232" s="16"/>
      <c r="G232" s="105" t="s">
        <v>901</v>
      </c>
      <c r="H232" s="192">
        <f>H233</f>
        <v>1145.5999999999999</v>
      </c>
      <c r="I232" s="192">
        <f t="shared" ref="I232:J232" si="91">I233</f>
        <v>0</v>
      </c>
      <c r="J232" s="192">
        <f t="shared" si="91"/>
        <v>0</v>
      </c>
    </row>
    <row r="233" spans="1:10" ht="38.25">
      <c r="A233" s="158"/>
      <c r="B233" s="25"/>
      <c r="C233" s="16" t="s">
        <v>146</v>
      </c>
      <c r="D233" s="16" t="s">
        <v>151</v>
      </c>
      <c r="E233" s="21" t="s">
        <v>924</v>
      </c>
      <c r="F233" s="84" t="s">
        <v>325</v>
      </c>
      <c r="G233" s="184" t="s">
        <v>326</v>
      </c>
      <c r="H233" s="192">
        <f>973.2+193.8-21.4</f>
        <v>1145.5999999999999</v>
      </c>
      <c r="I233" s="41">
        <v>0</v>
      </c>
      <c r="J233" s="39">
        <v>0</v>
      </c>
    </row>
    <row r="234" spans="1:10" ht="51">
      <c r="A234" s="158"/>
      <c r="B234" s="25"/>
      <c r="C234" s="16" t="s">
        <v>146</v>
      </c>
      <c r="D234" s="16" t="s">
        <v>151</v>
      </c>
      <c r="E234" s="21" t="s">
        <v>925</v>
      </c>
      <c r="F234" s="16"/>
      <c r="G234" s="105" t="s">
        <v>902</v>
      </c>
      <c r="H234" s="192">
        <f>H235</f>
        <v>813</v>
      </c>
      <c r="I234" s="192">
        <f t="shared" ref="I234:J234" si="92">I235</f>
        <v>0</v>
      </c>
      <c r="J234" s="192">
        <f t="shared" si="92"/>
        <v>0</v>
      </c>
    </row>
    <row r="235" spans="1:10" ht="38.25">
      <c r="A235" s="158"/>
      <c r="B235" s="25"/>
      <c r="C235" s="16" t="s">
        <v>146</v>
      </c>
      <c r="D235" s="16" t="s">
        <v>151</v>
      </c>
      <c r="E235" s="21" t="s">
        <v>925</v>
      </c>
      <c r="F235" s="84" t="s">
        <v>325</v>
      </c>
      <c r="G235" s="184" t="s">
        <v>326</v>
      </c>
      <c r="H235" s="192">
        <f>677.5+135.5</f>
        <v>813</v>
      </c>
      <c r="I235" s="41">
        <v>0</v>
      </c>
      <c r="J235" s="39">
        <v>0</v>
      </c>
    </row>
    <row r="236" spans="1:10" ht="38.25">
      <c r="A236" s="158"/>
      <c r="B236" s="25"/>
      <c r="C236" s="16" t="s">
        <v>146</v>
      </c>
      <c r="D236" s="16" t="s">
        <v>151</v>
      </c>
      <c r="E236" s="21" t="s">
        <v>926</v>
      </c>
      <c r="F236" s="16"/>
      <c r="G236" s="105" t="s">
        <v>903</v>
      </c>
      <c r="H236" s="192">
        <f>H237</f>
        <v>644</v>
      </c>
      <c r="I236" s="192">
        <f t="shared" ref="I236:J236" si="93">I237</f>
        <v>0</v>
      </c>
      <c r="J236" s="192">
        <f t="shared" si="93"/>
        <v>0</v>
      </c>
    </row>
    <row r="237" spans="1:10" ht="38.25">
      <c r="A237" s="158"/>
      <c r="B237" s="25"/>
      <c r="C237" s="16" t="s">
        <v>146</v>
      </c>
      <c r="D237" s="16" t="s">
        <v>151</v>
      </c>
      <c r="E237" s="21" t="s">
        <v>926</v>
      </c>
      <c r="F237" s="84" t="s">
        <v>325</v>
      </c>
      <c r="G237" s="184" t="s">
        <v>326</v>
      </c>
      <c r="H237" s="192">
        <f>535.4+108.6</f>
        <v>644</v>
      </c>
      <c r="I237" s="41">
        <v>0</v>
      </c>
      <c r="J237" s="39">
        <v>0</v>
      </c>
    </row>
    <row r="238" spans="1:10" ht="38.25">
      <c r="A238" s="158"/>
      <c r="B238" s="25"/>
      <c r="C238" s="16" t="s">
        <v>146</v>
      </c>
      <c r="D238" s="16" t="s">
        <v>151</v>
      </c>
      <c r="E238" s="21" t="s">
        <v>927</v>
      </c>
      <c r="F238" s="85"/>
      <c r="G238" s="54" t="s">
        <v>835</v>
      </c>
      <c r="H238" s="41">
        <f>H239</f>
        <v>2192</v>
      </c>
      <c r="I238" s="41">
        <f t="shared" ref="I238:J238" si="94">I239</f>
        <v>0</v>
      </c>
      <c r="J238" s="41">
        <f t="shared" si="94"/>
        <v>0</v>
      </c>
    </row>
    <row r="239" spans="1:10" ht="38.25">
      <c r="A239" s="158"/>
      <c r="B239" s="25"/>
      <c r="C239" s="16" t="s">
        <v>146</v>
      </c>
      <c r="D239" s="16" t="s">
        <v>151</v>
      </c>
      <c r="E239" s="21" t="s">
        <v>927</v>
      </c>
      <c r="F239" s="85" t="s">
        <v>325</v>
      </c>
      <c r="G239" s="103" t="s">
        <v>326</v>
      </c>
      <c r="H239" s="41">
        <f>H241+H243+H245</f>
        <v>2192</v>
      </c>
      <c r="I239" s="41">
        <f t="shared" ref="I239:J239" si="95">I241+I243+I245</f>
        <v>0</v>
      </c>
      <c r="J239" s="41">
        <f t="shared" si="95"/>
        <v>0</v>
      </c>
    </row>
    <row r="240" spans="1:10" ht="39.75" customHeight="1">
      <c r="A240" s="158"/>
      <c r="B240" s="25"/>
      <c r="C240" s="16" t="s">
        <v>146</v>
      </c>
      <c r="D240" s="16" t="s">
        <v>151</v>
      </c>
      <c r="E240" s="21" t="s">
        <v>928</v>
      </c>
      <c r="F240" s="85"/>
      <c r="G240" s="105" t="s">
        <v>901</v>
      </c>
      <c r="H240" s="41">
        <f>H241</f>
        <v>965</v>
      </c>
      <c r="I240" s="41">
        <f t="shared" ref="I240:J240" si="96">I241</f>
        <v>0</v>
      </c>
      <c r="J240" s="41">
        <f t="shared" si="96"/>
        <v>0</v>
      </c>
    </row>
    <row r="241" spans="1:10" ht="38.25">
      <c r="A241" s="158"/>
      <c r="B241" s="25"/>
      <c r="C241" s="16" t="s">
        <v>146</v>
      </c>
      <c r="D241" s="16" t="s">
        <v>151</v>
      </c>
      <c r="E241" s="21" t="s">
        <v>928</v>
      </c>
      <c r="F241" s="85" t="s">
        <v>325</v>
      </c>
      <c r="G241" s="103" t="s">
        <v>326</v>
      </c>
      <c r="H241" s="41">
        <v>965</v>
      </c>
      <c r="I241" s="41">
        <v>0</v>
      </c>
      <c r="J241" s="41">
        <v>0</v>
      </c>
    </row>
    <row r="242" spans="1:10" ht="51">
      <c r="A242" s="158"/>
      <c r="B242" s="25"/>
      <c r="C242" s="16" t="s">
        <v>146</v>
      </c>
      <c r="D242" s="16" t="s">
        <v>151</v>
      </c>
      <c r="E242" s="21" t="s">
        <v>929</v>
      </c>
      <c r="F242" s="84"/>
      <c r="G242" s="105" t="s">
        <v>902</v>
      </c>
      <c r="H242" s="192">
        <f>H243</f>
        <v>677</v>
      </c>
      <c r="I242" s="192">
        <f t="shared" ref="I242:J242" si="97">I243</f>
        <v>0</v>
      </c>
      <c r="J242" s="192">
        <f t="shared" si="97"/>
        <v>0</v>
      </c>
    </row>
    <row r="243" spans="1:10" ht="38.25">
      <c r="A243" s="158"/>
      <c r="B243" s="25"/>
      <c r="C243" s="16" t="s">
        <v>146</v>
      </c>
      <c r="D243" s="16" t="s">
        <v>151</v>
      </c>
      <c r="E243" s="21" t="s">
        <v>929</v>
      </c>
      <c r="F243" s="85" t="s">
        <v>325</v>
      </c>
      <c r="G243" s="103" t="s">
        <v>326</v>
      </c>
      <c r="H243" s="192">
        <v>677</v>
      </c>
      <c r="I243" s="41">
        <v>0</v>
      </c>
      <c r="J243" s="41">
        <v>0</v>
      </c>
    </row>
    <row r="244" spans="1:10" ht="38.25">
      <c r="A244" s="158"/>
      <c r="B244" s="25"/>
      <c r="C244" s="16" t="s">
        <v>146</v>
      </c>
      <c r="D244" s="16" t="s">
        <v>151</v>
      </c>
      <c r="E244" s="21" t="s">
        <v>930</v>
      </c>
      <c r="F244" s="84"/>
      <c r="G244" s="105" t="s">
        <v>903</v>
      </c>
      <c r="H244" s="192">
        <f>H245</f>
        <v>550</v>
      </c>
      <c r="I244" s="192">
        <f t="shared" ref="I244:J244" si="98">I245</f>
        <v>0</v>
      </c>
      <c r="J244" s="192">
        <f t="shared" si="98"/>
        <v>0</v>
      </c>
    </row>
    <row r="245" spans="1:10" ht="41.25" customHeight="1">
      <c r="A245" s="158"/>
      <c r="B245" s="25"/>
      <c r="C245" s="16" t="s">
        <v>146</v>
      </c>
      <c r="D245" s="16" t="s">
        <v>151</v>
      </c>
      <c r="E245" s="21" t="s">
        <v>930</v>
      </c>
      <c r="F245" s="85" t="s">
        <v>325</v>
      </c>
      <c r="G245" s="103" t="s">
        <v>326</v>
      </c>
      <c r="H245" s="192">
        <v>550</v>
      </c>
      <c r="I245" s="41">
        <v>0</v>
      </c>
      <c r="J245" s="41">
        <v>0</v>
      </c>
    </row>
    <row r="246" spans="1:10" ht="57" customHeight="1">
      <c r="A246" s="158"/>
      <c r="B246" s="25"/>
      <c r="C246" s="16" t="s">
        <v>146</v>
      </c>
      <c r="D246" s="16" t="s">
        <v>151</v>
      </c>
      <c r="E246" s="52" t="s">
        <v>769</v>
      </c>
      <c r="F246" s="16"/>
      <c r="G246" s="60" t="s">
        <v>770</v>
      </c>
      <c r="H246" s="98">
        <f>H247</f>
        <v>13372.4</v>
      </c>
      <c r="I246" s="98">
        <f>I247</f>
        <v>0</v>
      </c>
      <c r="J246" s="98">
        <f>J247</f>
        <v>0</v>
      </c>
    </row>
    <row r="247" spans="1:10" ht="76.5">
      <c r="A247" s="158"/>
      <c r="B247" s="25"/>
      <c r="C247" s="16" t="s">
        <v>146</v>
      </c>
      <c r="D247" s="16" t="s">
        <v>151</v>
      </c>
      <c r="E247" s="21" t="s">
        <v>796</v>
      </c>
      <c r="F247" s="16"/>
      <c r="G247" s="103" t="s">
        <v>797</v>
      </c>
      <c r="H247" s="98">
        <f>H248</f>
        <v>13372.4</v>
      </c>
      <c r="I247" s="98">
        <f t="shared" ref="I247:J247" si="99">I248+I250</f>
        <v>0</v>
      </c>
      <c r="J247" s="98">
        <f t="shared" si="99"/>
        <v>0</v>
      </c>
    </row>
    <row r="248" spans="1:10" ht="51">
      <c r="A248" s="158"/>
      <c r="B248" s="25"/>
      <c r="C248" s="16" t="s">
        <v>146</v>
      </c>
      <c r="D248" s="16" t="s">
        <v>151</v>
      </c>
      <c r="E248" s="21" t="s">
        <v>874</v>
      </c>
      <c r="F248" s="85"/>
      <c r="G248" s="103" t="s">
        <v>795</v>
      </c>
      <c r="H248" s="41">
        <f>H249</f>
        <v>13372.4</v>
      </c>
      <c r="I248" s="41">
        <f t="shared" ref="I248:J248" si="100">I249</f>
        <v>0</v>
      </c>
      <c r="J248" s="41">
        <f t="shared" si="100"/>
        <v>0</v>
      </c>
    </row>
    <row r="249" spans="1:10" ht="38.25">
      <c r="A249" s="158"/>
      <c r="B249" s="25"/>
      <c r="C249" s="16" t="s">
        <v>146</v>
      </c>
      <c r="D249" s="16" t="s">
        <v>151</v>
      </c>
      <c r="E249" s="21" t="s">
        <v>874</v>
      </c>
      <c r="F249" s="85" t="s">
        <v>325</v>
      </c>
      <c r="G249" s="103" t="s">
        <v>326</v>
      </c>
      <c r="H249" s="41">
        <f>H251+H253+H255+H257+H259+H261</f>
        <v>13372.4</v>
      </c>
      <c r="I249" s="41">
        <f t="shared" ref="I249:J249" si="101">I251+I253+I255+I257+I259+I261</f>
        <v>0</v>
      </c>
      <c r="J249" s="41">
        <f t="shared" si="101"/>
        <v>0</v>
      </c>
    </row>
    <row r="250" spans="1:10" ht="38.25">
      <c r="A250" s="158"/>
      <c r="B250" s="25"/>
      <c r="C250" s="16" t="s">
        <v>146</v>
      </c>
      <c r="D250" s="16" t="s">
        <v>151</v>
      </c>
      <c r="E250" s="21" t="s">
        <v>870</v>
      </c>
      <c r="F250" s="85"/>
      <c r="G250" s="103" t="s">
        <v>866</v>
      </c>
      <c r="H250" s="41">
        <f>H251</f>
        <v>1338.2</v>
      </c>
      <c r="I250" s="41">
        <f t="shared" ref="I250:J250" si="102">I251</f>
        <v>0</v>
      </c>
      <c r="J250" s="41">
        <f t="shared" si="102"/>
        <v>0</v>
      </c>
    </row>
    <row r="251" spans="1:10" ht="38.25">
      <c r="A251" s="158"/>
      <c r="B251" s="25"/>
      <c r="C251" s="16" t="s">
        <v>146</v>
      </c>
      <c r="D251" s="16" t="s">
        <v>151</v>
      </c>
      <c r="E251" s="21" t="s">
        <v>870</v>
      </c>
      <c r="F251" s="85" t="s">
        <v>325</v>
      </c>
      <c r="G251" s="103" t="s">
        <v>326</v>
      </c>
      <c r="H251" s="41">
        <f>1310.7+27.5</f>
        <v>1338.2</v>
      </c>
      <c r="I251" s="41">
        <v>0</v>
      </c>
      <c r="J251" s="39">
        <v>0</v>
      </c>
    </row>
    <row r="252" spans="1:10" ht="38.25">
      <c r="A252" s="158"/>
      <c r="B252" s="25"/>
      <c r="C252" s="16" t="s">
        <v>146</v>
      </c>
      <c r="D252" s="16" t="s">
        <v>151</v>
      </c>
      <c r="E252" s="21" t="s">
        <v>871</v>
      </c>
      <c r="F252" s="85"/>
      <c r="G252" s="103" t="s">
        <v>936</v>
      </c>
      <c r="H252" s="41">
        <f>H253</f>
        <v>1086.8</v>
      </c>
      <c r="I252" s="41">
        <f t="shared" ref="I252:J252" si="103">I253</f>
        <v>0</v>
      </c>
      <c r="J252" s="41">
        <f t="shared" si="103"/>
        <v>0</v>
      </c>
    </row>
    <row r="253" spans="1:10" ht="38.25">
      <c r="A253" s="158"/>
      <c r="B253" s="25"/>
      <c r="C253" s="16" t="s">
        <v>146</v>
      </c>
      <c r="D253" s="16" t="s">
        <v>151</v>
      </c>
      <c r="E253" s="21" t="s">
        <v>871</v>
      </c>
      <c r="F253" s="85" t="s">
        <v>325</v>
      </c>
      <c r="G253" s="103" t="s">
        <v>326</v>
      </c>
      <c r="H253" s="41">
        <f>1022.6+21.4+42.8</f>
        <v>1086.8</v>
      </c>
      <c r="I253" s="41">
        <v>0</v>
      </c>
      <c r="J253" s="39">
        <v>0</v>
      </c>
    </row>
    <row r="254" spans="1:10" ht="25.5">
      <c r="A254" s="158"/>
      <c r="B254" s="25"/>
      <c r="C254" s="16" t="s">
        <v>146</v>
      </c>
      <c r="D254" s="16" t="s">
        <v>151</v>
      </c>
      <c r="E254" s="21" t="s">
        <v>872</v>
      </c>
      <c r="F254" s="85"/>
      <c r="G254" s="103" t="s">
        <v>937</v>
      </c>
      <c r="H254" s="41">
        <f>H255</f>
        <v>4042.7</v>
      </c>
      <c r="I254" s="41">
        <f t="shared" ref="I254:J254" si="104">I255</f>
        <v>0</v>
      </c>
      <c r="J254" s="41">
        <f t="shared" si="104"/>
        <v>0</v>
      </c>
    </row>
    <row r="255" spans="1:10" ht="38.25">
      <c r="A255" s="158"/>
      <c r="B255" s="25"/>
      <c r="C255" s="16" t="s">
        <v>146</v>
      </c>
      <c r="D255" s="16" t="s">
        <v>151</v>
      </c>
      <c r="E255" s="21" t="s">
        <v>872</v>
      </c>
      <c r="F255" s="85" t="s">
        <v>325</v>
      </c>
      <c r="G255" s="103" t="s">
        <v>326</v>
      </c>
      <c r="H255" s="41">
        <f>4012.6+30+0.1</f>
        <v>4042.7</v>
      </c>
      <c r="I255" s="41">
        <v>0</v>
      </c>
      <c r="J255" s="39">
        <v>0</v>
      </c>
    </row>
    <row r="256" spans="1:10" ht="25.5">
      <c r="A256" s="158"/>
      <c r="B256" s="25"/>
      <c r="C256" s="16" t="s">
        <v>146</v>
      </c>
      <c r="D256" s="16" t="s">
        <v>151</v>
      </c>
      <c r="E256" s="21" t="s">
        <v>873</v>
      </c>
      <c r="F256" s="85"/>
      <c r="G256" s="188" t="s">
        <v>938</v>
      </c>
      <c r="H256" s="41">
        <f>H257</f>
        <v>5398.2</v>
      </c>
      <c r="I256" s="41">
        <f t="shared" ref="I256:J256" si="105">I257</f>
        <v>0</v>
      </c>
      <c r="J256" s="41">
        <f t="shared" si="105"/>
        <v>0</v>
      </c>
    </row>
    <row r="257" spans="1:10" ht="38.25">
      <c r="A257" s="158"/>
      <c r="B257" s="25"/>
      <c r="C257" s="16" t="s">
        <v>146</v>
      </c>
      <c r="D257" s="16" t="s">
        <v>151</v>
      </c>
      <c r="E257" s="21" t="s">
        <v>873</v>
      </c>
      <c r="F257" s="85" t="s">
        <v>325</v>
      </c>
      <c r="G257" s="103" t="s">
        <v>326</v>
      </c>
      <c r="H257" s="41">
        <f>5368.2+30</f>
        <v>5398.2</v>
      </c>
      <c r="I257" s="41">
        <v>0</v>
      </c>
      <c r="J257" s="39">
        <v>0</v>
      </c>
    </row>
    <row r="258" spans="1:10" ht="27.75" customHeight="1">
      <c r="A258" s="158"/>
      <c r="B258" s="25"/>
      <c r="C258" s="16" t="s">
        <v>146</v>
      </c>
      <c r="D258" s="16" t="s">
        <v>151</v>
      </c>
      <c r="E258" s="21" t="s">
        <v>913</v>
      </c>
      <c r="F258" s="85"/>
      <c r="G258" s="103" t="s">
        <v>939</v>
      </c>
      <c r="H258" s="41">
        <f>H259</f>
        <v>1278.5999999999999</v>
      </c>
      <c r="I258" s="41">
        <f t="shared" ref="I258:J258" si="106">I259</f>
        <v>0</v>
      </c>
      <c r="J258" s="41">
        <f t="shared" si="106"/>
        <v>0</v>
      </c>
    </row>
    <row r="259" spans="1:10" ht="38.25">
      <c r="A259" s="158"/>
      <c r="B259" s="25"/>
      <c r="C259" s="16" t="s">
        <v>146</v>
      </c>
      <c r="D259" s="16" t="s">
        <v>151</v>
      </c>
      <c r="E259" s="21" t="s">
        <v>913</v>
      </c>
      <c r="F259" s="85" t="s">
        <v>325</v>
      </c>
      <c r="G259" s="103" t="s">
        <v>326</v>
      </c>
      <c r="H259" s="41">
        <v>1278.5999999999999</v>
      </c>
      <c r="I259" s="41">
        <v>0</v>
      </c>
      <c r="J259" s="39">
        <v>0</v>
      </c>
    </row>
    <row r="260" spans="1:10" ht="25.5">
      <c r="A260" s="158"/>
      <c r="B260" s="25"/>
      <c r="C260" s="16" t="s">
        <v>146</v>
      </c>
      <c r="D260" s="16" t="s">
        <v>151</v>
      </c>
      <c r="E260" s="21" t="s">
        <v>969</v>
      </c>
      <c r="F260" s="85"/>
      <c r="G260" s="184" t="s">
        <v>970</v>
      </c>
      <c r="H260" s="158">
        <f>H261</f>
        <v>227.9</v>
      </c>
      <c r="I260" s="158">
        <f t="shared" ref="I260:J260" si="107">I261</f>
        <v>0</v>
      </c>
      <c r="J260" s="158">
        <f t="shared" si="107"/>
        <v>0</v>
      </c>
    </row>
    <row r="261" spans="1:10" ht="38.25">
      <c r="A261" s="158"/>
      <c r="B261" s="25"/>
      <c r="C261" s="16" t="s">
        <v>146</v>
      </c>
      <c r="D261" s="16" t="s">
        <v>151</v>
      </c>
      <c r="E261" s="21" t="s">
        <v>969</v>
      </c>
      <c r="F261" s="85" t="s">
        <v>325</v>
      </c>
      <c r="G261" s="103" t="s">
        <v>326</v>
      </c>
      <c r="H261" s="95">
        <v>227.9</v>
      </c>
      <c r="I261" s="41">
        <v>0</v>
      </c>
      <c r="J261" s="39">
        <v>0</v>
      </c>
    </row>
    <row r="262" spans="1:10" ht="63.75">
      <c r="A262" s="1"/>
      <c r="B262" s="25"/>
      <c r="C262" s="73" t="s">
        <v>146</v>
      </c>
      <c r="D262" s="73" t="s">
        <v>151</v>
      </c>
      <c r="E262" s="73" t="s">
        <v>347</v>
      </c>
      <c r="F262" s="16"/>
      <c r="G262" s="64" t="s">
        <v>529</v>
      </c>
      <c r="H262" s="101">
        <f t="shared" ref="H262:J262" si="108">H263</f>
        <v>7264.2999999999993</v>
      </c>
      <c r="I262" s="101">
        <f t="shared" si="108"/>
        <v>4999.2</v>
      </c>
      <c r="J262" s="101">
        <f t="shared" si="108"/>
        <v>4992.3</v>
      </c>
    </row>
    <row r="263" spans="1:10" ht="51">
      <c r="A263" s="1"/>
      <c r="B263" s="25"/>
      <c r="C263" s="21" t="s">
        <v>146</v>
      </c>
      <c r="D263" s="21" t="s">
        <v>151</v>
      </c>
      <c r="E263" s="52" t="s">
        <v>348</v>
      </c>
      <c r="F263" s="16"/>
      <c r="G263" s="48" t="s">
        <v>349</v>
      </c>
      <c r="H263" s="58">
        <f>H264+H273</f>
        <v>7264.2999999999993</v>
      </c>
      <c r="I263" s="58">
        <f t="shared" ref="I263:J263" si="109">I264+I273</f>
        <v>4999.2</v>
      </c>
      <c r="J263" s="58">
        <f t="shared" si="109"/>
        <v>4992.3</v>
      </c>
    </row>
    <row r="264" spans="1:10" ht="38.25" customHeight="1">
      <c r="A264" s="1"/>
      <c r="B264" s="25"/>
      <c r="C264" s="21" t="s">
        <v>146</v>
      </c>
      <c r="D264" s="21" t="s">
        <v>151</v>
      </c>
      <c r="E264" s="21" t="s">
        <v>350</v>
      </c>
      <c r="F264" s="16"/>
      <c r="G264" s="103" t="s">
        <v>351</v>
      </c>
      <c r="H264" s="99">
        <f>H265+H267+H269+H271</f>
        <v>3040.1</v>
      </c>
      <c r="I264" s="99">
        <f t="shared" ref="I264:J264" si="110">I265+I267+I269+I271</f>
        <v>775</v>
      </c>
      <c r="J264" s="99">
        <f t="shared" si="110"/>
        <v>775</v>
      </c>
    </row>
    <row r="265" spans="1:10" ht="38.25">
      <c r="A265" s="1"/>
      <c r="B265" s="25"/>
      <c r="C265" s="21" t="s">
        <v>146</v>
      </c>
      <c r="D265" s="21" t="s">
        <v>151</v>
      </c>
      <c r="E265" s="21" t="s">
        <v>352</v>
      </c>
      <c r="F265" s="16"/>
      <c r="G265" s="103" t="s">
        <v>615</v>
      </c>
      <c r="H265" s="99">
        <f t="shared" ref="H265:J265" si="111">H266</f>
        <v>1893.1</v>
      </c>
      <c r="I265" s="99">
        <f t="shared" si="111"/>
        <v>500</v>
      </c>
      <c r="J265" s="99">
        <f t="shared" si="111"/>
        <v>500</v>
      </c>
    </row>
    <row r="266" spans="1:10" ht="38.25">
      <c r="A266" s="1"/>
      <c r="B266" s="25"/>
      <c r="C266" s="21" t="s">
        <v>146</v>
      </c>
      <c r="D266" s="21" t="s">
        <v>151</v>
      </c>
      <c r="E266" s="21" t="s">
        <v>352</v>
      </c>
      <c r="F266" s="85" t="s">
        <v>325</v>
      </c>
      <c r="G266" s="103" t="s">
        <v>326</v>
      </c>
      <c r="H266" s="41">
        <f>2381.2-488.1</f>
        <v>1893.1</v>
      </c>
      <c r="I266" s="41">
        <v>500</v>
      </c>
      <c r="J266" s="41">
        <v>500</v>
      </c>
    </row>
    <row r="267" spans="1:10" ht="21" customHeight="1">
      <c r="A267" s="158"/>
      <c r="B267" s="25"/>
      <c r="C267" s="21" t="s">
        <v>146</v>
      </c>
      <c r="D267" s="21" t="s">
        <v>151</v>
      </c>
      <c r="E267" s="21" t="s">
        <v>530</v>
      </c>
      <c r="F267" s="16"/>
      <c r="G267" s="103" t="s">
        <v>531</v>
      </c>
      <c r="H267" s="41">
        <f t="shared" ref="H267:J267" si="112">H268</f>
        <v>362.6</v>
      </c>
      <c r="I267" s="41">
        <f t="shared" si="112"/>
        <v>275</v>
      </c>
      <c r="J267" s="41">
        <f t="shared" si="112"/>
        <v>275</v>
      </c>
    </row>
    <row r="268" spans="1:10" ht="38.25">
      <c r="A268" s="158"/>
      <c r="B268" s="25"/>
      <c r="C268" s="21" t="s">
        <v>146</v>
      </c>
      <c r="D268" s="21" t="s">
        <v>151</v>
      </c>
      <c r="E268" s="21" t="s">
        <v>530</v>
      </c>
      <c r="F268" s="85" t="s">
        <v>325</v>
      </c>
      <c r="G268" s="103" t="s">
        <v>326</v>
      </c>
      <c r="H268" s="41">
        <f>350+22.6-10</f>
        <v>362.6</v>
      </c>
      <c r="I268" s="41">
        <v>275</v>
      </c>
      <c r="J268" s="41">
        <v>275</v>
      </c>
    </row>
    <row r="269" spans="1:10" ht="38.25">
      <c r="A269" s="158"/>
      <c r="B269" s="25"/>
      <c r="C269" s="21" t="s">
        <v>146</v>
      </c>
      <c r="D269" s="21" t="s">
        <v>151</v>
      </c>
      <c r="E269" s="21" t="s">
        <v>812</v>
      </c>
      <c r="F269" s="85"/>
      <c r="G269" s="54" t="s">
        <v>739</v>
      </c>
      <c r="H269" s="41">
        <f>H270</f>
        <v>184.4</v>
      </c>
      <c r="I269" s="41">
        <f t="shared" ref="I269:J269" si="113">I270</f>
        <v>0</v>
      </c>
      <c r="J269" s="41">
        <f t="shared" si="113"/>
        <v>0</v>
      </c>
    </row>
    <row r="270" spans="1:10" ht="38.25">
      <c r="A270" s="158"/>
      <c r="B270" s="25"/>
      <c r="C270" s="21" t="s">
        <v>146</v>
      </c>
      <c r="D270" s="21" t="s">
        <v>151</v>
      </c>
      <c r="E270" s="21" t="s">
        <v>812</v>
      </c>
      <c r="F270" s="85" t="s">
        <v>325</v>
      </c>
      <c r="G270" s="103" t="s">
        <v>326</v>
      </c>
      <c r="H270" s="41">
        <v>184.4</v>
      </c>
      <c r="I270" s="41">
        <v>0</v>
      </c>
      <c r="J270" s="41">
        <v>0</v>
      </c>
    </row>
    <row r="271" spans="1:10">
      <c r="A271" s="158"/>
      <c r="B271" s="25"/>
      <c r="C271" s="21" t="s">
        <v>146</v>
      </c>
      <c r="D271" s="21" t="s">
        <v>151</v>
      </c>
      <c r="E271" s="21" t="s">
        <v>813</v>
      </c>
      <c r="F271" s="85"/>
      <c r="G271" s="54" t="s">
        <v>798</v>
      </c>
      <c r="H271" s="41">
        <f>H272</f>
        <v>600</v>
      </c>
      <c r="I271" s="41">
        <f t="shared" ref="I271:J271" si="114">I272</f>
        <v>0</v>
      </c>
      <c r="J271" s="41">
        <f t="shared" si="114"/>
        <v>0</v>
      </c>
    </row>
    <row r="272" spans="1:10" ht="38.25">
      <c r="A272" s="158"/>
      <c r="B272" s="25"/>
      <c r="C272" s="21" t="s">
        <v>146</v>
      </c>
      <c r="D272" s="21" t="s">
        <v>151</v>
      </c>
      <c r="E272" s="21" t="s">
        <v>813</v>
      </c>
      <c r="F272" s="85" t="s">
        <v>325</v>
      </c>
      <c r="G272" s="103" t="s">
        <v>326</v>
      </c>
      <c r="H272" s="41">
        <v>600</v>
      </c>
      <c r="I272" s="41">
        <v>0</v>
      </c>
      <c r="J272" s="41">
        <v>0</v>
      </c>
    </row>
    <row r="273" spans="1:10" ht="64.5" customHeight="1">
      <c r="A273" s="158"/>
      <c r="B273" s="25"/>
      <c r="C273" s="21" t="s">
        <v>146</v>
      </c>
      <c r="D273" s="21" t="s">
        <v>151</v>
      </c>
      <c r="E273" s="51" t="s">
        <v>804</v>
      </c>
      <c r="F273" s="85"/>
      <c r="G273" s="103" t="s">
        <v>809</v>
      </c>
      <c r="H273" s="41">
        <f>H274+H276</f>
        <v>4224.2</v>
      </c>
      <c r="I273" s="41">
        <f t="shared" ref="I273:J273" si="115">I274+I276</f>
        <v>4224.2</v>
      </c>
      <c r="J273" s="41">
        <f t="shared" si="115"/>
        <v>4217.3</v>
      </c>
    </row>
    <row r="274" spans="1:10" ht="38.25">
      <c r="A274" s="158"/>
      <c r="B274" s="25"/>
      <c r="C274" s="21" t="s">
        <v>146</v>
      </c>
      <c r="D274" s="21" t="s">
        <v>151</v>
      </c>
      <c r="E274" s="51" t="s">
        <v>636</v>
      </c>
      <c r="F274" s="85"/>
      <c r="G274" s="103" t="s">
        <v>632</v>
      </c>
      <c r="H274" s="41">
        <f t="shared" ref="H274:J274" si="116">H275</f>
        <v>844.8</v>
      </c>
      <c r="I274" s="41">
        <f t="shared" si="116"/>
        <v>844.8</v>
      </c>
      <c r="J274" s="41">
        <f t="shared" si="116"/>
        <v>843.5</v>
      </c>
    </row>
    <row r="275" spans="1:10" ht="38.25">
      <c r="A275" s="158"/>
      <c r="B275" s="25"/>
      <c r="C275" s="21" t="s">
        <v>146</v>
      </c>
      <c r="D275" s="21" t="s">
        <v>151</v>
      </c>
      <c r="E275" s="51" t="s">
        <v>636</v>
      </c>
      <c r="F275" s="85" t="s">
        <v>325</v>
      </c>
      <c r="G275" s="103" t="s">
        <v>326</v>
      </c>
      <c r="H275" s="41">
        <v>844.8</v>
      </c>
      <c r="I275" s="41">
        <v>844.8</v>
      </c>
      <c r="J275" s="41">
        <v>843.5</v>
      </c>
    </row>
    <row r="276" spans="1:10" ht="51">
      <c r="A276" s="158"/>
      <c r="B276" s="25"/>
      <c r="C276" s="21" t="s">
        <v>146</v>
      </c>
      <c r="D276" s="21" t="s">
        <v>151</v>
      </c>
      <c r="E276" s="51" t="s">
        <v>637</v>
      </c>
      <c r="F276" s="85"/>
      <c r="G276" s="103" t="s">
        <v>629</v>
      </c>
      <c r="H276" s="41">
        <f t="shared" ref="H276:J276" si="117">H277</f>
        <v>3379.4</v>
      </c>
      <c r="I276" s="41">
        <f t="shared" si="117"/>
        <v>3379.4</v>
      </c>
      <c r="J276" s="41">
        <f t="shared" si="117"/>
        <v>3373.8</v>
      </c>
    </row>
    <row r="277" spans="1:10" ht="38.25">
      <c r="A277" s="158"/>
      <c r="B277" s="25"/>
      <c r="C277" s="21" t="s">
        <v>146</v>
      </c>
      <c r="D277" s="21" t="s">
        <v>151</v>
      </c>
      <c r="E277" s="51" t="s">
        <v>637</v>
      </c>
      <c r="F277" s="85" t="s">
        <v>325</v>
      </c>
      <c r="G277" s="103" t="s">
        <v>326</v>
      </c>
      <c r="H277" s="41">
        <v>3379.4</v>
      </c>
      <c r="I277" s="41">
        <v>3379.4</v>
      </c>
      <c r="J277" s="41">
        <v>3373.8</v>
      </c>
    </row>
    <row r="278" spans="1:10" ht="38.25">
      <c r="A278" s="158"/>
      <c r="B278" s="25"/>
      <c r="C278" s="73" t="s">
        <v>146</v>
      </c>
      <c r="D278" s="73" t="s">
        <v>151</v>
      </c>
      <c r="E278" s="5" t="s">
        <v>32</v>
      </c>
      <c r="F278" s="5"/>
      <c r="G278" s="53" t="s">
        <v>56</v>
      </c>
      <c r="H278" s="101">
        <f>H279</f>
        <v>50</v>
      </c>
      <c r="I278" s="101">
        <f t="shared" ref="I278:J278" si="118">I279</f>
        <v>0</v>
      </c>
      <c r="J278" s="101">
        <f t="shared" si="118"/>
        <v>0</v>
      </c>
    </row>
    <row r="279" spans="1:10" ht="38.25">
      <c r="A279" s="158"/>
      <c r="B279" s="25"/>
      <c r="C279" s="21" t="s">
        <v>146</v>
      </c>
      <c r="D279" s="21" t="s">
        <v>151</v>
      </c>
      <c r="E279" s="85" t="s">
        <v>592</v>
      </c>
      <c r="F279" s="16"/>
      <c r="G279" s="54" t="s">
        <v>593</v>
      </c>
      <c r="H279" s="41">
        <f>SUM(H280:H280)</f>
        <v>50</v>
      </c>
      <c r="I279" s="41">
        <f>SUM(I280:I280)</f>
        <v>0</v>
      </c>
      <c r="J279" s="41">
        <f>SUM(J280:J280)</f>
        <v>0</v>
      </c>
    </row>
    <row r="280" spans="1:10" ht="38.25">
      <c r="A280" s="158"/>
      <c r="B280" s="25"/>
      <c r="C280" s="21" t="s">
        <v>146</v>
      </c>
      <c r="D280" s="21" t="s">
        <v>151</v>
      </c>
      <c r="E280" s="85" t="s">
        <v>592</v>
      </c>
      <c r="F280" s="85" t="s">
        <v>325</v>
      </c>
      <c r="G280" s="103" t="s">
        <v>326</v>
      </c>
      <c r="H280" s="39">
        <v>50</v>
      </c>
      <c r="I280" s="39">
        <v>0</v>
      </c>
      <c r="J280" s="39">
        <v>0</v>
      </c>
    </row>
    <row r="281" spans="1:10" ht="25.5">
      <c r="A281" s="1"/>
      <c r="B281" s="25"/>
      <c r="C281" s="30" t="s">
        <v>146</v>
      </c>
      <c r="D281" s="30" t="s">
        <v>174</v>
      </c>
      <c r="E281" s="30"/>
      <c r="F281" s="30"/>
      <c r="G281" s="46" t="s">
        <v>4</v>
      </c>
      <c r="H281" s="40">
        <f>H282+H292+H309</f>
        <v>8613.5</v>
      </c>
      <c r="I281" s="40">
        <f>I282+I292</f>
        <v>920</v>
      </c>
      <c r="J281" s="40">
        <f t="shared" ref="J281" si="119">J282+J292</f>
        <v>920</v>
      </c>
    </row>
    <row r="282" spans="1:10" ht="51" customHeight="1">
      <c r="A282" s="1"/>
      <c r="B282" s="25"/>
      <c r="C282" s="16" t="s">
        <v>146</v>
      </c>
      <c r="D282" s="16" t="s">
        <v>174</v>
      </c>
      <c r="E282" s="73" t="s">
        <v>114</v>
      </c>
      <c r="F282" s="16"/>
      <c r="G282" s="53" t="s">
        <v>553</v>
      </c>
      <c r="H282" s="101">
        <f t="shared" ref="H282:J285" si="120">H283</f>
        <v>6703.7</v>
      </c>
      <c r="I282" s="101">
        <f t="shared" si="120"/>
        <v>200</v>
      </c>
      <c r="J282" s="101">
        <f t="shared" si="120"/>
        <v>200</v>
      </c>
    </row>
    <row r="283" spans="1:10" ht="38.25">
      <c r="A283" s="1"/>
      <c r="B283" s="25"/>
      <c r="C283" s="16" t="s">
        <v>146</v>
      </c>
      <c r="D283" s="16" t="s">
        <v>174</v>
      </c>
      <c r="E283" s="52" t="s">
        <v>233</v>
      </c>
      <c r="F283" s="16"/>
      <c r="G283" s="48" t="s">
        <v>232</v>
      </c>
      <c r="H283" s="41">
        <f t="shared" ref="H283:I283" si="121">H284+H287</f>
        <v>6703.7</v>
      </c>
      <c r="I283" s="41">
        <f t="shared" si="121"/>
        <v>200</v>
      </c>
      <c r="J283" s="41">
        <f t="shared" ref="J283" si="122">J284+J287</f>
        <v>200</v>
      </c>
    </row>
    <row r="284" spans="1:10" ht="76.5">
      <c r="A284" s="1"/>
      <c r="B284" s="25"/>
      <c r="C284" s="16" t="s">
        <v>146</v>
      </c>
      <c r="D284" s="16" t="s">
        <v>174</v>
      </c>
      <c r="E284" s="21" t="s">
        <v>380</v>
      </c>
      <c r="F284" s="16"/>
      <c r="G284" s="105" t="s">
        <v>486</v>
      </c>
      <c r="H284" s="41">
        <f t="shared" si="120"/>
        <v>157</v>
      </c>
      <c r="I284" s="41">
        <f t="shared" si="120"/>
        <v>164</v>
      </c>
      <c r="J284" s="41">
        <f t="shared" si="120"/>
        <v>164</v>
      </c>
    </row>
    <row r="285" spans="1:10" ht="51">
      <c r="A285" s="1"/>
      <c r="B285" s="25"/>
      <c r="C285" s="16" t="s">
        <v>146</v>
      </c>
      <c r="D285" s="16" t="s">
        <v>174</v>
      </c>
      <c r="E285" s="21" t="s">
        <v>235</v>
      </c>
      <c r="F285" s="30"/>
      <c r="G285" s="102" t="s">
        <v>234</v>
      </c>
      <c r="H285" s="41">
        <f t="shared" si="120"/>
        <v>157</v>
      </c>
      <c r="I285" s="41">
        <f t="shared" si="120"/>
        <v>164</v>
      </c>
      <c r="J285" s="41">
        <f t="shared" si="120"/>
        <v>164</v>
      </c>
    </row>
    <row r="286" spans="1:10" ht="38.25">
      <c r="A286" s="1"/>
      <c r="B286" s="25"/>
      <c r="C286" s="16" t="s">
        <v>146</v>
      </c>
      <c r="D286" s="16" t="s">
        <v>174</v>
      </c>
      <c r="E286" s="21" t="s">
        <v>235</v>
      </c>
      <c r="F286" s="85" t="s">
        <v>325</v>
      </c>
      <c r="G286" s="103" t="s">
        <v>326</v>
      </c>
      <c r="H286" s="39">
        <f>164-7</f>
        <v>157</v>
      </c>
      <c r="I286" s="39">
        <v>164</v>
      </c>
      <c r="J286" s="39">
        <v>164</v>
      </c>
    </row>
    <row r="287" spans="1:10" ht="25.5">
      <c r="A287" s="1"/>
      <c r="B287" s="25"/>
      <c r="C287" s="16" t="s">
        <v>146</v>
      </c>
      <c r="D287" s="16" t="s">
        <v>174</v>
      </c>
      <c r="E287" s="21" t="s">
        <v>616</v>
      </c>
      <c r="F287" s="85"/>
      <c r="G287" s="105" t="s">
        <v>612</v>
      </c>
      <c r="H287" s="41">
        <f>H288+H290</f>
        <v>6546.7</v>
      </c>
      <c r="I287" s="41">
        <f t="shared" ref="I287:J287" si="123">I288+I290</f>
        <v>36</v>
      </c>
      <c r="J287" s="41">
        <f t="shared" si="123"/>
        <v>36</v>
      </c>
    </row>
    <row r="288" spans="1:10" ht="38.25">
      <c r="A288" s="1"/>
      <c r="B288" s="25"/>
      <c r="C288" s="16" t="s">
        <v>146</v>
      </c>
      <c r="D288" s="16" t="s">
        <v>174</v>
      </c>
      <c r="E288" s="85" t="s">
        <v>611</v>
      </c>
      <c r="F288" s="30"/>
      <c r="G288" s="102" t="s">
        <v>242</v>
      </c>
      <c r="H288" s="41">
        <f>H289</f>
        <v>24</v>
      </c>
      <c r="I288" s="41">
        <f>I289</f>
        <v>36</v>
      </c>
      <c r="J288" s="41">
        <f>J289</f>
        <v>36</v>
      </c>
    </row>
    <row r="289" spans="1:10" ht="38.25">
      <c r="A289" s="158"/>
      <c r="B289" s="25"/>
      <c r="C289" s="16" t="s">
        <v>146</v>
      </c>
      <c r="D289" s="16" t="s">
        <v>174</v>
      </c>
      <c r="E289" s="85" t="s">
        <v>611</v>
      </c>
      <c r="F289" s="85" t="s">
        <v>325</v>
      </c>
      <c r="G289" s="103" t="s">
        <v>326</v>
      </c>
      <c r="H289" s="41">
        <f>36-12</f>
        <v>24</v>
      </c>
      <c r="I289" s="41">
        <v>36</v>
      </c>
      <c r="J289" s="41">
        <v>36</v>
      </c>
    </row>
    <row r="290" spans="1:10" ht="38.25">
      <c r="A290" s="158"/>
      <c r="B290" s="25"/>
      <c r="C290" s="16" t="s">
        <v>146</v>
      </c>
      <c r="D290" s="16" t="s">
        <v>174</v>
      </c>
      <c r="E290" s="85" t="s">
        <v>720</v>
      </c>
      <c r="F290" s="85"/>
      <c r="G290" s="103" t="s">
        <v>721</v>
      </c>
      <c r="H290" s="41">
        <f>H291</f>
        <v>6522.7</v>
      </c>
      <c r="I290" s="41">
        <f t="shared" ref="I290:J290" si="124">I291</f>
        <v>0</v>
      </c>
      <c r="J290" s="41">
        <f t="shared" si="124"/>
        <v>0</v>
      </c>
    </row>
    <row r="291" spans="1:10" ht="38.25">
      <c r="A291" s="158"/>
      <c r="B291" s="25"/>
      <c r="C291" s="16" t="s">
        <v>146</v>
      </c>
      <c r="D291" s="16" t="s">
        <v>174</v>
      </c>
      <c r="E291" s="85" t="s">
        <v>720</v>
      </c>
      <c r="F291" s="85" t="s">
        <v>325</v>
      </c>
      <c r="G291" s="103" t="s">
        <v>326</v>
      </c>
      <c r="H291" s="41">
        <f>430.7+6093.8-1.8</f>
        <v>6522.7</v>
      </c>
      <c r="I291" s="41">
        <v>0</v>
      </c>
      <c r="J291" s="41">
        <v>0</v>
      </c>
    </row>
    <row r="292" spans="1:10" ht="54.75" customHeight="1">
      <c r="A292" s="1"/>
      <c r="B292" s="25"/>
      <c r="C292" s="5" t="s">
        <v>146</v>
      </c>
      <c r="D292" s="5" t="s">
        <v>174</v>
      </c>
      <c r="E292" s="76">
        <v>400000000</v>
      </c>
      <c r="F292" s="16"/>
      <c r="G292" s="64" t="s">
        <v>532</v>
      </c>
      <c r="H292" s="101">
        <f t="shared" ref="H292:J292" si="125">H293</f>
        <v>1469.8</v>
      </c>
      <c r="I292" s="101">
        <f t="shared" si="125"/>
        <v>720</v>
      </c>
      <c r="J292" s="101">
        <f t="shared" si="125"/>
        <v>720</v>
      </c>
    </row>
    <row r="293" spans="1:10" ht="38.25">
      <c r="A293" s="1"/>
      <c r="B293" s="25"/>
      <c r="C293" s="47" t="s">
        <v>146</v>
      </c>
      <c r="D293" s="47" t="s">
        <v>174</v>
      </c>
      <c r="E293" s="75">
        <v>440000000</v>
      </c>
      <c r="F293" s="16"/>
      <c r="G293" s="48" t="s">
        <v>373</v>
      </c>
      <c r="H293" s="98">
        <f t="shared" ref="H293:I293" si="126">H294+H297+H302</f>
        <v>1469.8</v>
      </c>
      <c r="I293" s="98">
        <f t="shared" si="126"/>
        <v>720</v>
      </c>
      <c r="J293" s="98">
        <f t="shared" ref="J293" si="127">J294+J297+J302</f>
        <v>720</v>
      </c>
    </row>
    <row r="294" spans="1:10" ht="25.5">
      <c r="A294" s="158"/>
      <c r="B294" s="25"/>
      <c r="C294" s="16" t="s">
        <v>146</v>
      </c>
      <c r="D294" s="16" t="s">
        <v>174</v>
      </c>
      <c r="E294" s="74">
        <v>440100000</v>
      </c>
      <c r="F294" s="16"/>
      <c r="G294" s="103" t="s">
        <v>701</v>
      </c>
      <c r="H294" s="104">
        <f t="shared" ref="H294:J295" si="128">H295</f>
        <v>50</v>
      </c>
      <c r="I294" s="104">
        <f t="shared" si="128"/>
        <v>0</v>
      </c>
      <c r="J294" s="104">
        <f t="shared" si="128"/>
        <v>0</v>
      </c>
    </row>
    <row r="295" spans="1:10" ht="61.5" customHeight="1">
      <c r="A295" s="158"/>
      <c r="B295" s="25"/>
      <c r="C295" s="16" t="s">
        <v>146</v>
      </c>
      <c r="D295" s="16" t="s">
        <v>174</v>
      </c>
      <c r="E295" s="74" t="s">
        <v>700</v>
      </c>
      <c r="F295" s="16"/>
      <c r="G295" s="105" t="s">
        <v>702</v>
      </c>
      <c r="H295" s="104">
        <f t="shared" si="128"/>
        <v>50</v>
      </c>
      <c r="I295" s="104">
        <f t="shared" si="128"/>
        <v>0</v>
      </c>
      <c r="J295" s="104">
        <f t="shared" si="128"/>
        <v>0</v>
      </c>
    </row>
    <row r="296" spans="1:10" ht="38.25">
      <c r="A296" s="158"/>
      <c r="B296" s="25"/>
      <c r="C296" s="16" t="s">
        <v>146</v>
      </c>
      <c r="D296" s="16" t="s">
        <v>174</v>
      </c>
      <c r="E296" s="74" t="s">
        <v>700</v>
      </c>
      <c r="F296" s="85" t="s">
        <v>325</v>
      </c>
      <c r="G296" s="103" t="s">
        <v>326</v>
      </c>
      <c r="H296" s="104">
        <v>50</v>
      </c>
      <c r="I296" s="104">
        <v>0</v>
      </c>
      <c r="J296" s="104">
        <v>0</v>
      </c>
    </row>
    <row r="297" spans="1:10" ht="51">
      <c r="A297" s="1"/>
      <c r="B297" s="25"/>
      <c r="C297" s="16" t="s">
        <v>146</v>
      </c>
      <c r="D297" s="16" t="s">
        <v>174</v>
      </c>
      <c r="E297" s="74">
        <v>440200000</v>
      </c>
      <c r="F297" s="85"/>
      <c r="G297" s="103" t="s">
        <v>357</v>
      </c>
      <c r="H297" s="41">
        <f>H298+H300</f>
        <v>479.8</v>
      </c>
      <c r="I297" s="41">
        <f>I298+I300</f>
        <v>20</v>
      </c>
      <c r="J297" s="41">
        <f>J298+J300</f>
        <v>20</v>
      </c>
    </row>
    <row r="298" spans="1:10" ht="25.5">
      <c r="A298" s="1"/>
      <c r="B298" s="25"/>
      <c r="C298" s="16" t="s">
        <v>146</v>
      </c>
      <c r="D298" s="16" t="s">
        <v>174</v>
      </c>
      <c r="E298" s="74" t="s">
        <v>643</v>
      </c>
      <c r="F298" s="85"/>
      <c r="G298" s="103" t="s">
        <v>331</v>
      </c>
      <c r="H298" s="41">
        <f>H299</f>
        <v>30</v>
      </c>
      <c r="I298" s="41">
        <f>I299</f>
        <v>7</v>
      </c>
      <c r="J298" s="41">
        <f>J299</f>
        <v>7</v>
      </c>
    </row>
    <row r="299" spans="1:10" ht="38.25">
      <c r="A299" s="1"/>
      <c r="B299" s="25"/>
      <c r="C299" s="16" t="s">
        <v>146</v>
      </c>
      <c r="D299" s="16" t="s">
        <v>174</v>
      </c>
      <c r="E299" s="74" t="s">
        <v>643</v>
      </c>
      <c r="F299" s="85" t="s">
        <v>325</v>
      </c>
      <c r="G299" s="103" t="s">
        <v>326</v>
      </c>
      <c r="H299" s="41">
        <f>20+10</f>
        <v>30</v>
      </c>
      <c r="I299" s="41">
        <v>7</v>
      </c>
      <c r="J299" s="41">
        <v>7</v>
      </c>
    </row>
    <row r="300" spans="1:10" ht="67.5" customHeight="1">
      <c r="A300" s="1"/>
      <c r="B300" s="25"/>
      <c r="C300" s="16" t="s">
        <v>146</v>
      </c>
      <c r="D300" s="16" t="s">
        <v>174</v>
      </c>
      <c r="E300" s="74" t="s">
        <v>644</v>
      </c>
      <c r="F300" s="85"/>
      <c r="G300" s="103" t="s">
        <v>822</v>
      </c>
      <c r="H300" s="41">
        <f>H301</f>
        <v>449.8</v>
      </c>
      <c r="I300" s="41">
        <f>I301</f>
        <v>13</v>
      </c>
      <c r="J300" s="41">
        <f>J301</f>
        <v>13</v>
      </c>
    </row>
    <row r="301" spans="1:10" ht="63.75">
      <c r="A301" s="1"/>
      <c r="B301" s="25"/>
      <c r="C301" s="16" t="s">
        <v>146</v>
      </c>
      <c r="D301" s="16" t="s">
        <v>174</v>
      </c>
      <c r="E301" s="74" t="s">
        <v>644</v>
      </c>
      <c r="F301" s="16" t="s">
        <v>15</v>
      </c>
      <c r="G301" s="103" t="s">
        <v>663</v>
      </c>
      <c r="H301" s="41">
        <f>500-50.2</f>
        <v>449.8</v>
      </c>
      <c r="I301" s="41">
        <v>13</v>
      </c>
      <c r="J301" s="41">
        <v>13</v>
      </c>
    </row>
    <row r="302" spans="1:10" ht="25.5">
      <c r="A302" s="1"/>
      <c r="B302" s="25"/>
      <c r="C302" s="16" t="s">
        <v>146</v>
      </c>
      <c r="D302" s="16" t="s">
        <v>174</v>
      </c>
      <c r="E302" s="74">
        <v>440300000</v>
      </c>
      <c r="F302" s="85"/>
      <c r="G302" s="103" t="s">
        <v>594</v>
      </c>
      <c r="H302" s="41">
        <f>H303+H305+H307</f>
        <v>940</v>
      </c>
      <c r="I302" s="41">
        <f t="shared" ref="I302:J302" si="129">I303+I305+I307</f>
        <v>700</v>
      </c>
      <c r="J302" s="41">
        <f t="shared" si="129"/>
        <v>700</v>
      </c>
    </row>
    <row r="303" spans="1:10" ht="51">
      <c r="A303" s="1"/>
      <c r="B303" s="25"/>
      <c r="C303" s="16" t="s">
        <v>146</v>
      </c>
      <c r="D303" s="16" t="s">
        <v>174</v>
      </c>
      <c r="E303" s="74" t="s">
        <v>645</v>
      </c>
      <c r="F303" s="16"/>
      <c r="G303" s="103" t="s">
        <v>697</v>
      </c>
      <c r="H303" s="41">
        <f t="shared" ref="H303:J303" si="130">H304</f>
        <v>140</v>
      </c>
      <c r="I303" s="41">
        <f t="shared" si="130"/>
        <v>100</v>
      </c>
      <c r="J303" s="41">
        <f t="shared" si="130"/>
        <v>100</v>
      </c>
    </row>
    <row r="304" spans="1:10" ht="63.75">
      <c r="A304" s="1"/>
      <c r="B304" s="25"/>
      <c r="C304" s="16" t="s">
        <v>146</v>
      </c>
      <c r="D304" s="16" t="s">
        <v>174</v>
      </c>
      <c r="E304" s="74" t="s">
        <v>645</v>
      </c>
      <c r="F304" s="16" t="s">
        <v>15</v>
      </c>
      <c r="G304" s="103" t="s">
        <v>663</v>
      </c>
      <c r="H304" s="41">
        <f>150-10</f>
        <v>140</v>
      </c>
      <c r="I304" s="41">
        <v>100</v>
      </c>
      <c r="J304" s="41">
        <v>100</v>
      </c>
    </row>
    <row r="305" spans="1:10" ht="89.25">
      <c r="A305" s="158"/>
      <c r="B305" s="25"/>
      <c r="C305" s="16" t="s">
        <v>146</v>
      </c>
      <c r="D305" s="16" t="s">
        <v>174</v>
      </c>
      <c r="E305" s="74" t="s">
        <v>726</v>
      </c>
      <c r="F305" s="16"/>
      <c r="G305" s="103" t="s">
        <v>934</v>
      </c>
      <c r="H305" s="41">
        <f t="shared" ref="H305:J307" si="131">H306</f>
        <v>100</v>
      </c>
      <c r="I305" s="41">
        <f t="shared" si="131"/>
        <v>100</v>
      </c>
      <c r="J305" s="41">
        <f t="shared" si="131"/>
        <v>100</v>
      </c>
    </row>
    <row r="306" spans="1:10" ht="63.75">
      <c r="A306" s="158"/>
      <c r="B306" s="25"/>
      <c r="C306" s="16" t="s">
        <v>146</v>
      </c>
      <c r="D306" s="16" t="s">
        <v>174</v>
      </c>
      <c r="E306" s="74" t="s">
        <v>726</v>
      </c>
      <c r="F306" s="16" t="s">
        <v>15</v>
      </c>
      <c r="G306" s="103" t="s">
        <v>508</v>
      </c>
      <c r="H306" s="41">
        <v>100</v>
      </c>
      <c r="I306" s="41">
        <v>100</v>
      </c>
      <c r="J306" s="41">
        <v>100</v>
      </c>
    </row>
    <row r="307" spans="1:10" ht="89.25">
      <c r="A307" s="158"/>
      <c r="B307" s="25"/>
      <c r="C307" s="16" t="s">
        <v>146</v>
      </c>
      <c r="D307" s="16" t="s">
        <v>174</v>
      </c>
      <c r="E307" s="74" t="s">
        <v>727</v>
      </c>
      <c r="F307" s="16"/>
      <c r="G307" s="103" t="s">
        <v>728</v>
      </c>
      <c r="H307" s="41">
        <f t="shared" si="131"/>
        <v>700</v>
      </c>
      <c r="I307" s="41">
        <f t="shared" si="131"/>
        <v>500</v>
      </c>
      <c r="J307" s="41">
        <f t="shared" si="131"/>
        <v>500</v>
      </c>
    </row>
    <row r="308" spans="1:10" ht="63.75">
      <c r="A308" s="158"/>
      <c r="B308" s="25"/>
      <c r="C308" s="16" t="s">
        <v>146</v>
      </c>
      <c r="D308" s="16" t="s">
        <v>174</v>
      </c>
      <c r="E308" s="74" t="s">
        <v>727</v>
      </c>
      <c r="F308" s="16" t="s">
        <v>15</v>
      </c>
      <c r="G308" s="103" t="s">
        <v>508</v>
      </c>
      <c r="H308" s="41">
        <v>700</v>
      </c>
      <c r="I308" s="41">
        <v>500</v>
      </c>
      <c r="J308" s="41">
        <v>500</v>
      </c>
    </row>
    <row r="309" spans="1:10" ht="63.75">
      <c r="A309" s="158"/>
      <c r="B309" s="25"/>
      <c r="C309" s="5" t="s">
        <v>146</v>
      </c>
      <c r="D309" s="5" t="s">
        <v>174</v>
      </c>
      <c r="E309" s="73" t="s">
        <v>203</v>
      </c>
      <c r="F309" s="16"/>
      <c r="G309" s="63" t="s">
        <v>542</v>
      </c>
      <c r="H309" s="101">
        <f t="shared" ref="H309:J310" si="132">H310</f>
        <v>440</v>
      </c>
      <c r="I309" s="101">
        <f t="shared" si="132"/>
        <v>0</v>
      </c>
      <c r="J309" s="101">
        <f t="shared" si="132"/>
        <v>0</v>
      </c>
    </row>
    <row r="310" spans="1:10" ht="51">
      <c r="A310" s="158"/>
      <c r="B310" s="25"/>
      <c r="C310" s="47" t="s">
        <v>146</v>
      </c>
      <c r="D310" s="47" t="s">
        <v>174</v>
      </c>
      <c r="E310" s="21" t="s">
        <v>204</v>
      </c>
      <c r="F310" s="16"/>
      <c r="G310" s="48" t="s">
        <v>205</v>
      </c>
      <c r="H310" s="98">
        <f t="shared" si="132"/>
        <v>440</v>
      </c>
      <c r="I310" s="98">
        <f t="shared" si="132"/>
        <v>0</v>
      </c>
      <c r="J310" s="98">
        <f t="shared" si="132"/>
        <v>0</v>
      </c>
    </row>
    <row r="311" spans="1:10" ht="51">
      <c r="A311" s="158"/>
      <c r="B311" s="25"/>
      <c r="C311" s="16" t="s">
        <v>146</v>
      </c>
      <c r="D311" s="16" t="s">
        <v>174</v>
      </c>
      <c r="E311" s="21" t="s">
        <v>316</v>
      </c>
      <c r="F311" s="16"/>
      <c r="G311" s="105" t="s">
        <v>538</v>
      </c>
      <c r="H311" s="104">
        <f>H312+H314</f>
        <v>440</v>
      </c>
      <c r="I311" s="104">
        <f t="shared" ref="I311:J311" si="133">I312+I314</f>
        <v>0</v>
      </c>
      <c r="J311" s="104">
        <f t="shared" si="133"/>
        <v>0</v>
      </c>
    </row>
    <row r="312" spans="1:10" ht="51">
      <c r="A312" s="158"/>
      <c r="B312" s="25"/>
      <c r="C312" s="16" t="s">
        <v>146</v>
      </c>
      <c r="D312" s="16" t="s">
        <v>174</v>
      </c>
      <c r="E312" s="74" t="s">
        <v>536</v>
      </c>
      <c r="F312" s="16"/>
      <c r="G312" s="105" t="s">
        <v>598</v>
      </c>
      <c r="H312" s="39">
        <f>H313</f>
        <v>300</v>
      </c>
      <c r="I312" s="39">
        <f>I313</f>
        <v>0</v>
      </c>
      <c r="J312" s="39">
        <f>J313</f>
        <v>0</v>
      </c>
    </row>
    <row r="313" spans="1:10" ht="38.25">
      <c r="A313" s="158"/>
      <c r="B313" s="25"/>
      <c r="C313" s="16" t="s">
        <v>146</v>
      </c>
      <c r="D313" s="16" t="s">
        <v>174</v>
      </c>
      <c r="E313" s="74" t="s">
        <v>536</v>
      </c>
      <c r="F313" s="85" t="s">
        <v>325</v>
      </c>
      <c r="G313" s="103" t="s">
        <v>326</v>
      </c>
      <c r="H313" s="39">
        <v>300</v>
      </c>
      <c r="I313" s="39">
        <v>0</v>
      </c>
      <c r="J313" s="39">
        <v>0</v>
      </c>
    </row>
    <row r="314" spans="1:10" ht="76.5">
      <c r="A314" s="158"/>
      <c r="B314" s="25"/>
      <c r="C314" s="16" t="s">
        <v>146</v>
      </c>
      <c r="D314" s="16" t="s">
        <v>174</v>
      </c>
      <c r="E314" s="74" t="s">
        <v>537</v>
      </c>
      <c r="F314" s="16"/>
      <c r="G314" s="105" t="s">
        <v>599</v>
      </c>
      <c r="H314" s="39">
        <f>H315</f>
        <v>140</v>
      </c>
      <c r="I314" s="39">
        <f>I315</f>
        <v>0</v>
      </c>
      <c r="J314" s="39">
        <f>J315</f>
        <v>0</v>
      </c>
    </row>
    <row r="315" spans="1:10" ht="38.25">
      <c r="A315" s="158"/>
      <c r="B315" s="25"/>
      <c r="C315" s="16" t="s">
        <v>146</v>
      </c>
      <c r="D315" s="16" t="s">
        <v>174</v>
      </c>
      <c r="E315" s="74" t="s">
        <v>537</v>
      </c>
      <c r="F315" s="85" t="s">
        <v>325</v>
      </c>
      <c r="G315" s="103" t="s">
        <v>326</v>
      </c>
      <c r="H315" s="109">
        <v>140</v>
      </c>
      <c r="I315" s="39">
        <v>0</v>
      </c>
      <c r="J315" s="39">
        <v>0</v>
      </c>
    </row>
    <row r="316" spans="1:10" ht="30">
      <c r="A316" s="1"/>
      <c r="B316" s="25"/>
      <c r="C316" s="4" t="s">
        <v>147</v>
      </c>
      <c r="D316" s="3"/>
      <c r="E316" s="3"/>
      <c r="F316" s="3"/>
      <c r="G316" s="49" t="s">
        <v>72</v>
      </c>
      <c r="H316" s="97">
        <f>H317+H349+H406</f>
        <v>146278.9</v>
      </c>
      <c r="I316" s="97">
        <f>I317+I349+I406</f>
        <v>37600.5</v>
      </c>
      <c r="J316" s="97">
        <f>J317+J349+J406</f>
        <v>32584.100000000002</v>
      </c>
    </row>
    <row r="317" spans="1:10" ht="14.25">
      <c r="A317" s="1"/>
      <c r="B317" s="25"/>
      <c r="C317" s="30" t="s">
        <v>147</v>
      </c>
      <c r="D317" s="30" t="s">
        <v>140</v>
      </c>
      <c r="E317" s="30"/>
      <c r="F317" s="30"/>
      <c r="G317" s="27" t="s">
        <v>60</v>
      </c>
      <c r="H317" s="40">
        <f>H318+H344</f>
        <v>10030.6</v>
      </c>
      <c r="I317" s="40">
        <f t="shared" ref="I317:J317" si="134">I318</f>
        <v>6296.5</v>
      </c>
      <c r="J317" s="40">
        <f t="shared" si="134"/>
        <v>6296.5</v>
      </c>
    </row>
    <row r="318" spans="1:10" ht="51">
      <c r="A318" s="1"/>
      <c r="B318" s="25"/>
      <c r="C318" s="5" t="s">
        <v>147</v>
      </c>
      <c r="D318" s="5" t="s">
        <v>140</v>
      </c>
      <c r="E318" s="73" t="s">
        <v>219</v>
      </c>
      <c r="F318" s="16"/>
      <c r="G318" s="53" t="s">
        <v>535</v>
      </c>
      <c r="H318" s="101">
        <f>H319+H326+H337</f>
        <v>7003.1</v>
      </c>
      <c r="I318" s="101">
        <f>I319+I326+I337</f>
        <v>6296.5</v>
      </c>
      <c r="J318" s="101">
        <f>J319+J326+J337</f>
        <v>6296.5</v>
      </c>
    </row>
    <row r="319" spans="1:10" ht="38.25">
      <c r="A319" s="1"/>
      <c r="B319" s="25"/>
      <c r="C319" s="47" t="s">
        <v>147</v>
      </c>
      <c r="D319" s="47" t="s">
        <v>140</v>
      </c>
      <c r="E319" s="52" t="s">
        <v>213</v>
      </c>
      <c r="F319" s="16"/>
      <c r="G319" s="48" t="s">
        <v>462</v>
      </c>
      <c r="H319" s="98">
        <f t="shared" ref="H319:I319" si="135">H320+H323</f>
        <v>760.1</v>
      </c>
      <c r="I319" s="98">
        <f t="shared" si="135"/>
        <v>454.8</v>
      </c>
      <c r="J319" s="98">
        <f t="shared" ref="J319" si="136">J320+J323</f>
        <v>454.8</v>
      </c>
    </row>
    <row r="320" spans="1:10" ht="38.25">
      <c r="A320" s="1"/>
      <c r="B320" s="25"/>
      <c r="C320" s="85" t="s">
        <v>147</v>
      </c>
      <c r="D320" s="85" t="s">
        <v>140</v>
      </c>
      <c r="E320" s="21" t="s">
        <v>398</v>
      </c>
      <c r="F320" s="16"/>
      <c r="G320" s="105" t="s">
        <v>400</v>
      </c>
      <c r="H320" s="98">
        <f t="shared" ref="H320:J320" si="137">H321</f>
        <v>186.9</v>
      </c>
      <c r="I320" s="98">
        <f t="shared" si="137"/>
        <v>100</v>
      </c>
      <c r="J320" s="98">
        <f t="shared" si="137"/>
        <v>100</v>
      </c>
    </row>
    <row r="321" spans="1:10" ht="39" customHeight="1">
      <c r="A321" s="1"/>
      <c r="B321" s="25"/>
      <c r="C321" s="16" t="s">
        <v>147</v>
      </c>
      <c r="D321" s="16" t="s">
        <v>140</v>
      </c>
      <c r="E321" s="80" t="s">
        <v>208</v>
      </c>
      <c r="F321" s="3"/>
      <c r="G321" s="103" t="s">
        <v>399</v>
      </c>
      <c r="H321" s="41">
        <f>SUM(H322:H322)</f>
        <v>186.9</v>
      </c>
      <c r="I321" s="41">
        <f>SUM(I322:I322)</f>
        <v>100</v>
      </c>
      <c r="J321" s="41">
        <f>SUM(J322:J322)</f>
        <v>100</v>
      </c>
    </row>
    <row r="322" spans="1:10" ht="38.25">
      <c r="A322" s="1"/>
      <c r="B322" s="25"/>
      <c r="C322" s="16" t="s">
        <v>147</v>
      </c>
      <c r="D322" s="16" t="s">
        <v>140</v>
      </c>
      <c r="E322" s="80" t="s">
        <v>208</v>
      </c>
      <c r="F322" s="85" t="s">
        <v>325</v>
      </c>
      <c r="G322" s="103" t="s">
        <v>326</v>
      </c>
      <c r="H322" s="41">
        <f>100+23.9+63</f>
        <v>186.9</v>
      </c>
      <c r="I322" s="41">
        <v>100</v>
      </c>
      <c r="J322" s="41">
        <v>100</v>
      </c>
    </row>
    <row r="323" spans="1:10" ht="38.25">
      <c r="A323" s="1"/>
      <c r="B323" s="25"/>
      <c r="C323" s="16" t="s">
        <v>147</v>
      </c>
      <c r="D323" s="16" t="s">
        <v>140</v>
      </c>
      <c r="E323" s="21" t="s">
        <v>463</v>
      </c>
      <c r="F323" s="21"/>
      <c r="G323" s="105" t="s">
        <v>401</v>
      </c>
      <c r="H323" s="98">
        <f t="shared" ref="H323:J324" si="138">H324</f>
        <v>573.20000000000005</v>
      </c>
      <c r="I323" s="98">
        <f t="shared" si="138"/>
        <v>354.8</v>
      </c>
      <c r="J323" s="98">
        <f t="shared" si="138"/>
        <v>354.8</v>
      </c>
    </row>
    <row r="324" spans="1:10" ht="25.5">
      <c r="A324" s="1"/>
      <c r="B324" s="25"/>
      <c r="C324" s="16" t="s">
        <v>147</v>
      </c>
      <c r="D324" s="16" t="s">
        <v>140</v>
      </c>
      <c r="E324" s="80" t="s">
        <v>209</v>
      </c>
      <c r="F324" s="3"/>
      <c r="G324" s="103" t="s">
        <v>596</v>
      </c>
      <c r="H324" s="41">
        <f t="shared" si="138"/>
        <v>573.20000000000005</v>
      </c>
      <c r="I324" s="41">
        <f t="shared" si="138"/>
        <v>354.8</v>
      </c>
      <c r="J324" s="41">
        <f t="shared" si="138"/>
        <v>354.8</v>
      </c>
    </row>
    <row r="325" spans="1:10" ht="38.25">
      <c r="A325" s="1"/>
      <c r="B325" s="25"/>
      <c r="C325" s="16" t="s">
        <v>147</v>
      </c>
      <c r="D325" s="16" t="s">
        <v>140</v>
      </c>
      <c r="E325" s="80" t="s">
        <v>209</v>
      </c>
      <c r="F325" s="85" t="s">
        <v>325</v>
      </c>
      <c r="G325" s="103" t="s">
        <v>326</v>
      </c>
      <c r="H325" s="39">
        <f>783.3-23.9-186.2</f>
        <v>573.20000000000005</v>
      </c>
      <c r="I325" s="39">
        <v>354.8</v>
      </c>
      <c r="J325" s="39">
        <v>354.8</v>
      </c>
    </row>
    <row r="326" spans="1:10" ht="38.25">
      <c r="A326" s="1"/>
      <c r="B326" s="25"/>
      <c r="C326" s="47" t="s">
        <v>147</v>
      </c>
      <c r="D326" s="47" t="s">
        <v>140</v>
      </c>
      <c r="E326" s="52" t="s">
        <v>214</v>
      </c>
      <c r="F326" s="16"/>
      <c r="G326" s="48" t="s">
        <v>210</v>
      </c>
      <c r="H326" s="98">
        <f>H327+H332</f>
        <v>3343.7</v>
      </c>
      <c r="I326" s="98">
        <f>I327+I332</f>
        <v>2406</v>
      </c>
      <c r="J326" s="98">
        <f>J327+J332</f>
        <v>2406</v>
      </c>
    </row>
    <row r="327" spans="1:10" ht="25.5">
      <c r="A327" s="1"/>
      <c r="B327" s="25"/>
      <c r="C327" s="16" t="s">
        <v>147</v>
      </c>
      <c r="D327" s="16" t="s">
        <v>140</v>
      </c>
      <c r="E327" s="21" t="s">
        <v>402</v>
      </c>
      <c r="F327" s="85"/>
      <c r="G327" s="105" t="s">
        <v>403</v>
      </c>
      <c r="H327" s="98">
        <f>H328+H330</f>
        <v>120</v>
      </c>
      <c r="I327" s="98">
        <f t="shared" ref="I327:J327" si="139">I328+I330</f>
        <v>120</v>
      </c>
      <c r="J327" s="98">
        <f t="shared" si="139"/>
        <v>120</v>
      </c>
    </row>
    <row r="328" spans="1:10" ht="127.5">
      <c r="A328" s="1"/>
      <c r="B328" s="25"/>
      <c r="C328" s="16" t="s">
        <v>147</v>
      </c>
      <c r="D328" s="16" t="s">
        <v>140</v>
      </c>
      <c r="E328" s="80" t="s">
        <v>589</v>
      </c>
      <c r="F328" s="3"/>
      <c r="G328" s="103" t="s">
        <v>404</v>
      </c>
      <c r="H328" s="41">
        <f t="shared" ref="H328:J328" si="140">H329</f>
        <v>100</v>
      </c>
      <c r="I328" s="41">
        <f t="shared" si="140"/>
        <v>100</v>
      </c>
      <c r="J328" s="41">
        <f t="shared" si="140"/>
        <v>100</v>
      </c>
    </row>
    <row r="329" spans="1:10" ht="38.25">
      <c r="A329" s="1"/>
      <c r="B329" s="25"/>
      <c r="C329" s="16" t="s">
        <v>147</v>
      </c>
      <c r="D329" s="16" t="s">
        <v>140</v>
      </c>
      <c r="E329" s="80" t="s">
        <v>589</v>
      </c>
      <c r="F329" s="85" t="s">
        <v>325</v>
      </c>
      <c r="G329" s="103" t="s">
        <v>326</v>
      </c>
      <c r="H329" s="41">
        <v>100</v>
      </c>
      <c r="I329" s="41">
        <v>100</v>
      </c>
      <c r="J329" s="41">
        <v>100</v>
      </c>
    </row>
    <row r="330" spans="1:10" ht="39" customHeight="1">
      <c r="A330" s="1"/>
      <c r="B330" s="25"/>
      <c r="C330" s="16" t="s">
        <v>147</v>
      </c>
      <c r="D330" s="16" t="s">
        <v>140</v>
      </c>
      <c r="E330" s="80" t="s">
        <v>211</v>
      </c>
      <c r="F330" s="16"/>
      <c r="G330" s="103" t="s">
        <v>464</v>
      </c>
      <c r="H330" s="41">
        <f t="shared" ref="H330:J330" si="141">H331</f>
        <v>20</v>
      </c>
      <c r="I330" s="41">
        <f t="shared" si="141"/>
        <v>20</v>
      </c>
      <c r="J330" s="41">
        <f t="shared" si="141"/>
        <v>20</v>
      </c>
    </row>
    <row r="331" spans="1:10" ht="38.25">
      <c r="A331" s="1"/>
      <c r="B331" s="25"/>
      <c r="C331" s="16" t="s">
        <v>147</v>
      </c>
      <c r="D331" s="16" t="s">
        <v>140</v>
      </c>
      <c r="E331" s="80" t="s">
        <v>211</v>
      </c>
      <c r="F331" s="85" t="s">
        <v>325</v>
      </c>
      <c r="G331" s="103" t="s">
        <v>326</v>
      </c>
      <c r="H331" s="41">
        <v>20</v>
      </c>
      <c r="I331" s="41">
        <v>20</v>
      </c>
      <c r="J331" s="41">
        <v>20</v>
      </c>
    </row>
    <row r="332" spans="1:10" ht="25.5">
      <c r="A332" s="1"/>
      <c r="B332" s="25"/>
      <c r="C332" s="16" t="s">
        <v>147</v>
      </c>
      <c r="D332" s="16" t="s">
        <v>140</v>
      </c>
      <c r="E332" s="21" t="s">
        <v>405</v>
      </c>
      <c r="F332" s="85"/>
      <c r="G332" s="105" t="s">
        <v>406</v>
      </c>
      <c r="H332" s="41">
        <f>H333+H335</f>
        <v>3223.7</v>
      </c>
      <c r="I332" s="41">
        <f t="shared" ref="I332:J332" si="142">I333+I335</f>
        <v>2286</v>
      </c>
      <c r="J332" s="41">
        <f t="shared" si="142"/>
        <v>2286</v>
      </c>
    </row>
    <row r="333" spans="1:10" ht="51" customHeight="1">
      <c r="A333" s="1"/>
      <c r="B333" s="25"/>
      <c r="C333" s="16" t="s">
        <v>147</v>
      </c>
      <c r="D333" s="16" t="s">
        <v>140</v>
      </c>
      <c r="E333" s="21" t="s">
        <v>407</v>
      </c>
      <c r="F333" s="85"/>
      <c r="G333" s="105" t="s">
        <v>493</v>
      </c>
      <c r="H333" s="41">
        <f t="shared" ref="H333:J333" si="143">H334</f>
        <v>3223.7</v>
      </c>
      <c r="I333" s="41">
        <f t="shared" si="143"/>
        <v>1286</v>
      </c>
      <c r="J333" s="41">
        <f t="shared" si="143"/>
        <v>1286</v>
      </c>
    </row>
    <row r="334" spans="1:10">
      <c r="A334" s="1"/>
      <c r="B334" s="25"/>
      <c r="C334" s="16" t="s">
        <v>147</v>
      </c>
      <c r="D334" s="16" t="s">
        <v>140</v>
      </c>
      <c r="E334" s="21" t="s">
        <v>407</v>
      </c>
      <c r="F334" s="115" t="s">
        <v>382</v>
      </c>
      <c r="G334" s="112" t="s">
        <v>410</v>
      </c>
      <c r="H334" s="114">
        <f>2098+1125.7</f>
        <v>3223.7</v>
      </c>
      <c r="I334" s="114">
        <v>1286</v>
      </c>
      <c r="J334" s="114">
        <v>1286</v>
      </c>
    </row>
    <row r="335" spans="1:10" ht="25.5">
      <c r="A335" s="1"/>
      <c r="B335" s="25"/>
      <c r="C335" s="16" t="s">
        <v>147</v>
      </c>
      <c r="D335" s="16" t="s">
        <v>140</v>
      </c>
      <c r="E335" s="21" t="s">
        <v>409</v>
      </c>
      <c r="F335" s="85"/>
      <c r="G335" s="105" t="s">
        <v>411</v>
      </c>
      <c r="H335" s="41">
        <f t="shared" ref="H335:J335" si="144">H336</f>
        <v>0</v>
      </c>
      <c r="I335" s="41">
        <f t="shared" si="144"/>
        <v>1000</v>
      </c>
      <c r="J335" s="41">
        <f t="shared" si="144"/>
        <v>1000</v>
      </c>
    </row>
    <row r="336" spans="1:10" ht="38.25">
      <c r="A336" s="1"/>
      <c r="B336" s="25"/>
      <c r="C336" s="16" t="s">
        <v>147</v>
      </c>
      <c r="D336" s="16" t="s">
        <v>140</v>
      </c>
      <c r="E336" s="21" t="s">
        <v>409</v>
      </c>
      <c r="F336" s="85" t="s">
        <v>325</v>
      </c>
      <c r="G336" s="103" t="s">
        <v>326</v>
      </c>
      <c r="H336" s="39">
        <v>0</v>
      </c>
      <c r="I336" s="114">
        <v>1000</v>
      </c>
      <c r="J336" s="114">
        <v>1000</v>
      </c>
    </row>
    <row r="337" spans="1:10" ht="51">
      <c r="A337" s="1"/>
      <c r="B337" s="25"/>
      <c r="C337" s="16" t="s">
        <v>147</v>
      </c>
      <c r="D337" s="16" t="s">
        <v>140</v>
      </c>
      <c r="E337" s="52" t="s">
        <v>215</v>
      </c>
      <c r="F337" s="16"/>
      <c r="G337" s="48" t="s">
        <v>212</v>
      </c>
      <c r="H337" s="98">
        <f t="shared" ref="H337:I337" si="145">H338+H341</f>
        <v>2899.3</v>
      </c>
      <c r="I337" s="98">
        <f t="shared" si="145"/>
        <v>3435.7</v>
      </c>
      <c r="J337" s="98">
        <f t="shared" ref="J337" si="146">J338+J341</f>
        <v>3435.7</v>
      </c>
    </row>
    <row r="338" spans="1:10" ht="76.5">
      <c r="A338" s="1"/>
      <c r="B338" s="25"/>
      <c r="C338" s="16" t="s">
        <v>147</v>
      </c>
      <c r="D338" s="16" t="s">
        <v>140</v>
      </c>
      <c r="E338" s="21" t="s">
        <v>412</v>
      </c>
      <c r="F338" s="85"/>
      <c r="G338" s="105" t="s">
        <v>487</v>
      </c>
      <c r="H338" s="104">
        <f t="shared" ref="H338:J339" si="147">H339</f>
        <v>1635.7</v>
      </c>
      <c r="I338" s="104">
        <f t="shared" si="147"/>
        <v>1635.7</v>
      </c>
      <c r="J338" s="104">
        <f t="shared" si="147"/>
        <v>1635.7</v>
      </c>
    </row>
    <row r="339" spans="1:10" ht="63.75">
      <c r="A339" s="1"/>
      <c r="B339" s="25"/>
      <c r="C339" s="85" t="s">
        <v>147</v>
      </c>
      <c r="D339" s="85" t="s">
        <v>140</v>
      </c>
      <c r="E339" s="80" t="s">
        <v>217</v>
      </c>
      <c r="F339" s="16"/>
      <c r="G339" s="103" t="s">
        <v>216</v>
      </c>
      <c r="H339" s="41">
        <f t="shared" si="147"/>
        <v>1635.7</v>
      </c>
      <c r="I339" s="41">
        <f t="shared" si="147"/>
        <v>1635.7</v>
      </c>
      <c r="J339" s="41">
        <f t="shared" si="147"/>
        <v>1635.7</v>
      </c>
    </row>
    <row r="340" spans="1:10" ht="38.25">
      <c r="A340" s="1"/>
      <c r="B340" s="25"/>
      <c r="C340" s="16" t="s">
        <v>147</v>
      </c>
      <c r="D340" s="16" t="s">
        <v>140</v>
      </c>
      <c r="E340" s="80" t="s">
        <v>217</v>
      </c>
      <c r="F340" s="85" t="s">
        <v>325</v>
      </c>
      <c r="G340" s="103" t="s">
        <v>326</v>
      </c>
      <c r="H340" s="158">
        <v>1635.7</v>
      </c>
      <c r="I340" s="158">
        <v>1635.7</v>
      </c>
      <c r="J340" s="158">
        <v>1635.7</v>
      </c>
    </row>
    <row r="341" spans="1:10" ht="63.75">
      <c r="A341" s="1"/>
      <c r="B341" s="25"/>
      <c r="C341" s="16" t="s">
        <v>147</v>
      </c>
      <c r="D341" s="16" t="s">
        <v>140</v>
      </c>
      <c r="E341" s="21" t="s">
        <v>413</v>
      </c>
      <c r="F341" s="16"/>
      <c r="G341" s="105" t="s">
        <v>818</v>
      </c>
      <c r="H341" s="41">
        <f>H342</f>
        <v>1263.5999999999999</v>
      </c>
      <c r="I341" s="41">
        <f t="shared" ref="I341:J341" si="148">I342</f>
        <v>1800</v>
      </c>
      <c r="J341" s="41">
        <f t="shared" si="148"/>
        <v>1800</v>
      </c>
    </row>
    <row r="342" spans="1:10" ht="63.75">
      <c r="A342" s="1"/>
      <c r="B342" s="25"/>
      <c r="C342" s="16" t="s">
        <v>147</v>
      </c>
      <c r="D342" s="16" t="s">
        <v>140</v>
      </c>
      <c r="E342" s="80" t="s">
        <v>218</v>
      </c>
      <c r="F342" s="16"/>
      <c r="G342" s="103" t="s">
        <v>474</v>
      </c>
      <c r="H342" s="41">
        <f t="shared" ref="H342:J342" si="149">H343</f>
        <v>1263.5999999999999</v>
      </c>
      <c r="I342" s="41">
        <f t="shared" si="149"/>
        <v>1800</v>
      </c>
      <c r="J342" s="41">
        <f t="shared" si="149"/>
        <v>1800</v>
      </c>
    </row>
    <row r="343" spans="1:10" ht="38.25">
      <c r="A343" s="1"/>
      <c r="B343" s="25"/>
      <c r="C343" s="16" t="s">
        <v>147</v>
      </c>
      <c r="D343" s="16" t="s">
        <v>140</v>
      </c>
      <c r="E343" s="80" t="s">
        <v>218</v>
      </c>
      <c r="F343" s="85" t="s">
        <v>325</v>
      </c>
      <c r="G343" s="103" t="s">
        <v>326</v>
      </c>
      <c r="H343" s="41">
        <f>1800-130-20-249-137.4</f>
        <v>1263.5999999999999</v>
      </c>
      <c r="I343" s="41">
        <v>1800</v>
      </c>
      <c r="J343" s="41">
        <v>1800</v>
      </c>
    </row>
    <row r="344" spans="1:10" ht="51">
      <c r="A344" s="158"/>
      <c r="B344" s="25"/>
      <c r="C344" s="5" t="s">
        <v>147</v>
      </c>
      <c r="D344" s="5" t="s">
        <v>140</v>
      </c>
      <c r="E344" s="73" t="s">
        <v>87</v>
      </c>
      <c r="F344" s="16"/>
      <c r="G344" s="53" t="s">
        <v>550</v>
      </c>
      <c r="H344" s="101">
        <f>H345</f>
        <v>3027.5</v>
      </c>
      <c r="I344" s="101">
        <f t="shared" ref="I344:J347" si="150">I345</f>
        <v>0</v>
      </c>
      <c r="J344" s="101">
        <f t="shared" si="150"/>
        <v>0</v>
      </c>
    </row>
    <row r="345" spans="1:10" ht="54" customHeight="1">
      <c r="A345" s="158"/>
      <c r="B345" s="25"/>
      <c r="C345" s="16" t="s">
        <v>147</v>
      </c>
      <c r="D345" s="16" t="s">
        <v>140</v>
      </c>
      <c r="E345" s="21" t="s">
        <v>769</v>
      </c>
      <c r="F345" s="85"/>
      <c r="G345" s="60" t="s">
        <v>770</v>
      </c>
      <c r="H345" s="41">
        <f>H346</f>
        <v>3027.5</v>
      </c>
      <c r="I345" s="41">
        <f t="shared" si="150"/>
        <v>0</v>
      </c>
      <c r="J345" s="41">
        <f t="shared" si="150"/>
        <v>0</v>
      </c>
    </row>
    <row r="346" spans="1:10" ht="25.5">
      <c r="A346" s="158"/>
      <c r="B346" s="25"/>
      <c r="C346" s="16" t="s">
        <v>147</v>
      </c>
      <c r="D346" s="16" t="s">
        <v>140</v>
      </c>
      <c r="E346" s="80">
        <v>1260300000</v>
      </c>
      <c r="F346" s="85"/>
      <c r="G346" s="103" t="s">
        <v>863</v>
      </c>
      <c r="H346" s="41">
        <f>H347</f>
        <v>3027.5</v>
      </c>
      <c r="I346" s="41">
        <f t="shared" si="150"/>
        <v>0</v>
      </c>
      <c r="J346" s="41">
        <f t="shared" si="150"/>
        <v>0</v>
      </c>
    </row>
    <row r="347" spans="1:10" ht="51">
      <c r="A347" s="158"/>
      <c r="B347" s="25"/>
      <c r="C347" s="16" t="s">
        <v>147</v>
      </c>
      <c r="D347" s="85" t="s">
        <v>140</v>
      </c>
      <c r="E347" s="21" t="s">
        <v>865</v>
      </c>
      <c r="F347" s="85"/>
      <c r="G347" s="103" t="s">
        <v>940</v>
      </c>
      <c r="H347" s="41">
        <f>H348</f>
        <v>3027.5</v>
      </c>
      <c r="I347" s="41">
        <f t="shared" si="150"/>
        <v>0</v>
      </c>
      <c r="J347" s="41">
        <f t="shared" si="150"/>
        <v>0</v>
      </c>
    </row>
    <row r="348" spans="1:10" ht="38.25">
      <c r="A348" s="158"/>
      <c r="B348" s="25"/>
      <c r="C348" s="16" t="s">
        <v>147</v>
      </c>
      <c r="D348" s="85" t="s">
        <v>140</v>
      </c>
      <c r="E348" s="21" t="s">
        <v>865</v>
      </c>
      <c r="F348" s="85" t="s">
        <v>325</v>
      </c>
      <c r="G348" s="103" t="s">
        <v>326</v>
      </c>
      <c r="H348" s="41">
        <f>481.4+2500+527.5-481.4</f>
        <v>3027.5</v>
      </c>
      <c r="I348" s="41">
        <v>0</v>
      </c>
      <c r="J348" s="41">
        <v>0</v>
      </c>
    </row>
    <row r="349" spans="1:10" ht="14.25">
      <c r="A349" s="1"/>
      <c r="B349" s="25"/>
      <c r="C349" s="30" t="s">
        <v>147</v>
      </c>
      <c r="D349" s="30" t="s">
        <v>141</v>
      </c>
      <c r="E349" s="30"/>
      <c r="F349" s="30"/>
      <c r="G349" s="27" t="s">
        <v>59</v>
      </c>
      <c r="H349" s="40">
        <f>H350+H355+H389+H401</f>
        <v>42928.3</v>
      </c>
      <c r="I349" s="40">
        <f>I350+I355+I389</f>
        <v>5369.2000000000007</v>
      </c>
      <c r="J349" s="40">
        <f>J350+J355+J389</f>
        <v>4484.7</v>
      </c>
    </row>
    <row r="350" spans="1:10" ht="51.75" customHeight="1">
      <c r="A350" s="1"/>
      <c r="B350" s="25"/>
      <c r="C350" s="5" t="s">
        <v>147</v>
      </c>
      <c r="D350" s="5" t="s">
        <v>141</v>
      </c>
      <c r="E350" s="76">
        <v>400000000</v>
      </c>
      <c r="F350" s="16"/>
      <c r="G350" s="64" t="s">
        <v>532</v>
      </c>
      <c r="H350" s="101">
        <f t="shared" ref="H350:J350" si="151">H351</f>
        <v>10688</v>
      </c>
      <c r="I350" s="101">
        <f t="shared" si="151"/>
        <v>2847.8</v>
      </c>
      <c r="J350" s="101">
        <f t="shared" si="151"/>
        <v>2847.8</v>
      </c>
    </row>
    <row r="351" spans="1:10" ht="127.5">
      <c r="A351" s="1"/>
      <c r="B351" s="25"/>
      <c r="C351" s="16" t="s">
        <v>147</v>
      </c>
      <c r="D351" s="16" t="s">
        <v>141</v>
      </c>
      <c r="E351" s="75">
        <v>430000000</v>
      </c>
      <c r="F351" s="16"/>
      <c r="G351" s="46" t="s">
        <v>466</v>
      </c>
      <c r="H351" s="98">
        <f>H353</f>
        <v>10688</v>
      </c>
      <c r="I351" s="98">
        <f>I353</f>
        <v>2847.8</v>
      </c>
      <c r="J351" s="98">
        <f>J353</f>
        <v>2847.8</v>
      </c>
    </row>
    <row r="352" spans="1:10" ht="38.25">
      <c r="A352" s="1"/>
      <c r="B352" s="25"/>
      <c r="C352" s="16" t="s">
        <v>147</v>
      </c>
      <c r="D352" s="16" t="s">
        <v>141</v>
      </c>
      <c r="E352" s="74">
        <v>430200000</v>
      </c>
      <c r="F352" s="16"/>
      <c r="G352" s="102" t="s">
        <v>454</v>
      </c>
      <c r="H352" s="41">
        <f t="shared" ref="H352:J353" si="152">H353</f>
        <v>10688</v>
      </c>
      <c r="I352" s="41">
        <f t="shared" si="152"/>
        <v>2847.8</v>
      </c>
      <c r="J352" s="41">
        <f t="shared" si="152"/>
        <v>2847.8</v>
      </c>
    </row>
    <row r="353" spans="1:10" ht="63.75">
      <c r="A353" s="1"/>
      <c r="B353" s="25"/>
      <c r="C353" s="16" t="s">
        <v>147</v>
      </c>
      <c r="D353" s="16" t="s">
        <v>141</v>
      </c>
      <c r="E353" s="74" t="s">
        <v>243</v>
      </c>
      <c r="F353" s="16"/>
      <c r="G353" s="103" t="s">
        <v>248</v>
      </c>
      <c r="H353" s="41">
        <f t="shared" si="152"/>
        <v>10688</v>
      </c>
      <c r="I353" s="41">
        <f t="shared" si="152"/>
        <v>2847.8</v>
      </c>
      <c r="J353" s="41">
        <f t="shared" si="152"/>
        <v>2847.8</v>
      </c>
    </row>
    <row r="354" spans="1:10" ht="63.75">
      <c r="A354" s="1"/>
      <c r="B354" s="25"/>
      <c r="C354" s="16" t="s">
        <v>147</v>
      </c>
      <c r="D354" s="16" t="s">
        <v>141</v>
      </c>
      <c r="E354" s="74" t="s">
        <v>243</v>
      </c>
      <c r="F354" s="16" t="s">
        <v>15</v>
      </c>
      <c r="G354" s="103" t="s">
        <v>663</v>
      </c>
      <c r="H354" s="39">
        <f>3900+2129.4+1000+1000+2608.4+50.2</f>
        <v>10688</v>
      </c>
      <c r="I354" s="39">
        <v>2847.8</v>
      </c>
      <c r="J354" s="39">
        <v>2847.8</v>
      </c>
    </row>
    <row r="355" spans="1:10" ht="63.75">
      <c r="A355" s="1"/>
      <c r="B355" s="25"/>
      <c r="C355" s="5" t="s">
        <v>147</v>
      </c>
      <c r="D355" s="5" t="s">
        <v>141</v>
      </c>
      <c r="E355" s="83" t="s">
        <v>44</v>
      </c>
      <c r="F355" s="16"/>
      <c r="G355" s="53" t="s">
        <v>543</v>
      </c>
      <c r="H355" s="101">
        <f>H356+H363+H367+H383</f>
        <v>30332.100000000002</v>
      </c>
      <c r="I355" s="101">
        <f>I356+I363+I367+I383</f>
        <v>600</v>
      </c>
      <c r="J355" s="101">
        <f>J356+J363+J367+J383</f>
        <v>650</v>
      </c>
    </row>
    <row r="356" spans="1:10" ht="38.25">
      <c r="A356" s="1"/>
      <c r="B356" s="25"/>
      <c r="C356" s="16" t="s">
        <v>147</v>
      </c>
      <c r="D356" s="16" t="s">
        <v>141</v>
      </c>
      <c r="E356" s="52" t="s">
        <v>45</v>
      </c>
      <c r="F356" s="16"/>
      <c r="G356" s="48" t="s">
        <v>273</v>
      </c>
      <c r="H356" s="98">
        <f>H357+H360</f>
        <v>440</v>
      </c>
      <c r="I356" s="98">
        <f>I357+I360</f>
        <v>500</v>
      </c>
      <c r="J356" s="98">
        <f>J357+J360</f>
        <v>500</v>
      </c>
    </row>
    <row r="357" spans="1:10" ht="39">
      <c r="A357" s="1"/>
      <c r="B357" s="25"/>
      <c r="C357" s="16" t="s">
        <v>147</v>
      </c>
      <c r="D357" s="16" t="s">
        <v>141</v>
      </c>
      <c r="E357" s="21" t="s">
        <v>360</v>
      </c>
      <c r="F357" s="3"/>
      <c r="G357" s="105" t="s">
        <v>359</v>
      </c>
      <c r="H357" s="98">
        <f t="shared" ref="H357:J358" si="153">H358</f>
        <v>426</v>
      </c>
      <c r="I357" s="98">
        <f t="shared" si="153"/>
        <v>460</v>
      </c>
      <c r="J357" s="98">
        <f t="shared" si="153"/>
        <v>460</v>
      </c>
    </row>
    <row r="358" spans="1:10" ht="25.5">
      <c r="A358" s="1"/>
      <c r="B358" s="25"/>
      <c r="C358" s="16" t="s">
        <v>147</v>
      </c>
      <c r="D358" s="16" t="s">
        <v>141</v>
      </c>
      <c r="E358" s="21" t="s">
        <v>300</v>
      </c>
      <c r="F358" s="16"/>
      <c r="G358" s="103" t="s">
        <v>274</v>
      </c>
      <c r="H358" s="41">
        <f t="shared" si="153"/>
        <v>426</v>
      </c>
      <c r="I358" s="41">
        <f t="shared" si="153"/>
        <v>460</v>
      </c>
      <c r="J358" s="41">
        <f t="shared" si="153"/>
        <v>460</v>
      </c>
    </row>
    <row r="359" spans="1:10" ht="38.25">
      <c r="A359" s="1"/>
      <c r="B359" s="25"/>
      <c r="C359" s="16" t="s">
        <v>147</v>
      </c>
      <c r="D359" s="16" t="s">
        <v>141</v>
      </c>
      <c r="E359" s="21" t="s">
        <v>300</v>
      </c>
      <c r="F359" s="85" t="s">
        <v>325</v>
      </c>
      <c r="G359" s="103" t="s">
        <v>326</v>
      </c>
      <c r="H359" s="41">
        <v>426</v>
      </c>
      <c r="I359" s="39">
        <v>460</v>
      </c>
      <c r="J359" s="39">
        <v>460</v>
      </c>
    </row>
    <row r="360" spans="1:10" ht="38.25">
      <c r="A360" s="1"/>
      <c r="B360" s="25"/>
      <c r="C360" s="16" t="s">
        <v>147</v>
      </c>
      <c r="D360" s="16" t="s">
        <v>141</v>
      </c>
      <c r="E360" s="21" t="s">
        <v>583</v>
      </c>
      <c r="F360" s="85"/>
      <c r="G360" s="105" t="s">
        <v>582</v>
      </c>
      <c r="H360" s="41">
        <f>H361</f>
        <v>14</v>
      </c>
      <c r="I360" s="41">
        <f t="shared" ref="I360:J360" si="154">I361</f>
        <v>40</v>
      </c>
      <c r="J360" s="41">
        <f t="shared" si="154"/>
        <v>40</v>
      </c>
    </row>
    <row r="361" spans="1:10" ht="25.5">
      <c r="A361" s="1"/>
      <c r="B361" s="25"/>
      <c r="C361" s="16" t="s">
        <v>147</v>
      </c>
      <c r="D361" s="16" t="s">
        <v>141</v>
      </c>
      <c r="E361" s="21" t="s">
        <v>580</v>
      </c>
      <c r="F361" s="16"/>
      <c r="G361" s="103" t="s">
        <v>581</v>
      </c>
      <c r="H361" s="41">
        <f t="shared" ref="H361:J363" si="155">H362</f>
        <v>14</v>
      </c>
      <c r="I361" s="41">
        <f t="shared" si="155"/>
        <v>40</v>
      </c>
      <c r="J361" s="41">
        <f t="shared" si="155"/>
        <v>40</v>
      </c>
    </row>
    <row r="362" spans="1:10" ht="38.25">
      <c r="A362" s="1"/>
      <c r="B362" s="25"/>
      <c r="C362" s="16" t="s">
        <v>147</v>
      </c>
      <c r="D362" s="16" t="s">
        <v>141</v>
      </c>
      <c r="E362" s="21" t="s">
        <v>580</v>
      </c>
      <c r="F362" s="85" t="s">
        <v>325</v>
      </c>
      <c r="G362" s="103" t="s">
        <v>326</v>
      </c>
      <c r="H362" s="41">
        <v>14</v>
      </c>
      <c r="I362" s="41">
        <v>40</v>
      </c>
      <c r="J362" s="41">
        <v>40</v>
      </c>
    </row>
    <row r="363" spans="1:10" ht="38.25">
      <c r="A363" s="158"/>
      <c r="B363" s="25"/>
      <c r="C363" s="47" t="s">
        <v>147</v>
      </c>
      <c r="D363" s="47" t="s">
        <v>141</v>
      </c>
      <c r="E363" s="52" t="s">
        <v>677</v>
      </c>
      <c r="F363" s="16"/>
      <c r="G363" s="60" t="s">
        <v>678</v>
      </c>
      <c r="H363" s="41">
        <f>H364</f>
        <v>0</v>
      </c>
      <c r="I363" s="41">
        <f t="shared" si="155"/>
        <v>0</v>
      </c>
      <c r="J363" s="41">
        <f t="shared" si="155"/>
        <v>50</v>
      </c>
    </row>
    <row r="364" spans="1:10" ht="38.25">
      <c r="A364" s="158"/>
      <c r="B364" s="25"/>
      <c r="C364" s="16" t="s">
        <v>147</v>
      </c>
      <c r="D364" s="16" t="s">
        <v>141</v>
      </c>
      <c r="E364" s="21" t="s">
        <v>821</v>
      </c>
      <c r="F364" s="16"/>
      <c r="G364" s="105" t="s">
        <v>732</v>
      </c>
      <c r="H364" s="41">
        <f>H365</f>
        <v>0</v>
      </c>
      <c r="I364" s="41">
        <f t="shared" ref="I364:J364" si="156">I365</f>
        <v>0</v>
      </c>
      <c r="J364" s="41">
        <f t="shared" si="156"/>
        <v>50</v>
      </c>
    </row>
    <row r="365" spans="1:10" ht="76.5">
      <c r="A365" s="158"/>
      <c r="B365" s="25"/>
      <c r="C365" s="16" t="s">
        <v>147</v>
      </c>
      <c r="D365" s="16" t="s">
        <v>141</v>
      </c>
      <c r="E365" s="21" t="s">
        <v>731</v>
      </c>
      <c r="F365" s="16"/>
      <c r="G365" s="103" t="s">
        <v>733</v>
      </c>
      <c r="H365" s="41">
        <f>H366</f>
        <v>0</v>
      </c>
      <c r="I365" s="41">
        <f>I366</f>
        <v>0</v>
      </c>
      <c r="J365" s="41">
        <f>J366</f>
        <v>50</v>
      </c>
    </row>
    <row r="366" spans="1:10" ht="38.25">
      <c r="A366" s="158"/>
      <c r="B366" s="25"/>
      <c r="C366" s="16" t="s">
        <v>147</v>
      </c>
      <c r="D366" s="16" t="s">
        <v>141</v>
      </c>
      <c r="E366" s="21" t="s">
        <v>731</v>
      </c>
      <c r="F366" s="85" t="s">
        <v>325</v>
      </c>
      <c r="G366" s="103" t="s">
        <v>326</v>
      </c>
      <c r="H366" s="41">
        <v>0</v>
      </c>
      <c r="I366" s="41">
        <v>0</v>
      </c>
      <c r="J366" s="41">
        <v>50</v>
      </c>
    </row>
    <row r="367" spans="1:10" ht="25.5">
      <c r="A367" s="1"/>
      <c r="B367" s="25"/>
      <c r="C367" s="16" t="s">
        <v>147</v>
      </c>
      <c r="D367" s="16" t="s">
        <v>141</v>
      </c>
      <c r="E367" s="52" t="s">
        <v>46</v>
      </c>
      <c r="F367" s="16"/>
      <c r="G367" s="46" t="s">
        <v>621</v>
      </c>
      <c r="H367" s="98">
        <f>H368+H375+H380</f>
        <v>26330.400000000001</v>
      </c>
      <c r="I367" s="98">
        <f t="shared" ref="I367:J367" si="157">I368+I375+I380</f>
        <v>100</v>
      </c>
      <c r="J367" s="98">
        <f t="shared" si="157"/>
        <v>100</v>
      </c>
    </row>
    <row r="368" spans="1:10" ht="38.25">
      <c r="A368" s="1"/>
      <c r="B368" s="25"/>
      <c r="C368" s="16" t="s">
        <v>147</v>
      </c>
      <c r="D368" s="16" t="s">
        <v>141</v>
      </c>
      <c r="E368" s="21" t="s">
        <v>361</v>
      </c>
      <c r="F368" s="16"/>
      <c r="G368" s="105" t="s">
        <v>473</v>
      </c>
      <c r="H368" s="104">
        <f>H369+H371+H373</f>
        <v>3876.7</v>
      </c>
      <c r="I368" s="104">
        <f t="shared" ref="I368:J368" si="158">I369+I371+I373</f>
        <v>100</v>
      </c>
      <c r="J368" s="104">
        <f t="shared" si="158"/>
        <v>100</v>
      </c>
    </row>
    <row r="369" spans="1:10" ht="38.25">
      <c r="A369" s="1"/>
      <c r="B369" s="25"/>
      <c r="C369" s="16" t="s">
        <v>147</v>
      </c>
      <c r="D369" s="16" t="s">
        <v>141</v>
      </c>
      <c r="E369" s="21" t="s">
        <v>47</v>
      </c>
      <c r="F369" s="16"/>
      <c r="G369" s="102" t="s">
        <v>278</v>
      </c>
      <c r="H369" s="41">
        <f>H370</f>
        <v>93</v>
      </c>
      <c r="I369" s="41">
        <f>I370</f>
        <v>100</v>
      </c>
      <c r="J369" s="41">
        <f>J370</f>
        <v>100</v>
      </c>
    </row>
    <row r="370" spans="1:10" ht="38.25">
      <c r="A370" s="1"/>
      <c r="B370" s="25"/>
      <c r="C370" s="16" t="s">
        <v>147</v>
      </c>
      <c r="D370" s="16" t="s">
        <v>141</v>
      </c>
      <c r="E370" s="21" t="s">
        <v>47</v>
      </c>
      <c r="F370" s="85" t="s">
        <v>325</v>
      </c>
      <c r="G370" s="103" t="s">
        <v>326</v>
      </c>
      <c r="H370" s="41">
        <f>100-7</f>
        <v>93</v>
      </c>
      <c r="I370" s="41">
        <v>100</v>
      </c>
      <c r="J370" s="41">
        <v>100</v>
      </c>
    </row>
    <row r="371" spans="1:10" ht="25.5">
      <c r="A371" s="158"/>
      <c r="B371" s="25"/>
      <c r="C371" s="16" t="s">
        <v>147</v>
      </c>
      <c r="D371" s="16" t="s">
        <v>141</v>
      </c>
      <c r="E371" s="21" t="s">
        <v>793</v>
      </c>
      <c r="F371" s="16"/>
      <c r="G371" s="103" t="s">
        <v>794</v>
      </c>
      <c r="H371" s="41">
        <f>H372</f>
        <v>3246.2</v>
      </c>
      <c r="I371" s="41">
        <f>I372</f>
        <v>0</v>
      </c>
      <c r="J371" s="41">
        <f>J372</f>
        <v>0</v>
      </c>
    </row>
    <row r="372" spans="1:10" ht="38.25">
      <c r="A372" s="158"/>
      <c r="B372" s="25"/>
      <c r="C372" s="16" t="s">
        <v>147</v>
      </c>
      <c r="D372" s="16" t="s">
        <v>141</v>
      </c>
      <c r="E372" s="21" t="s">
        <v>793</v>
      </c>
      <c r="F372" s="85" t="s">
        <v>325</v>
      </c>
      <c r="G372" s="103" t="s">
        <v>326</v>
      </c>
      <c r="H372" s="41">
        <f>72.8+1543.4+1630</f>
        <v>3246.2</v>
      </c>
      <c r="I372" s="41">
        <v>0</v>
      </c>
      <c r="J372" s="41">
        <v>0</v>
      </c>
    </row>
    <row r="373" spans="1:10" ht="63.75">
      <c r="A373" s="158"/>
      <c r="B373" s="25"/>
      <c r="C373" s="16" t="s">
        <v>147</v>
      </c>
      <c r="D373" s="16" t="s">
        <v>141</v>
      </c>
      <c r="E373" s="21" t="s">
        <v>920</v>
      </c>
      <c r="F373" s="85"/>
      <c r="G373" s="103" t="s">
        <v>935</v>
      </c>
      <c r="H373" s="41">
        <f>H374</f>
        <v>537.5</v>
      </c>
      <c r="I373" s="41">
        <f t="shared" ref="I373:J373" si="159">I374</f>
        <v>0</v>
      </c>
      <c r="J373" s="41">
        <f t="shared" si="159"/>
        <v>0</v>
      </c>
    </row>
    <row r="374" spans="1:10" ht="38.25">
      <c r="A374" s="158"/>
      <c r="B374" s="25"/>
      <c r="C374" s="16" t="s">
        <v>147</v>
      </c>
      <c r="D374" s="16" t="s">
        <v>141</v>
      </c>
      <c r="E374" s="21" t="s">
        <v>920</v>
      </c>
      <c r="F374" s="85" t="s">
        <v>325</v>
      </c>
      <c r="G374" s="103" t="s">
        <v>326</v>
      </c>
      <c r="H374" s="41">
        <f>149.5+350+38</f>
        <v>537.5</v>
      </c>
      <c r="I374" s="41">
        <v>0</v>
      </c>
      <c r="J374" s="41">
        <v>0</v>
      </c>
    </row>
    <row r="375" spans="1:10" ht="38.25">
      <c r="A375" s="158"/>
      <c r="B375" s="25"/>
      <c r="C375" s="16" t="s">
        <v>147</v>
      </c>
      <c r="D375" s="16" t="s">
        <v>141</v>
      </c>
      <c r="E375" s="21" t="s">
        <v>673</v>
      </c>
      <c r="F375" s="85"/>
      <c r="G375" s="105" t="s">
        <v>674</v>
      </c>
      <c r="H375" s="41">
        <f>H376+H378</f>
        <v>5111.3</v>
      </c>
      <c r="I375" s="41">
        <f t="shared" ref="I375:J375" si="160">I376+I378</f>
        <v>0</v>
      </c>
      <c r="J375" s="41">
        <f t="shared" si="160"/>
        <v>0</v>
      </c>
    </row>
    <row r="376" spans="1:10" ht="29.25" customHeight="1">
      <c r="A376" s="158"/>
      <c r="B376" s="25"/>
      <c r="C376" s="16" t="s">
        <v>147</v>
      </c>
      <c r="D376" s="16" t="s">
        <v>141</v>
      </c>
      <c r="E376" s="21" t="s">
        <v>675</v>
      </c>
      <c r="F376" s="16"/>
      <c r="G376" s="103" t="s">
        <v>676</v>
      </c>
      <c r="H376" s="113">
        <f>H377</f>
        <v>1022.3</v>
      </c>
      <c r="I376" s="41">
        <f t="shared" ref="I376:J376" si="161">I377</f>
        <v>0</v>
      </c>
      <c r="J376" s="41">
        <f t="shared" si="161"/>
        <v>0</v>
      </c>
    </row>
    <row r="377" spans="1:10" ht="38.25">
      <c r="A377" s="158"/>
      <c r="B377" s="25"/>
      <c r="C377" s="16" t="s">
        <v>147</v>
      </c>
      <c r="D377" s="16" t="s">
        <v>141</v>
      </c>
      <c r="E377" s="21" t="s">
        <v>675</v>
      </c>
      <c r="F377" s="85" t="s">
        <v>325</v>
      </c>
      <c r="G377" s="103" t="s">
        <v>326</v>
      </c>
      <c r="H377" s="113">
        <f>1525-502.7</f>
        <v>1022.3</v>
      </c>
      <c r="I377" s="41">
        <v>0</v>
      </c>
      <c r="J377" s="41">
        <v>0</v>
      </c>
    </row>
    <row r="378" spans="1:10" ht="42" customHeight="1">
      <c r="A378" s="158"/>
      <c r="B378" s="25"/>
      <c r="C378" s="16" t="s">
        <v>147</v>
      </c>
      <c r="D378" s="16" t="s">
        <v>141</v>
      </c>
      <c r="E378" s="21" t="s">
        <v>819</v>
      </c>
      <c r="F378" s="85"/>
      <c r="G378" s="103" t="s">
        <v>820</v>
      </c>
      <c r="H378" s="113">
        <f>H379</f>
        <v>4089</v>
      </c>
      <c r="I378" s="113">
        <f t="shared" ref="I378:J378" si="162">I379</f>
        <v>0</v>
      </c>
      <c r="J378" s="113">
        <f t="shared" si="162"/>
        <v>0</v>
      </c>
    </row>
    <row r="379" spans="1:10" ht="38.25">
      <c r="A379" s="158"/>
      <c r="B379" s="25"/>
      <c r="C379" s="16" t="s">
        <v>147</v>
      </c>
      <c r="D379" s="16" t="s">
        <v>141</v>
      </c>
      <c r="E379" s="21" t="s">
        <v>819</v>
      </c>
      <c r="F379" s="85" t="s">
        <v>325</v>
      </c>
      <c r="G379" s="103" t="s">
        <v>326</v>
      </c>
      <c r="H379" s="113">
        <v>4089</v>
      </c>
      <c r="I379" s="41">
        <v>0</v>
      </c>
      <c r="J379" s="41">
        <v>0</v>
      </c>
    </row>
    <row r="380" spans="1:10" ht="30" customHeight="1">
      <c r="A380" s="158"/>
      <c r="B380" s="25"/>
      <c r="C380" s="16" t="s">
        <v>147</v>
      </c>
      <c r="D380" s="16" t="s">
        <v>141</v>
      </c>
      <c r="E380" s="21" t="s">
        <v>684</v>
      </c>
      <c r="F380" s="85"/>
      <c r="G380" s="103" t="s">
        <v>685</v>
      </c>
      <c r="H380" s="41">
        <f t="shared" ref="H380:J380" si="163">H381</f>
        <v>17342.400000000001</v>
      </c>
      <c r="I380" s="41">
        <f t="shared" si="163"/>
        <v>0</v>
      </c>
      <c r="J380" s="41">
        <f t="shared" si="163"/>
        <v>0</v>
      </c>
    </row>
    <row r="381" spans="1:10" ht="25.5">
      <c r="A381" s="158"/>
      <c r="B381" s="25"/>
      <c r="C381" s="16" t="s">
        <v>147</v>
      </c>
      <c r="D381" s="16" t="s">
        <v>141</v>
      </c>
      <c r="E381" s="168" t="s">
        <v>682</v>
      </c>
      <c r="F381" s="85"/>
      <c r="G381" s="167" t="s">
        <v>683</v>
      </c>
      <c r="H381" s="41">
        <f t="shared" ref="H381:J381" si="164">H382</f>
        <v>17342.400000000001</v>
      </c>
      <c r="I381" s="41">
        <f t="shared" si="164"/>
        <v>0</v>
      </c>
      <c r="J381" s="41">
        <f t="shared" si="164"/>
        <v>0</v>
      </c>
    </row>
    <row r="382" spans="1:10">
      <c r="A382" s="158"/>
      <c r="B382" s="25"/>
      <c r="C382" s="16" t="s">
        <v>147</v>
      </c>
      <c r="D382" s="16" t="s">
        <v>141</v>
      </c>
      <c r="E382" s="51" t="s">
        <v>682</v>
      </c>
      <c r="F382" s="115" t="s">
        <v>382</v>
      </c>
      <c r="G382" s="112" t="s">
        <v>410</v>
      </c>
      <c r="H382" s="41">
        <f>1543.7+17984.4-2785.7+600</f>
        <v>17342.400000000001</v>
      </c>
      <c r="I382" s="41">
        <v>0</v>
      </c>
      <c r="J382" s="41">
        <v>0</v>
      </c>
    </row>
    <row r="383" spans="1:10" ht="51">
      <c r="A383" s="1"/>
      <c r="B383" s="25"/>
      <c r="C383" s="47" t="s">
        <v>147</v>
      </c>
      <c r="D383" s="47" t="s">
        <v>141</v>
      </c>
      <c r="E383" s="52" t="s">
        <v>275</v>
      </c>
      <c r="F383" s="16"/>
      <c r="G383" s="60" t="s">
        <v>301</v>
      </c>
      <c r="H383" s="98">
        <f t="shared" ref="H383:J384" si="165">H384</f>
        <v>3561.7000000000003</v>
      </c>
      <c r="I383" s="98">
        <f t="shared" si="165"/>
        <v>0</v>
      </c>
      <c r="J383" s="98">
        <f t="shared" si="165"/>
        <v>0</v>
      </c>
    </row>
    <row r="384" spans="1:10" ht="63.75">
      <c r="A384" s="1"/>
      <c r="B384" s="25"/>
      <c r="C384" s="16" t="s">
        <v>147</v>
      </c>
      <c r="D384" s="16" t="s">
        <v>141</v>
      </c>
      <c r="E384" s="21" t="s">
        <v>363</v>
      </c>
      <c r="F384" s="16"/>
      <c r="G384" s="105" t="s">
        <v>362</v>
      </c>
      <c r="H384" s="98">
        <f>H385+H387</f>
        <v>3561.7000000000003</v>
      </c>
      <c r="I384" s="98">
        <f t="shared" si="165"/>
        <v>0</v>
      </c>
      <c r="J384" s="98">
        <f t="shared" si="165"/>
        <v>0</v>
      </c>
    </row>
    <row r="385" spans="1:10" ht="51">
      <c r="A385" s="1"/>
      <c r="B385" s="25"/>
      <c r="C385" s="16" t="s">
        <v>147</v>
      </c>
      <c r="D385" s="16" t="s">
        <v>141</v>
      </c>
      <c r="E385" s="21" t="s">
        <v>279</v>
      </c>
      <c r="F385" s="85"/>
      <c r="G385" s="103" t="s">
        <v>609</v>
      </c>
      <c r="H385" s="41">
        <f>H386</f>
        <v>3151.8</v>
      </c>
      <c r="I385" s="41">
        <f t="shared" ref="I385:J385" si="166">I386</f>
        <v>0</v>
      </c>
      <c r="J385" s="41">
        <f t="shared" si="166"/>
        <v>0</v>
      </c>
    </row>
    <row r="386" spans="1:10" ht="38.25">
      <c r="A386" s="1"/>
      <c r="B386" s="25"/>
      <c r="C386" s="16" t="s">
        <v>147</v>
      </c>
      <c r="D386" s="16" t="s">
        <v>141</v>
      </c>
      <c r="E386" s="21" t="s">
        <v>279</v>
      </c>
      <c r="F386" s="85" t="s">
        <v>325</v>
      </c>
      <c r="G386" s="103" t="s">
        <v>326</v>
      </c>
      <c r="H386" s="41">
        <f>5738.8-2129.4-175.4-282.2</f>
        <v>3151.8</v>
      </c>
      <c r="I386" s="41">
        <v>0</v>
      </c>
      <c r="J386" s="41">
        <v>0</v>
      </c>
    </row>
    <row r="387" spans="1:10" ht="25.5">
      <c r="A387" s="158"/>
      <c r="B387" s="25"/>
      <c r="C387" s="16" t="s">
        <v>147</v>
      </c>
      <c r="D387" s="16" t="s">
        <v>141</v>
      </c>
      <c r="E387" s="21" t="s">
        <v>749</v>
      </c>
      <c r="F387" s="16"/>
      <c r="G387" s="103" t="s">
        <v>750</v>
      </c>
      <c r="H387" s="41">
        <f>H388</f>
        <v>409.9</v>
      </c>
      <c r="I387" s="41">
        <f t="shared" ref="I387:J387" si="167">I388</f>
        <v>0</v>
      </c>
      <c r="J387" s="41">
        <f t="shared" si="167"/>
        <v>0</v>
      </c>
    </row>
    <row r="388" spans="1:10" ht="38.25">
      <c r="A388" s="158"/>
      <c r="B388" s="25"/>
      <c r="C388" s="16" t="s">
        <v>147</v>
      </c>
      <c r="D388" s="16" t="s">
        <v>141</v>
      </c>
      <c r="E388" s="21" t="s">
        <v>749</v>
      </c>
      <c r="F388" s="85" t="s">
        <v>325</v>
      </c>
      <c r="G388" s="103" t="s">
        <v>326</v>
      </c>
      <c r="H388" s="41">
        <f>200+175.4-38+72.5</f>
        <v>409.9</v>
      </c>
      <c r="I388" s="41">
        <v>0</v>
      </c>
      <c r="J388" s="41">
        <v>0</v>
      </c>
    </row>
    <row r="389" spans="1:10" ht="63.75">
      <c r="A389" s="1"/>
      <c r="B389" s="25"/>
      <c r="C389" s="5" t="s">
        <v>147</v>
      </c>
      <c r="D389" s="5" t="s">
        <v>141</v>
      </c>
      <c r="E389" s="73" t="s">
        <v>203</v>
      </c>
      <c r="F389" s="16"/>
      <c r="G389" s="63" t="s">
        <v>542</v>
      </c>
      <c r="H389" s="101">
        <f t="shared" ref="H389:I389" si="168">H390+H397</f>
        <v>0</v>
      </c>
      <c r="I389" s="101">
        <f t="shared" si="168"/>
        <v>1921.4</v>
      </c>
      <c r="J389" s="101">
        <f t="shared" ref="J389" si="169">J390+J397</f>
        <v>986.9</v>
      </c>
    </row>
    <row r="390" spans="1:10" ht="77.25" customHeight="1">
      <c r="A390" s="1"/>
      <c r="B390" s="25"/>
      <c r="C390" s="47" t="s">
        <v>147</v>
      </c>
      <c r="D390" s="47" t="s">
        <v>141</v>
      </c>
      <c r="E390" s="52" t="s">
        <v>317</v>
      </c>
      <c r="F390" s="16"/>
      <c r="G390" s="48" t="s">
        <v>494</v>
      </c>
      <c r="H390" s="98">
        <f>H391+H394</f>
        <v>0</v>
      </c>
      <c r="I390" s="98">
        <f t="shared" ref="I390:J390" si="170">I391</f>
        <v>1055.9000000000001</v>
      </c>
      <c r="J390" s="98">
        <f t="shared" si="170"/>
        <v>0</v>
      </c>
    </row>
    <row r="391" spans="1:10" ht="78" customHeight="1">
      <c r="A391" s="1"/>
      <c r="B391" s="25"/>
      <c r="C391" s="16" t="s">
        <v>147</v>
      </c>
      <c r="D391" s="16" t="s">
        <v>141</v>
      </c>
      <c r="E391" s="21" t="s">
        <v>318</v>
      </c>
      <c r="F391" s="16"/>
      <c r="G391" s="105" t="s">
        <v>541</v>
      </c>
      <c r="H391" s="41">
        <f>H392</f>
        <v>0</v>
      </c>
      <c r="I391" s="41">
        <f t="shared" ref="I391:J391" si="171">I392+I395</f>
        <v>1055.9000000000001</v>
      </c>
      <c r="J391" s="41">
        <f t="shared" si="171"/>
        <v>0</v>
      </c>
    </row>
    <row r="392" spans="1:10" ht="63.75">
      <c r="A392" s="1"/>
      <c r="B392" s="25"/>
      <c r="C392" s="16" t="s">
        <v>147</v>
      </c>
      <c r="D392" s="16" t="s">
        <v>141</v>
      </c>
      <c r="E392" s="21" t="s">
        <v>319</v>
      </c>
      <c r="F392" s="16"/>
      <c r="G392" s="103" t="s">
        <v>320</v>
      </c>
      <c r="H392" s="41">
        <f t="shared" ref="H392:J392" si="172">H393</f>
        <v>0</v>
      </c>
      <c r="I392" s="41">
        <f t="shared" si="172"/>
        <v>905</v>
      </c>
      <c r="J392" s="41">
        <f t="shared" si="172"/>
        <v>0</v>
      </c>
    </row>
    <row r="393" spans="1:10" ht="38.25">
      <c r="A393" s="1"/>
      <c r="B393" s="25"/>
      <c r="C393" s="16" t="s">
        <v>147</v>
      </c>
      <c r="D393" s="16" t="s">
        <v>141</v>
      </c>
      <c r="E393" s="21" t="s">
        <v>319</v>
      </c>
      <c r="F393" s="85" t="s">
        <v>325</v>
      </c>
      <c r="G393" s="103" t="s">
        <v>326</v>
      </c>
      <c r="H393" s="41">
        <v>0</v>
      </c>
      <c r="I393" s="41">
        <v>905</v>
      </c>
      <c r="J393" s="41">
        <v>0</v>
      </c>
    </row>
    <row r="394" spans="1:10" ht="102">
      <c r="A394" s="1"/>
      <c r="B394" s="25"/>
      <c r="C394" s="16" t="s">
        <v>147</v>
      </c>
      <c r="D394" s="16" t="s">
        <v>141</v>
      </c>
      <c r="E394" s="21" t="s">
        <v>540</v>
      </c>
      <c r="F394" s="85"/>
      <c r="G394" s="105" t="s">
        <v>470</v>
      </c>
      <c r="H394" s="41">
        <f t="shared" ref="H394:J394" si="173">H395</f>
        <v>0</v>
      </c>
      <c r="I394" s="41">
        <f t="shared" si="173"/>
        <v>150.9</v>
      </c>
      <c r="J394" s="41">
        <f t="shared" si="173"/>
        <v>0</v>
      </c>
    </row>
    <row r="395" spans="1:10" ht="75" customHeight="1">
      <c r="A395" s="1"/>
      <c r="B395" s="25"/>
      <c r="C395" s="16" t="s">
        <v>147</v>
      </c>
      <c r="D395" s="16" t="s">
        <v>141</v>
      </c>
      <c r="E395" s="21" t="s">
        <v>539</v>
      </c>
      <c r="F395" s="16"/>
      <c r="G395" s="103" t="s">
        <v>471</v>
      </c>
      <c r="H395" s="41">
        <f t="shared" ref="H395:J395" si="174">H396</f>
        <v>0</v>
      </c>
      <c r="I395" s="41">
        <f t="shared" si="174"/>
        <v>150.9</v>
      </c>
      <c r="J395" s="41">
        <f t="shared" si="174"/>
        <v>0</v>
      </c>
    </row>
    <row r="396" spans="1:10" ht="38.25">
      <c r="A396" s="1"/>
      <c r="B396" s="25"/>
      <c r="C396" s="16" t="s">
        <v>147</v>
      </c>
      <c r="D396" s="16" t="s">
        <v>141</v>
      </c>
      <c r="E396" s="21" t="s">
        <v>539</v>
      </c>
      <c r="F396" s="85" t="s">
        <v>325</v>
      </c>
      <c r="G396" s="103" t="s">
        <v>326</v>
      </c>
      <c r="H396" s="41">
        <v>0</v>
      </c>
      <c r="I396" s="41">
        <v>150.9</v>
      </c>
      <c r="J396" s="41">
        <v>0</v>
      </c>
    </row>
    <row r="397" spans="1:10" ht="63.75">
      <c r="A397" s="1"/>
      <c r="B397" s="25"/>
      <c r="C397" s="16" t="s">
        <v>147</v>
      </c>
      <c r="D397" s="16" t="s">
        <v>141</v>
      </c>
      <c r="E397" s="52" t="s">
        <v>321</v>
      </c>
      <c r="F397" s="16"/>
      <c r="G397" s="48" t="s">
        <v>322</v>
      </c>
      <c r="H397" s="98">
        <f t="shared" ref="H397:J399" si="175">H398</f>
        <v>0</v>
      </c>
      <c r="I397" s="98">
        <f t="shared" si="175"/>
        <v>865.5</v>
      </c>
      <c r="J397" s="98">
        <f t="shared" si="175"/>
        <v>986.9</v>
      </c>
    </row>
    <row r="398" spans="1:10" ht="76.5" customHeight="1">
      <c r="A398" s="1"/>
      <c r="B398" s="25"/>
      <c r="C398" s="16" t="s">
        <v>147</v>
      </c>
      <c r="D398" s="16" t="s">
        <v>141</v>
      </c>
      <c r="E398" s="21" t="s">
        <v>323</v>
      </c>
      <c r="F398" s="16"/>
      <c r="G398" s="105" t="s">
        <v>602</v>
      </c>
      <c r="H398" s="41">
        <f t="shared" si="175"/>
        <v>0</v>
      </c>
      <c r="I398" s="41">
        <f t="shared" si="175"/>
        <v>865.5</v>
      </c>
      <c r="J398" s="41">
        <f t="shared" si="175"/>
        <v>986.9</v>
      </c>
    </row>
    <row r="399" spans="1:10" ht="63.75">
      <c r="A399" s="1"/>
      <c r="B399" s="25"/>
      <c r="C399" s="16" t="s">
        <v>147</v>
      </c>
      <c r="D399" s="16" t="s">
        <v>141</v>
      </c>
      <c r="E399" s="21" t="s">
        <v>324</v>
      </c>
      <c r="F399" s="16"/>
      <c r="G399" s="103" t="s">
        <v>588</v>
      </c>
      <c r="H399" s="41">
        <f t="shared" si="175"/>
        <v>0</v>
      </c>
      <c r="I399" s="41">
        <f t="shared" si="175"/>
        <v>865.5</v>
      </c>
      <c r="J399" s="41">
        <f t="shared" si="175"/>
        <v>986.9</v>
      </c>
    </row>
    <row r="400" spans="1:10" ht="38.25">
      <c r="A400" s="1"/>
      <c r="B400" s="25"/>
      <c r="C400" s="16" t="s">
        <v>147</v>
      </c>
      <c r="D400" s="16" t="s">
        <v>141</v>
      </c>
      <c r="E400" s="21" t="s">
        <v>324</v>
      </c>
      <c r="F400" s="85" t="s">
        <v>325</v>
      </c>
      <c r="G400" s="103" t="s">
        <v>326</v>
      </c>
      <c r="H400" s="41">
        <v>0</v>
      </c>
      <c r="I400" s="41">
        <v>865.5</v>
      </c>
      <c r="J400" s="41">
        <v>986.9</v>
      </c>
    </row>
    <row r="401" spans="1:10" ht="51">
      <c r="A401" s="158"/>
      <c r="B401" s="25"/>
      <c r="C401" s="16" t="s">
        <v>147</v>
      </c>
      <c r="D401" s="16" t="s">
        <v>141</v>
      </c>
      <c r="E401" s="73" t="s">
        <v>87</v>
      </c>
      <c r="F401" s="16"/>
      <c r="G401" s="53" t="s">
        <v>550</v>
      </c>
      <c r="H401" s="101">
        <f>H402</f>
        <v>1908.2</v>
      </c>
      <c r="I401" s="101">
        <f t="shared" ref="I401:J401" si="176">I402</f>
        <v>0</v>
      </c>
      <c r="J401" s="101">
        <f t="shared" si="176"/>
        <v>0</v>
      </c>
    </row>
    <row r="402" spans="1:10" ht="52.5" customHeight="1">
      <c r="A402" s="158"/>
      <c r="B402" s="25"/>
      <c r="C402" s="16" t="s">
        <v>147</v>
      </c>
      <c r="D402" s="16" t="s">
        <v>141</v>
      </c>
      <c r="E402" s="126" t="s">
        <v>769</v>
      </c>
      <c r="F402" s="129"/>
      <c r="G402" s="60" t="s">
        <v>770</v>
      </c>
      <c r="H402" s="41">
        <f>H403</f>
        <v>1908.2</v>
      </c>
      <c r="I402" s="41">
        <f t="shared" ref="I402:J402" si="177">I403</f>
        <v>0</v>
      </c>
      <c r="J402" s="41">
        <f t="shared" si="177"/>
        <v>0</v>
      </c>
    </row>
    <row r="403" spans="1:10" ht="51">
      <c r="A403" s="158"/>
      <c r="B403" s="25"/>
      <c r="C403" s="16" t="s">
        <v>147</v>
      </c>
      <c r="D403" s="16" t="s">
        <v>141</v>
      </c>
      <c r="E403" s="21" t="s">
        <v>916</v>
      </c>
      <c r="F403" s="85"/>
      <c r="G403" s="103" t="s">
        <v>915</v>
      </c>
      <c r="H403" s="41">
        <f>H404</f>
        <v>1908.2</v>
      </c>
      <c r="I403" s="41">
        <f t="shared" ref="I403:J404" si="178">I404</f>
        <v>0</v>
      </c>
      <c r="J403" s="41">
        <f t="shared" si="178"/>
        <v>0</v>
      </c>
    </row>
    <row r="404" spans="1:10" ht="45">
      <c r="A404" s="158"/>
      <c r="B404" s="25"/>
      <c r="C404" s="16" t="s">
        <v>147</v>
      </c>
      <c r="D404" s="16" t="s">
        <v>141</v>
      </c>
      <c r="E404" s="21" t="s">
        <v>917</v>
      </c>
      <c r="F404" s="85"/>
      <c r="G404" s="193" t="s">
        <v>931</v>
      </c>
      <c r="H404" s="41">
        <f>H405</f>
        <v>1908.2</v>
      </c>
      <c r="I404" s="41">
        <f t="shared" si="178"/>
        <v>0</v>
      </c>
      <c r="J404" s="41">
        <f t="shared" si="178"/>
        <v>0</v>
      </c>
    </row>
    <row r="405" spans="1:10">
      <c r="A405" s="158"/>
      <c r="B405" s="25"/>
      <c r="C405" s="16" t="s">
        <v>147</v>
      </c>
      <c r="D405" s="16" t="s">
        <v>141</v>
      </c>
      <c r="E405" s="21" t="s">
        <v>917</v>
      </c>
      <c r="F405" s="85" t="s">
        <v>382</v>
      </c>
      <c r="G405" s="108" t="s">
        <v>381</v>
      </c>
      <c r="H405" s="41">
        <v>1908.2</v>
      </c>
      <c r="I405" s="41">
        <v>0</v>
      </c>
      <c r="J405" s="41">
        <v>0</v>
      </c>
    </row>
    <row r="406" spans="1:10" ht="14.25">
      <c r="A406" s="1"/>
      <c r="B406" s="25"/>
      <c r="C406" s="30" t="s">
        <v>147</v>
      </c>
      <c r="D406" s="30" t="s">
        <v>145</v>
      </c>
      <c r="E406" s="30"/>
      <c r="F406" s="30"/>
      <c r="G406" s="27" t="s">
        <v>73</v>
      </c>
      <c r="H406" s="40">
        <f>H407+H412+H437+H442+H543+H562</f>
        <v>93320</v>
      </c>
      <c r="I406" s="40">
        <f>I407+I412+I437+I442+I543</f>
        <v>25934.800000000003</v>
      </c>
      <c r="J406" s="40">
        <f>J407+J412+J437+J442+J543</f>
        <v>21802.9</v>
      </c>
    </row>
    <row r="407" spans="1:10" ht="51">
      <c r="A407" s="1"/>
      <c r="B407" s="25"/>
      <c r="C407" s="85" t="s">
        <v>147</v>
      </c>
      <c r="D407" s="85" t="s">
        <v>145</v>
      </c>
      <c r="E407" s="78" t="s">
        <v>109</v>
      </c>
      <c r="F407" s="16"/>
      <c r="G407" s="63" t="s">
        <v>528</v>
      </c>
      <c r="H407" s="101">
        <f>H408</f>
        <v>376</v>
      </c>
      <c r="I407" s="101">
        <f t="shared" ref="H407:J410" si="179">I408</f>
        <v>376</v>
      </c>
      <c r="J407" s="101">
        <f t="shared" si="179"/>
        <v>376</v>
      </c>
    </row>
    <row r="408" spans="1:10" ht="38.25">
      <c r="A408" s="1"/>
      <c r="B408" s="25"/>
      <c r="C408" s="47" t="s">
        <v>147</v>
      </c>
      <c r="D408" s="47" t="s">
        <v>145</v>
      </c>
      <c r="E408" s="77" t="s">
        <v>110</v>
      </c>
      <c r="F408" s="16"/>
      <c r="G408" s="60" t="s">
        <v>108</v>
      </c>
      <c r="H408" s="98">
        <f>H409</f>
        <v>376</v>
      </c>
      <c r="I408" s="98">
        <f t="shared" si="179"/>
        <v>376</v>
      </c>
      <c r="J408" s="98">
        <f t="shared" si="179"/>
        <v>376</v>
      </c>
    </row>
    <row r="409" spans="1:10" ht="29.25" customHeight="1">
      <c r="A409" s="1"/>
      <c r="B409" s="25"/>
      <c r="C409" s="85" t="s">
        <v>147</v>
      </c>
      <c r="D409" s="85" t="s">
        <v>145</v>
      </c>
      <c r="E409" s="74">
        <v>610100000</v>
      </c>
      <c r="F409" s="16"/>
      <c r="G409" s="103" t="s">
        <v>358</v>
      </c>
      <c r="H409" s="104">
        <f t="shared" ref="H409" si="180">H410</f>
        <v>376</v>
      </c>
      <c r="I409" s="104">
        <f t="shared" si="179"/>
        <v>376</v>
      </c>
      <c r="J409" s="104">
        <f t="shared" si="179"/>
        <v>376</v>
      </c>
    </row>
    <row r="410" spans="1:10" ht="38.25">
      <c r="A410" s="1"/>
      <c r="B410" s="25"/>
      <c r="C410" s="85" t="s">
        <v>147</v>
      </c>
      <c r="D410" s="85" t="s">
        <v>145</v>
      </c>
      <c r="E410" s="74" t="s">
        <v>206</v>
      </c>
      <c r="F410" s="16"/>
      <c r="G410" s="103" t="s">
        <v>207</v>
      </c>
      <c r="H410" s="41">
        <f t="shared" si="179"/>
        <v>376</v>
      </c>
      <c r="I410" s="41">
        <f t="shared" si="179"/>
        <v>376</v>
      </c>
      <c r="J410" s="41">
        <f t="shared" si="179"/>
        <v>376</v>
      </c>
    </row>
    <row r="411" spans="1:10" ht="38.25">
      <c r="A411" s="1"/>
      <c r="B411" s="25"/>
      <c r="C411" s="85" t="s">
        <v>147</v>
      </c>
      <c r="D411" s="85" t="s">
        <v>145</v>
      </c>
      <c r="E411" s="74" t="s">
        <v>206</v>
      </c>
      <c r="F411" s="85" t="s">
        <v>325</v>
      </c>
      <c r="G411" s="103" t="s">
        <v>326</v>
      </c>
      <c r="H411" s="41">
        <v>376</v>
      </c>
      <c r="I411" s="41">
        <v>376</v>
      </c>
      <c r="J411" s="41">
        <v>376</v>
      </c>
    </row>
    <row r="412" spans="1:10" ht="63.75">
      <c r="A412" s="1"/>
      <c r="B412" s="25"/>
      <c r="C412" s="5" t="s">
        <v>147</v>
      </c>
      <c r="D412" s="5" t="s">
        <v>145</v>
      </c>
      <c r="E412" s="83" t="s">
        <v>44</v>
      </c>
      <c r="F412" s="16"/>
      <c r="G412" s="53" t="s">
        <v>543</v>
      </c>
      <c r="H412" s="101">
        <f>H413+H423+H427</f>
        <v>14772.1</v>
      </c>
      <c r="I412" s="101">
        <f>I413+I423+I427</f>
        <v>16582.7</v>
      </c>
      <c r="J412" s="101">
        <f>J413+J423+J427</f>
        <v>14632.599999999999</v>
      </c>
    </row>
    <row r="413" spans="1:10" ht="38.25">
      <c r="A413" s="158"/>
      <c r="B413" s="25"/>
      <c r="C413" s="85" t="s">
        <v>147</v>
      </c>
      <c r="D413" s="85" t="s">
        <v>145</v>
      </c>
      <c r="E413" s="52" t="s">
        <v>677</v>
      </c>
      <c r="F413" s="16"/>
      <c r="G413" s="60" t="s">
        <v>678</v>
      </c>
      <c r="H413" s="41">
        <f>H414</f>
        <v>3029</v>
      </c>
      <c r="I413" s="41">
        <f t="shared" ref="I413:J413" si="181">I414</f>
        <v>0</v>
      </c>
      <c r="J413" s="41">
        <f t="shared" si="181"/>
        <v>50</v>
      </c>
    </row>
    <row r="414" spans="1:10" ht="38.25">
      <c r="A414" s="158"/>
      <c r="B414" s="25"/>
      <c r="C414" s="16" t="s">
        <v>147</v>
      </c>
      <c r="D414" s="85" t="s">
        <v>145</v>
      </c>
      <c r="E414" s="21" t="s">
        <v>966</v>
      </c>
      <c r="F414" s="16"/>
      <c r="G414" s="105" t="s">
        <v>680</v>
      </c>
      <c r="H414" s="41">
        <f>H415+H417+H419+H421</f>
        <v>3029</v>
      </c>
      <c r="I414" s="41">
        <f t="shared" ref="I414:J414" si="182">I415+I417+I419+I421</f>
        <v>0</v>
      </c>
      <c r="J414" s="41">
        <f t="shared" si="182"/>
        <v>50</v>
      </c>
    </row>
    <row r="415" spans="1:10" ht="25.5">
      <c r="A415" s="158"/>
      <c r="B415" s="25"/>
      <c r="C415" s="16" t="s">
        <v>147</v>
      </c>
      <c r="D415" s="85" t="s">
        <v>145</v>
      </c>
      <c r="E415" s="21" t="s">
        <v>679</v>
      </c>
      <c r="F415" s="16"/>
      <c r="G415" s="103" t="s">
        <v>681</v>
      </c>
      <c r="H415" s="41">
        <f t="shared" ref="H415:J415" si="183">H416</f>
        <v>0</v>
      </c>
      <c r="I415" s="41">
        <f t="shared" si="183"/>
        <v>0</v>
      </c>
      <c r="J415" s="41">
        <f t="shared" si="183"/>
        <v>50</v>
      </c>
    </row>
    <row r="416" spans="1:10" ht="38.25">
      <c r="A416" s="158"/>
      <c r="B416" s="25"/>
      <c r="C416" s="85" t="s">
        <v>147</v>
      </c>
      <c r="D416" s="85" t="s">
        <v>145</v>
      </c>
      <c r="E416" s="21" t="s">
        <v>679</v>
      </c>
      <c r="F416" s="85" t="s">
        <v>325</v>
      </c>
      <c r="G416" s="103" t="s">
        <v>326</v>
      </c>
      <c r="H416" s="41">
        <v>0</v>
      </c>
      <c r="I416" s="41">
        <v>0</v>
      </c>
      <c r="J416" s="41">
        <v>50</v>
      </c>
    </row>
    <row r="417" spans="1:10" ht="25.5">
      <c r="A417" s="158"/>
      <c r="B417" s="25"/>
      <c r="C417" s="85" t="s">
        <v>147</v>
      </c>
      <c r="D417" s="85" t="s">
        <v>145</v>
      </c>
      <c r="E417" s="21" t="s">
        <v>734</v>
      </c>
      <c r="F417" s="85"/>
      <c r="G417" s="103" t="s">
        <v>762</v>
      </c>
      <c r="H417" s="41">
        <f>H418</f>
        <v>155</v>
      </c>
      <c r="I417" s="41">
        <f t="shared" ref="I417:J417" si="184">I418</f>
        <v>0</v>
      </c>
      <c r="J417" s="41">
        <f t="shared" si="184"/>
        <v>0</v>
      </c>
    </row>
    <row r="418" spans="1:10" ht="38.25">
      <c r="A418" s="158"/>
      <c r="B418" s="25"/>
      <c r="C418" s="16" t="s">
        <v>147</v>
      </c>
      <c r="D418" s="85" t="s">
        <v>145</v>
      </c>
      <c r="E418" s="21" t="s">
        <v>734</v>
      </c>
      <c r="F418" s="85" t="s">
        <v>325</v>
      </c>
      <c r="G418" s="103" t="s">
        <v>326</v>
      </c>
      <c r="H418" s="41">
        <f>2000-1630-66-149</f>
        <v>155</v>
      </c>
      <c r="I418" s="41">
        <v>0</v>
      </c>
      <c r="J418" s="41">
        <v>0</v>
      </c>
    </row>
    <row r="419" spans="1:10" ht="25.5">
      <c r="A419" s="158"/>
      <c r="B419" s="25"/>
      <c r="C419" s="85" t="s">
        <v>147</v>
      </c>
      <c r="D419" s="85" t="s">
        <v>145</v>
      </c>
      <c r="E419" s="21" t="s">
        <v>735</v>
      </c>
      <c r="F419" s="85"/>
      <c r="G419" s="131" t="s">
        <v>791</v>
      </c>
      <c r="H419" s="41">
        <f>H420</f>
        <v>2140</v>
      </c>
      <c r="I419" s="41">
        <f t="shared" ref="I419:J419" si="185">I420</f>
        <v>0</v>
      </c>
      <c r="J419" s="41">
        <f t="shared" si="185"/>
        <v>0</v>
      </c>
    </row>
    <row r="420" spans="1:10" ht="38.25">
      <c r="A420" s="158"/>
      <c r="B420" s="25"/>
      <c r="C420" s="85" t="s">
        <v>147</v>
      </c>
      <c r="D420" s="85" t="s">
        <v>145</v>
      </c>
      <c r="E420" s="21" t="s">
        <v>735</v>
      </c>
      <c r="F420" s="85" t="s">
        <v>325</v>
      </c>
      <c r="G420" s="103" t="s">
        <v>326</v>
      </c>
      <c r="H420" s="41">
        <f>2816.5-676.5</f>
        <v>2140</v>
      </c>
      <c r="I420" s="41">
        <v>0</v>
      </c>
      <c r="J420" s="41">
        <v>0</v>
      </c>
    </row>
    <row r="421" spans="1:10" ht="25.5">
      <c r="A421" s="158"/>
      <c r="B421" s="25"/>
      <c r="C421" s="85" t="s">
        <v>147</v>
      </c>
      <c r="D421" s="85" t="s">
        <v>145</v>
      </c>
      <c r="E421" s="21" t="s">
        <v>964</v>
      </c>
      <c r="F421" s="85"/>
      <c r="G421" s="103" t="s">
        <v>965</v>
      </c>
      <c r="H421" s="41">
        <f>H422</f>
        <v>734</v>
      </c>
      <c r="I421" s="41">
        <f t="shared" ref="I421:J421" si="186">I422</f>
        <v>0</v>
      </c>
      <c r="J421" s="41">
        <f t="shared" si="186"/>
        <v>0</v>
      </c>
    </row>
    <row r="422" spans="1:10">
      <c r="A422" s="158"/>
      <c r="B422" s="25"/>
      <c r="C422" s="85" t="s">
        <v>147</v>
      </c>
      <c r="D422" s="85" t="s">
        <v>145</v>
      </c>
      <c r="E422" s="21" t="s">
        <v>964</v>
      </c>
      <c r="F422" s="85" t="s">
        <v>382</v>
      </c>
      <c r="G422" s="112" t="s">
        <v>410</v>
      </c>
      <c r="H422" s="41">
        <v>734</v>
      </c>
      <c r="I422" s="41">
        <v>0</v>
      </c>
      <c r="J422" s="41">
        <v>0</v>
      </c>
    </row>
    <row r="423" spans="1:10" ht="25.5">
      <c r="A423" s="158"/>
      <c r="B423" s="25"/>
      <c r="C423" s="47" t="s">
        <v>147</v>
      </c>
      <c r="D423" s="47" t="s">
        <v>145</v>
      </c>
      <c r="E423" s="52" t="s">
        <v>46</v>
      </c>
      <c r="F423" s="16"/>
      <c r="G423" s="46" t="s">
        <v>621</v>
      </c>
      <c r="H423" s="41">
        <f>H424</f>
        <v>178.5</v>
      </c>
      <c r="I423" s="41">
        <f t="shared" ref="I423:J423" si="187">I424</f>
        <v>0</v>
      </c>
      <c r="J423" s="41">
        <f t="shared" si="187"/>
        <v>0</v>
      </c>
    </row>
    <row r="424" spans="1:10" ht="25.5">
      <c r="A424" s="158"/>
      <c r="B424" s="25"/>
      <c r="C424" s="16" t="s">
        <v>147</v>
      </c>
      <c r="D424" s="85" t="s">
        <v>145</v>
      </c>
      <c r="E424" s="21" t="s">
        <v>684</v>
      </c>
      <c r="F424" s="85"/>
      <c r="G424" s="103" t="s">
        <v>685</v>
      </c>
      <c r="H424" s="41">
        <f>H425</f>
        <v>178.5</v>
      </c>
      <c r="I424" s="41">
        <f t="shared" ref="I424:J425" si="188">I425</f>
        <v>0</v>
      </c>
      <c r="J424" s="41">
        <f t="shared" si="188"/>
        <v>0</v>
      </c>
    </row>
    <row r="425" spans="1:10" ht="38.25">
      <c r="A425" s="158"/>
      <c r="B425" s="25"/>
      <c r="C425" s="85" t="s">
        <v>147</v>
      </c>
      <c r="D425" s="85" t="s">
        <v>145</v>
      </c>
      <c r="E425" s="178" t="s">
        <v>758</v>
      </c>
      <c r="F425" s="115"/>
      <c r="G425" s="112" t="s">
        <v>748</v>
      </c>
      <c r="H425" s="113">
        <f>H426</f>
        <v>178.5</v>
      </c>
      <c r="I425" s="113">
        <f t="shared" si="188"/>
        <v>0</v>
      </c>
      <c r="J425" s="113">
        <f t="shared" si="188"/>
        <v>0</v>
      </c>
    </row>
    <row r="426" spans="1:10">
      <c r="A426" s="158"/>
      <c r="B426" s="25"/>
      <c r="C426" s="85" t="s">
        <v>147</v>
      </c>
      <c r="D426" s="85" t="s">
        <v>145</v>
      </c>
      <c r="E426" s="178" t="s">
        <v>758</v>
      </c>
      <c r="F426" s="115" t="s">
        <v>382</v>
      </c>
      <c r="G426" s="112" t="s">
        <v>410</v>
      </c>
      <c r="H426" s="113">
        <f>1000-750-65-6.5</f>
        <v>178.5</v>
      </c>
      <c r="I426" s="113">
        <v>0</v>
      </c>
      <c r="J426" s="113">
        <v>0</v>
      </c>
    </row>
    <row r="427" spans="1:10" ht="38.25">
      <c r="A427" s="1"/>
      <c r="B427" s="25"/>
      <c r="C427" s="16" t="s">
        <v>147</v>
      </c>
      <c r="D427" s="85" t="s">
        <v>145</v>
      </c>
      <c r="E427" s="52" t="s">
        <v>276</v>
      </c>
      <c r="F427" s="16"/>
      <c r="G427" s="60" t="s">
        <v>600</v>
      </c>
      <c r="H427" s="41">
        <f>H428+H431+H434</f>
        <v>11564.6</v>
      </c>
      <c r="I427" s="41">
        <f t="shared" ref="I427:J427" si="189">I428+I431+I434</f>
        <v>16582.7</v>
      </c>
      <c r="J427" s="41">
        <f t="shared" si="189"/>
        <v>14582.599999999999</v>
      </c>
    </row>
    <row r="428" spans="1:10" ht="25.5">
      <c r="A428" s="1"/>
      <c r="B428" s="25"/>
      <c r="C428" s="47" t="s">
        <v>147</v>
      </c>
      <c r="D428" s="47" t="s">
        <v>145</v>
      </c>
      <c r="E428" s="52" t="s">
        <v>364</v>
      </c>
      <c r="F428" s="16"/>
      <c r="G428" s="60" t="s">
        <v>584</v>
      </c>
      <c r="H428" s="41">
        <f>H429</f>
        <v>7000</v>
      </c>
      <c r="I428" s="41">
        <f t="shared" ref="I428:J428" si="190">I429</f>
        <v>11473.8</v>
      </c>
      <c r="J428" s="41">
        <f t="shared" si="190"/>
        <v>11473.8</v>
      </c>
    </row>
    <row r="429" spans="1:10" ht="25.5">
      <c r="A429" s="1"/>
      <c r="B429" s="25"/>
      <c r="C429" s="16" t="s">
        <v>147</v>
      </c>
      <c r="D429" s="85" t="s">
        <v>145</v>
      </c>
      <c r="E429" s="21" t="s">
        <v>277</v>
      </c>
      <c r="F429" s="85"/>
      <c r="G429" s="103" t="s">
        <v>601</v>
      </c>
      <c r="H429" s="41">
        <f>H430</f>
        <v>7000</v>
      </c>
      <c r="I429" s="41">
        <f>I430</f>
        <v>11473.8</v>
      </c>
      <c r="J429" s="41">
        <f>J430</f>
        <v>11473.8</v>
      </c>
    </row>
    <row r="430" spans="1:10" ht="38.25">
      <c r="A430" s="1"/>
      <c r="B430" s="25"/>
      <c r="C430" s="16" t="s">
        <v>147</v>
      </c>
      <c r="D430" s="85" t="s">
        <v>145</v>
      </c>
      <c r="E430" s="21" t="s">
        <v>277</v>
      </c>
      <c r="F430" s="85" t="s">
        <v>325</v>
      </c>
      <c r="G430" s="103" t="s">
        <v>326</v>
      </c>
      <c r="H430" s="41">
        <f>10000-2000-1000</f>
        <v>7000</v>
      </c>
      <c r="I430" s="41">
        <v>11473.8</v>
      </c>
      <c r="J430" s="41">
        <v>11473.8</v>
      </c>
    </row>
    <row r="431" spans="1:10" ht="51">
      <c r="A431" s="1"/>
      <c r="B431" s="25"/>
      <c r="C431" s="47" t="s">
        <v>147</v>
      </c>
      <c r="D431" s="47" t="s">
        <v>145</v>
      </c>
      <c r="E431" s="52" t="s">
        <v>585</v>
      </c>
      <c r="F431" s="16"/>
      <c r="G431" s="60" t="s">
        <v>586</v>
      </c>
      <c r="H431" s="98">
        <f>H432</f>
        <v>1500</v>
      </c>
      <c r="I431" s="98">
        <f t="shared" ref="I431:J431" si="191">I432</f>
        <v>2000</v>
      </c>
      <c r="J431" s="98">
        <f t="shared" si="191"/>
        <v>774.8</v>
      </c>
    </row>
    <row r="432" spans="1:10" ht="51">
      <c r="A432" s="1"/>
      <c r="B432" s="25"/>
      <c r="C432" s="16" t="s">
        <v>147</v>
      </c>
      <c r="D432" s="85" t="s">
        <v>145</v>
      </c>
      <c r="E432" s="21" t="s">
        <v>587</v>
      </c>
      <c r="F432" s="16"/>
      <c r="G432" s="103" t="s">
        <v>603</v>
      </c>
      <c r="H432" s="98">
        <f t="shared" ref="H432" si="192">H433</f>
        <v>1500</v>
      </c>
      <c r="I432" s="98">
        <f t="shared" ref="I432:J432" si="193">I433</f>
        <v>2000</v>
      </c>
      <c r="J432" s="98">
        <f t="shared" si="193"/>
        <v>774.8</v>
      </c>
    </row>
    <row r="433" spans="1:10" ht="38.25">
      <c r="A433" s="1"/>
      <c r="B433" s="25"/>
      <c r="C433" s="85" t="s">
        <v>147</v>
      </c>
      <c r="D433" s="85" t="s">
        <v>145</v>
      </c>
      <c r="E433" s="21" t="s">
        <v>587</v>
      </c>
      <c r="F433" s="85" t="s">
        <v>325</v>
      </c>
      <c r="G433" s="103" t="s">
        <v>326</v>
      </c>
      <c r="H433" s="41">
        <v>1500</v>
      </c>
      <c r="I433" s="41">
        <v>2000</v>
      </c>
      <c r="J433" s="41">
        <v>774.8</v>
      </c>
    </row>
    <row r="434" spans="1:10" ht="38.25">
      <c r="A434" s="1"/>
      <c r="B434" s="25"/>
      <c r="C434" s="16" t="s">
        <v>147</v>
      </c>
      <c r="D434" s="85" t="s">
        <v>145</v>
      </c>
      <c r="E434" s="52" t="s">
        <v>737</v>
      </c>
      <c r="F434" s="16"/>
      <c r="G434" s="60" t="s">
        <v>738</v>
      </c>
      <c r="H434" s="98">
        <f>H435</f>
        <v>3064.6</v>
      </c>
      <c r="I434" s="98">
        <f t="shared" ref="I434:J435" si="194">I435</f>
        <v>3108.9</v>
      </c>
      <c r="J434" s="98">
        <f t="shared" si="194"/>
        <v>2334</v>
      </c>
    </row>
    <row r="435" spans="1:10">
      <c r="A435" s="1"/>
      <c r="B435" s="25"/>
      <c r="C435" s="16" t="s">
        <v>147</v>
      </c>
      <c r="D435" s="85" t="s">
        <v>145</v>
      </c>
      <c r="E435" s="21" t="s">
        <v>736</v>
      </c>
      <c r="F435" s="85"/>
      <c r="G435" s="103" t="s">
        <v>740</v>
      </c>
      <c r="H435" s="41">
        <f>H436</f>
        <v>3064.6</v>
      </c>
      <c r="I435" s="41">
        <f t="shared" si="194"/>
        <v>3108.9</v>
      </c>
      <c r="J435" s="41">
        <f t="shared" si="194"/>
        <v>2334</v>
      </c>
    </row>
    <row r="436" spans="1:10" ht="38.25">
      <c r="A436" s="158"/>
      <c r="B436" s="25"/>
      <c r="C436" s="16" t="s">
        <v>147</v>
      </c>
      <c r="D436" s="85" t="s">
        <v>145</v>
      </c>
      <c r="E436" s="21" t="s">
        <v>736</v>
      </c>
      <c r="F436" s="85" t="s">
        <v>325</v>
      </c>
      <c r="G436" s="103" t="s">
        <v>326</v>
      </c>
      <c r="H436" s="41">
        <f>3280+100-232.4-83</f>
        <v>3064.6</v>
      </c>
      <c r="I436" s="41">
        <f>3008.9+100</f>
        <v>3108.9</v>
      </c>
      <c r="J436" s="41">
        <f>2234+100</f>
        <v>2334</v>
      </c>
    </row>
    <row r="437" spans="1:10" ht="63.75">
      <c r="A437" s="158"/>
      <c r="B437" s="25"/>
      <c r="C437" s="5" t="s">
        <v>147</v>
      </c>
      <c r="D437" s="5" t="s">
        <v>145</v>
      </c>
      <c r="E437" s="73" t="s">
        <v>203</v>
      </c>
      <c r="F437" s="16"/>
      <c r="G437" s="63" t="s">
        <v>542</v>
      </c>
      <c r="H437" s="101">
        <f t="shared" ref="H437:J440" si="195">H438</f>
        <v>0</v>
      </c>
      <c r="I437" s="101">
        <f t="shared" si="195"/>
        <v>0</v>
      </c>
      <c r="J437" s="101">
        <f t="shared" si="195"/>
        <v>934.5</v>
      </c>
    </row>
    <row r="438" spans="1:10" ht="63.75">
      <c r="A438" s="158"/>
      <c r="B438" s="25"/>
      <c r="C438" s="47" t="s">
        <v>147</v>
      </c>
      <c r="D438" s="47" t="s">
        <v>145</v>
      </c>
      <c r="E438" s="52" t="s">
        <v>321</v>
      </c>
      <c r="F438" s="16"/>
      <c r="G438" s="48" t="s">
        <v>322</v>
      </c>
      <c r="H438" s="98">
        <f>H439</f>
        <v>0</v>
      </c>
      <c r="I438" s="98">
        <f t="shared" si="195"/>
        <v>0</v>
      </c>
      <c r="J438" s="98">
        <f t="shared" si="195"/>
        <v>934.5</v>
      </c>
    </row>
    <row r="439" spans="1:10" ht="76.5">
      <c r="A439" s="158"/>
      <c r="B439" s="25"/>
      <c r="C439" s="85" t="s">
        <v>147</v>
      </c>
      <c r="D439" s="85" t="s">
        <v>145</v>
      </c>
      <c r="E439" s="21" t="s">
        <v>323</v>
      </c>
      <c r="F439" s="16"/>
      <c r="G439" s="105" t="s">
        <v>541</v>
      </c>
      <c r="H439" s="98">
        <f t="shared" ref="H439:J439" si="196">H440</f>
        <v>0</v>
      </c>
      <c r="I439" s="98">
        <f t="shared" si="196"/>
        <v>0</v>
      </c>
      <c r="J439" s="98">
        <f t="shared" si="196"/>
        <v>934.5</v>
      </c>
    </row>
    <row r="440" spans="1:10" ht="63.75">
      <c r="A440" s="158"/>
      <c r="B440" s="25"/>
      <c r="C440" s="85" t="s">
        <v>147</v>
      </c>
      <c r="D440" s="85" t="s">
        <v>145</v>
      </c>
      <c r="E440" s="21" t="s">
        <v>646</v>
      </c>
      <c r="F440" s="16"/>
      <c r="G440" s="103" t="s">
        <v>664</v>
      </c>
      <c r="H440" s="41">
        <f t="shared" si="195"/>
        <v>0</v>
      </c>
      <c r="I440" s="41">
        <f t="shared" si="195"/>
        <v>0</v>
      </c>
      <c r="J440" s="41">
        <f t="shared" si="195"/>
        <v>934.5</v>
      </c>
    </row>
    <row r="441" spans="1:10" ht="38.25">
      <c r="A441" s="158"/>
      <c r="B441" s="25"/>
      <c r="C441" s="85" t="s">
        <v>147</v>
      </c>
      <c r="D441" s="85" t="s">
        <v>145</v>
      </c>
      <c r="E441" s="21" t="s">
        <v>646</v>
      </c>
      <c r="F441" s="85" t="s">
        <v>325</v>
      </c>
      <c r="G441" s="103" t="s">
        <v>326</v>
      </c>
      <c r="H441" s="41">
        <v>0</v>
      </c>
      <c r="I441" s="41">
        <v>0</v>
      </c>
      <c r="J441" s="41">
        <v>934.5</v>
      </c>
    </row>
    <row r="442" spans="1:10" ht="51">
      <c r="A442" s="1"/>
      <c r="B442" s="25"/>
      <c r="C442" s="5" t="s">
        <v>147</v>
      </c>
      <c r="D442" s="5" t="s">
        <v>145</v>
      </c>
      <c r="E442" s="73" t="s">
        <v>87</v>
      </c>
      <c r="F442" s="16"/>
      <c r="G442" s="53" t="s">
        <v>550</v>
      </c>
      <c r="H442" s="101">
        <f>H443+H458+H465+H473+H487+H523</f>
        <v>48719.600000000006</v>
      </c>
      <c r="I442" s="101">
        <f>I443+I458+I465+I473+I487+I523</f>
        <v>8258.7000000000007</v>
      </c>
      <c r="J442" s="101">
        <f>J443+J458+J465+J473+J487+J523</f>
        <v>5142.3999999999996</v>
      </c>
    </row>
    <row r="443" spans="1:10" ht="38.25">
      <c r="A443" s="1"/>
      <c r="B443" s="25"/>
      <c r="C443" s="47" t="s">
        <v>147</v>
      </c>
      <c r="D443" s="47" t="s">
        <v>145</v>
      </c>
      <c r="E443" s="52" t="s">
        <v>88</v>
      </c>
      <c r="F443" s="47"/>
      <c r="G443" s="48" t="s">
        <v>280</v>
      </c>
      <c r="H443" s="98">
        <f>H444+H451</f>
        <v>16568.700000000004</v>
      </c>
      <c r="I443" s="98">
        <f>I444+I451</f>
        <v>480.2</v>
      </c>
      <c r="J443" s="98">
        <f>J444+J451</f>
        <v>480.2</v>
      </c>
    </row>
    <row r="444" spans="1:10" ht="25.5">
      <c r="A444" s="1"/>
      <c r="B444" s="25"/>
      <c r="C444" s="16" t="s">
        <v>147</v>
      </c>
      <c r="D444" s="16" t="s">
        <v>145</v>
      </c>
      <c r="E444" s="21" t="s">
        <v>365</v>
      </c>
      <c r="F444" s="47"/>
      <c r="G444" s="105" t="s">
        <v>386</v>
      </c>
      <c r="H444" s="98">
        <f>H445+H447+H449</f>
        <v>14447.300000000001</v>
      </c>
      <c r="I444" s="98">
        <f t="shared" ref="I444:J444" si="197">I445+I447+I449</f>
        <v>450</v>
      </c>
      <c r="J444" s="98">
        <f t="shared" si="197"/>
        <v>450</v>
      </c>
    </row>
    <row r="445" spans="1:10" ht="25.5">
      <c r="A445" s="1"/>
      <c r="B445" s="25"/>
      <c r="C445" s="16" t="s">
        <v>147</v>
      </c>
      <c r="D445" s="16" t="s">
        <v>145</v>
      </c>
      <c r="E445" s="74" t="s">
        <v>89</v>
      </c>
      <c r="F445" s="21"/>
      <c r="G445" s="103" t="s">
        <v>28</v>
      </c>
      <c r="H445" s="41">
        <f t="shared" ref="H445:J445" si="198">H446</f>
        <v>9501.7000000000007</v>
      </c>
      <c r="I445" s="41">
        <f t="shared" si="198"/>
        <v>100</v>
      </c>
      <c r="J445" s="41">
        <f t="shared" si="198"/>
        <v>100</v>
      </c>
    </row>
    <row r="446" spans="1:10" ht="38.25">
      <c r="A446" s="1"/>
      <c r="B446" s="25"/>
      <c r="C446" s="16" t="s">
        <v>147</v>
      </c>
      <c r="D446" s="16" t="s">
        <v>145</v>
      </c>
      <c r="E446" s="74" t="s">
        <v>89</v>
      </c>
      <c r="F446" s="85" t="s">
        <v>325</v>
      </c>
      <c r="G446" s="103" t="s">
        <v>326</v>
      </c>
      <c r="H446" s="39">
        <f>350+3770.5+5261.1-0.1+142.7-8.9-42.8-326.7+1571.3-800.6+200-350-264.8</f>
        <v>9501.7000000000007</v>
      </c>
      <c r="I446" s="39">
        <v>100</v>
      </c>
      <c r="J446" s="39">
        <v>100</v>
      </c>
    </row>
    <row r="447" spans="1:10" ht="63.75">
      <c r="A447" s="1"/>
      <c r="B447" s="25"/>
      <c r="C447" s="16" t="s">
        <v>147</v>
      </c>
      <c r="D447" s="16" t="s">
        <v>145</v>
      </c>
      <c r="E447" s="74" t="s">
        <v>90</v>
      </c>
      <c r="F447" s="21"/>
      <c r="G447" s="103" t="s">
        <v>366</v>
      </c>
      <c r="H447" s="41">
        <f t="shared" ref="H447:J447" si="199">H448</f>
        <v>3945.6</v>
      </c>
      <c r="I447" s="41">
        <f t="shared" si="199"/>
        <v>300</v>
      </c>
      <c r="J447" s="41">
        <f t="shared" si="199"/>
        <v>300</v>
      </c>
    </row>
    <row r="448" spans="1:10" ht="38.25">
      <c r="A448" s="1"/>
      <c r="B448" s="25"/>
      <c r="C448" s="16" t="s">
        <v>147</v>
      </c>
      <c r="D448" s="16" t="s">
        <v>145</v>
      </c>
      <c r="E448" s="74" t="s">
        <v>90</v>
      </c>
      <c r="F448" s="85" t="s">
        <v>325</v>
      </c>
      <c r="G448" s="103" t="s">
        <v>326</v>
      </c>
      <c r="H448" s="41">
        <f>4100+372.9-1453+232.4+91.5+101.3+500.5</f>
        <v>3945.6</v>
      </c>
      <c r="I448" s="41">
        <v>300</v>
      </c>
      <c r="J448" s="41">
        <v>300</v>
      </c>
    </row>
    <row r="449" spans="1:10" ht="25.5">
      <c r="A449" s="1"/>
      <c r="B449" s="25"/>
      <c r="C449" s="16" t="s">
        <v>147</v>
      </c>
      <c r="D449" s="16" t="s">
        <v>145</v>
      </c>
      <c r="E449" s="74" t="s">
        <v>281</v>
      </c>
      <c r="F449" s="16"/>
      <c r="G449" s="103" t="s">
        <v>29</v>
      </c>
      <c r="H449" s="41">
        <f t="shared" ref="H449:J449" si="200">H450</f>
        <v>1000</v>
      </c>
      <c r="I449" s="41">
        <f t="shared" si="200"/>
        <v>50</v>
      </c>
      <c r="J449" s="41">
        <f t="shared" si="200"/>
        <v>50</v>
      </c>
    </row>
    <row r="450" spans="1:10" ht="38.25">
      <c r="A450" s="1"/>
      <c r="B450" s="25"/>
      <c r="C450" s="16" t="s">
        <v>147</v>
      </c>
      <c r="D450" s="16" t="s">
        <v>145</v>
      </c>
      <c r="E450" s="74" t="s">
        <v>281</v>
      </c>
      <c r="F450" s="85" t="s">
        <v>325</v>
      </c>
      <c r="G450" s="103" t="s">
        <v>326</v>
      </c>
      <c r="H450" s="41">
        <v>1000</v>
      </c>
      <c r="I450" s="41">
        <v>50</v>
      </c>
      <c r="J450" s="41">
        <v>50</v>
      </c>
    </row>
    <row r="451" spans="1:10" ht="25.5">
      <c r="A451" s="1"/>
      <c r="B451" s="25"/>
      <c r="C451" s="16" t="s">
        <v>147</v>
      </c>
      <c r="D451" s="16" t="s">
        <v>145</v>
      </c>
      <c r="E451" s="21" t="s">
        <v>450</v>
      </c>
      <c r="F451" s="85"/>
      <c r="G451" s="105" t="s">
        <v>451</v>
      </c>
      <c r="H451" s="41">
        <f>H452+H454+H456</f>
        <v>2121.4000000000015</v>
      </c>
      <c r="I451" s="41">
        <f t="shared" ref="I451:J451" si="201">I452+I454+I456</f>
        <v>30.2</v>
      </c>
      <c r="J451" s="41">
        <f t="shared" si="201"/>
        <v>30.2</v>
      </c>
    </row>
    <row r="452" spans="1:10" ht="25.5">
      <c r="A452" s="1"/>
      <c r="B452" s="25"/>
      <c r="C452" s="16" t="s">
        <v>147</v>
      </c>
      <c r="D452" s="16" t="s">
        <v>145</v>
      </c>
      <c r="E452" s="74" t="s">
        <v>91</v>
      </c>
      <c r="F452" s="16"/>
      <c r="G452" s="103" t="s">
        <v>30</v>
      </c>
      <c r="H452" s="41">
        <f t="shared" ref="H452:J452" si="202">H453</f>
        <v>10</v>
      </c>
      <c r="I452" s="41">
        <f t="shared" si="202"/>
        <v>10</v>
      </c>
      <c r="J452" s="41">
        <f t="shared" si="202"/>
        <v>10</v>
      </c>
    </row>
    <row r="453" spans="1:10" ht="38.25">
      <c r="A453" s="1"/>
      <c r="B453" s="25"/>
      <c r="C453" s="16" t="s">
        <v>147</v>
      </c>
      <c r="D453" s="16" t="s">
        <v>145</v>
      </c>
      <c r="E453" s="74" t="s">
        <v>91</v>
      </c>
      <c r="F453" s="85" t="s">
        <v>325</v>
      </c>
      <c r="G453" s="103" t="s">
        <v>326</v>
      </c>
      <c r="H453" s="39">
        <v>10</v>
      </c>
      <c r="I453" s="39">
        <v>10</v>
      </c>
      <c r="J453" s="39">
        <v>10</v>
      </c>
    </row>
    <row r="454" spans="1:10" ht="25.5">
      <c r="A454" s="1"/>
      <c r="B454" s="25"/>
      <c r="C454" s="16" t="s">
        <v>147</v>
      </c>
      <c r="D454" s="16" t="s">
        <v>145</v>
      </c>
      <c r="E454" s="74" t="s">
        <v>332</v>
      </c>
      <c r="F454" s="16"/>
      <c r="G454" s="103" t="s">
        <v>367</v>
      </c>
      <c r="H454" s="41">
        <f t="shared" ref="H454:J454" si="203">H455</f>
        <v>300</v>
      </c>
      <c r="I454" s="41">
        <f t="shared" si="203"/>
        <v>20.2</v>
      </c>
      <c r="J454" s="41">
        <f t="shared" si="203"/>
        <v>20.2</v>
      </c>
    </row>
    <row r="455" spans="1:10" ht="38.25">
      <c r="A455" s="1"/>
      <c r="B455" s="25"/>
      <c r="C455" s="16" t="s">
        <v>147</v>
      </c>
      <c r="D455" s="16" t="s">
        <v>145</v>
      </c>
      <c r="E455" s="74" t="s">
        <v>332</v>
      </c>
      <c r="F455" s="85" t="s">
        <v>325</v>
      </c>
      <c r="G455" s="103" t="s">
        <v>326</v>
      </c>
      <c r="H455" s="39">
        <v>300</v>
      </c>
      <c r="I455" s="39">
        <v>20.2</v>
      </c>
      <c r="J455" s="39">
        <v>20.2</v>
      </c>
    </row>
    <row r="456" spans="1:10" ht="25.5">
      <c r="A456" s="158"/>
      <c r="B456" s="25"/>
      <c r="C456" s="16" t="s">
        <v>147</v>
      </c>
      <c r="D456" s="16" t="s">
        <v>145</v>
      </c>
      <c r="E456" s="74" t="s">
        <v>638</v>
      </c>
      <c r="F456" s="85"/>
      <c r="G456" s="103" t="s">
        <v>639</v>
      </c>
      <c r="H456" s="41">
        <f>H457</f>
        <v>1811.4000000000012</v>
      </c>
      <c r="I456" s="41">
        <f t="shared" ref="I456:J456" si="204">I457</f>
        <v>0</v>
      </c>
      <c r="J456" s="41">
        <f t="shared" si="204"/>
        <v>0</v>
      </c>
    </row>
    <row r="457" spans="1:10" ht="38.25">
      <c r="A457" s="158"/>
      <c r="B457" s="25"/>
      <c r="C457" s="16" t="s">
        <v>147</v>
      </c>
      <c r="D457" s="16" t="s">
        <v>145</v>
      </c>
      <c r="E457" s="74" t="s">
        <v>638</v>
      </c>
      <c r="F457" s="85" t="s">
        <v>325</v>
      </c>
      <c r="G457" s="103" t="s">
        <v>326</v>
      </c>
      <c r="H457" s="39">
        <f>22300-9243.3+1077.6-6528.9-1840.1-4218.7+264.8</f>
        <v>1811.4000000000012</v>
      </c>
      <c r="I457" s="39">
        <v>0</v>
      </c>
      <c r="J457" s="39">
        <v>0</v>
      </c>
    </row>
    <row r="458" spans="1:10" ht="25.5">
      <c r="A458" s="1"/>
      <c r="B458" s="25"/>
      <c r="C458" s="16" t="s">
        <v>147</v>
      </c>
      <c r="D458" s="16" t="s">
        <v>145</v>
      </c>
      <c r="E458" s="52" t="s">
        <v>93</v>
      </c>
      <c r="F458" s="47"/>
      <c r="G458" s="48" t="s">
        <v>33</v>
      </c>
      <c r="H458" s="98">
        <f>H459+H462</f>
        <v>1103</v>
      </c>
      <c r="I458" s="98">
        <f t="shared" ref="I458:J459" si="205">I459</f>
        <v>700</v>
      </c>
      <c r="J458" s="98">
        <f t="shared" si="205"/>
        <v>700</v>
      </c>
    </row>
    <row r="459" spans="1:10">
      <c r="A459" s="1"/>
      <c r="B459" s="25"/>
      <c r="C459" s="16" t="s">
        <v>147</v>
      </c>
      <c r="D459" s="16" t="s">
        <v>145</v>
      </c>
      <c r="E459" s="21" t="s">
        <v>368</v>
      </c>
      <c r="F459" s="47"/>
      <c r="G459" s="105" t="s">
        <v>369</v>
      </c>
      <c r="H459" s="104">
        <f>H460</f>
        <v>700</v>
      </c>
      <c r="I459" s="104">
        <f t="shared" si="205"/>
        <v>700</v>
      </c>
      <c r="J459" s="104">
        <f t="shared" si="205"/>
        <v>700</v>
      </c>
    </row>
    <row r="460" spans="1:10" ht="25.5">
      <c r="A460" s="1"/>
      <c r="B460" s="25"/>
      <c r="C460" s="16" t="s">
        <v>147</v>
      </c>
      <c r="D460" s="16" t="s">
        <v>145</v>
      </c>
      <c r="E460" s="80" t="s">
        <v>92</v>
      </c>
      <c r="F460" s="16"/>
      <c r="G460" s="103" t="s">
        <v>282</v>
      </c>
      <c r="H460" s="41">
        <f t="shared" ref="H460:J460" si="206">H461</f>
        <v>700</v>
      </c>
      <c r="I460" s="41">
        <f t="shared" si="206"/>
        <v>700</v>
      </c>
      <c r="J460" s="41">
        <f t="shared" si="206"/>
        <v>700</v>
      </c>
    </row>
    <row r="461" spans="1:10" ht="38.25">
      <c r="A461" s="1"/>
      <c r="B461" s="25"/>
      <c r="C461" s="16" t="s">
        <v>147</v>
      </c>
      <c r="D461" s="16" t="s">
        <v>145</v>
      </c>
      <c r="E461" s="80" t="s">
        <v>92</v>
      </c>
      <c r="F461" s="85" t="s">
        <v>325</v>
      </c>
      <c r="G461" s="103" t="s">
        <v>326</v>
      </c>
      <c r="H461" s="41">
        <v>700</v>
      </c>
      <c r="I461" s="41">
        <v>700</v>
      </c>
      <c r="J461" s="41">
        <v>700</v>
      </c>
    </row>
    <row r="462" spans="1:10" ht="40.5" customHeight="1">
      <c r="A462" s="158"/>
      <c r="B462" s="25"/>
      <c r="C462" s="16" t="s">
        <v>147</v>
      </c>
      <c r="D462" s="16" t="s">
        <v>145</v>
      </c>
      <c r="E462" s="21" t="s">
        <v>763</v>
      </c>
      <c r="F462" s="85"/>
      <c r="G462" s="103" t="s">
        <v>764</v>
      </c>
      <c r="H462" s="41">
        <f>H463</f>
        <v>403</v>
      </c>
      <c r="I462" s="41">
        <f t="shared" ref="I462:J462" si="207">I463</f>
        <v>0</v>
      </c>
      <c r="J462" s="41">
        <f t="shared" si="207"/>
        <v>0</v>
      </c>
    </row>
    <row r="463" spans="1:10" ht="24.75" customHeight="1">
      <c r="A463" s="1"/>
      <c r="B463" s="25"/>
      <c r="C463" s="16" t="s">
        <v>147</v>
      </c>
      <c r="D463" s="16" t="s">
        <v>145</v>
      </c>
      <c r="E463" s="80" t="s">
        <v>595</v>
      </c>
      <c r="F463" s="16"/>
      <c r="G463" s="103" t="s">
        <v>283</v>
      </c>
      <c r="H463" s="41">
        <f t="shared" ref="H463:J463" si="208">H464</f>
        <v>403</v>
      </c>
      <c r="I463" s="41">
        <f t="shared" si="208"/>
        <v>0</v>
      </c>
      <c r="J463" s="41">
        <f t="shared" si="208"/>
        <v>0</v>
      </c>
    </row>
    <row r="464" spans="1:10" ht="38.25">
      <c r="A464" s="1"/>
      <c r="B464" s="25"/>
      <c r="C464" s="16" t="s">
        <v>147</v>
      </c>
      <c r="D464" s="16" t="s">
        <v>145</v>
      </c>
      <c r="E464" s="80" t="s">
        <v>595</v>
      </c>
      <c r="F464" s="85" t="s">
        <v>325</v>
      </c>
      <c r="G464" s="103" t="s">
        <v>326</v>
      </c>
      <c r="H464" s="39">
        <v>403</v>
      </c>
      <c r="I464" s="39">
        <v>0</v>
      </c>
      <c r="J464" s="39">
        <v>0</v>
      </c>
    </row>
    <row r="465" spans="1:10" ht="24.75" customHeight="1">
      <c r="A465" s="1"/>
      <c r="B465" s="25"/>
      <c r="C465" s="16" t="s">
        <v>147</v>
      </c>
      <c r="D465" s="16" t="s">
        <v>145</v>
      </c>
      <c r="E465" s="52" t="s">
        <v>94</v>
      </c>
      <c r="F465" s="47"/>
      <c r="G465" s="48" t="s">
        <v>284</v>
      </c>
      <c r="H465" s="98">
        <f t="shared" ref="H465:J465" si="209">H466</f>
        <v>6194</v>
      </c>
      <c r="I465" s="98">
        <f t="shared" si="209"/>
        <v>2835</v>
      </c>
      <c r="J465" s="98">
        <f t="shared" si="209"/>
        <v>2835</v>
      </c>
    </row>
    <row r="466" spans="1:10" ht="51">
      <c r="A466" s="1"/>
      <c r="B466" s="25"/>
      <c r="C466" s="16" t="s">
        <v>147</v>
      </c>
      <c r="D466" s="16" t="s">
        <v>145</v>
      </c>
      <c r="E466" s="21" t="s">
        <v>370</v>
      </c>
      <c r="F466" s="47"/>
      <c r="G466" s="105" t="s">
        <v>374</v>
      </c>
      <c r="H466" s="104">
        <f t="shared" ref="H466:I466" si="210">H467+H469+H471</f>
        <v>6194</v>
      </c>
      <c r="I466" s="104">
        <f t="shared" si="210"/>
        <v>2835</v>
      </c>
      <c r="J466" s="104">
        <f t="shared" ref="J466" si="211">J467+J469+J471</f>
        <v>2835</v>
      </c>
    </row>
    <row r="467" spans="1:10" ht="25.5">
      <c r="A467" s="1"/>
      <c r="B467" s="25"/>
      <c r="C467" s="16" t="s">
        <v>147</v>
      </c>
      <c r="D467" s="16" t="s">
        <v>145</v>
      </c>
      <c r="E467" s="21" t="s">
        <v>95</v>
      </c>
      <c r="F467" s="16"/>
      <c r="G467" s="103" t="s">
        <v>478</v>
      </c>
      <c r="H467" s="41">
        <f t="shared" ref="H467:J467" si="212">H468</f>
        <v>3070.2999999999997</v>
      </c>
      <c r="I467" s="41">
        <f t="shared" si="212"/>
        <v>2800</v>
      </c>
      <c r="J467" s="41">
        <f t="shared" si="212"/>
        <v>2800</v>
      </c>
    </row>
    <row r="468" spans="1:10" ht="38.25">
      <c r="A468" s="1"/>
      <c r="B468" s="25"/>
      <c r="C468" s="16" t="s">
        <v>147</v>
      </c>
      <c r="D468" s="16" t="s">
        <v>145</v>
      </c>
      <c r="E468" s="21" t="s">
        <v>95</v>
      </c>
      <c r="F468" s="85" t="s">
        <v>325</v>
      </c>
      <c r="G468" s="103" t="s">
        <v>326</v>
      </c>
      <c r="H468" s="41">
        <f>3500+141.2-599.9+29</f>
        <v>3070.2999999999997</v>
      </c>
      <c r="I468" s="41">
        <v>2800</v>
      </c>
      <c r="J468" s="41">
        <v>2800</v>
      </c>
    </row>
    <row r="469" spans="1:10" ht="25.5">
      <c r="A469" s="1"/>
      <c r="B469" s="25"/>
      <c r="C469" s="16" t="s">
        <v>147</v>
      </c>
      <c r="D469" s="16" t="s">
        <v>145</v>
      </c>
      <c r="E469" s="21" t="s">
        <v>96</v>
      </c>
      <c r="F469" s="16"/>
      <c r="G469" s="103" t="s">
        <v>31</v>
      </c>
      <c r="H469" s="41">
        <f t="shared" ref="H469:J469" si="213">H470</f>
        <v>2998.7</v>
      </c>
      <c r="I469" s="41">
        <f t="shared" si="213"/>
        <v>30</v>
      </c>
      <c r="J469" s="41">
        <f t="shared" si="213"/>
        <v>30</v>
      </c>
    </row>
    <row r="470" spans="1:10" ht="38.25">
      <c r="A470" s="1"/>
      <c r="B470" s="25"/>
      <c r="C470" s="47" t="s">
        <v>147</v>
      </c>
      <c r="D470" s="47" t="s">
        <v>145</v>
      </c>
      <c r="E470" s="21" t="s">
        <v>96</v>
      </c>
      <c r="F470" s="85" t="s">
        <v>325</v>
      </c>
      <c r="G470" s="103" t="s">
        <v>326</v>
      </c>
      <c r="H470" s="41">
        <f>4170-350-1171.3+350</f>
        <v>2998.7</v>
      </c>
      <c r="I470" s="41">
        <v>30</v>
      </c>
      <c r="J470" s="41">
        <v>30</v>
      </c>
    </row>
    <row r="471" spans="1:10" ht="25.5">
      <c r="A471" s="1"/>
      <c r="B471" s="25"/>
      <c r="C471" s="16" t="s">
        <v>147</v>
      </c>
      <c r="D471" s="16" t="s">
        <v>145</v>
      </c>
      <c r="E471" s="21" t="s">
        <v>97</v>
      </c>
      <c r="F471" s="16"/>
      <c r="G471" s="103" t="s">
        <v>287</v>
      </c>
      <c r="H471" s="41">
        <f t="shared" ref="H471:J471" si="214">H472</f>
        <v>125</v>
      </c>
      <c r="I471" s="41">
        <f t="shared" si="214"/>
        <v>5</v>
      </c>
      <c r="J471" s="41">
        <f t="shared" si="214"/>
        <v>5</v>
      </c>
    </row>
    <row r="472" spans="1:10" ht="38.25">
      <c r="A472" s="1"/>
      <c r="B472" s="25"/>
      <c r="C472" s="16" t="s">
        <v>147</v>
      </c>
      <c r="D472" s="16" t="s">
        <v>145</v>
      </c>
      <c r="E472" s="21" t="s">
        <v>97</v>
      </c>
      <c r="F472" s="85" t="s">
        <v>325</v>
      </c>
      <c r="G472" s="103" t="s">
        <v>326</v>
      </c>
      <c r="H472" s="41">
        <v>125</v>
      </c>
      <c r="I472" s="41">
        <v>5</v>
      </c>
      <c r="J472" s="41">
        <v>5</v>
      </c>
    </row>
    <row r="473" spans="1:10" ht="39" customHeight="1">
      <c r="A473" s="1"/>
      <c r="B473" s="25"/>
      <c r="C473" s="47" t="s">
        <v>147</v>
      </c>
      <c r="D473" s="47" t="s">
        <v>145</v>
      </c>
      <c r="E473" s="52" t="s">
        <v>98</v>
      </c>
      <c r="F473" s="47"/>
      <c r="G473" s="48" t="s">
        <v>604</v>
      </c>
      <c r="H473" s="98">
        <f t="shared" ref="H473:I473" si="215">H474+H481+H484</f>
        <v>2263.8000000000002</v>
      </c>
      <c r="I473" s="98">
        <f t="shared" si="215"/>
        <v>1127.2</v>
      </c>
      <c r="J473" s="98">
        <f t="shared" ref="J473" si="216">J474+J481+J484</f>
        <v>1127.2</v>
      </c>
    </row>
    <row r="474" spans="1:10" ht="28.5" customHeight="1">
      <c r="A474" s="1"/>
      <c r="B474" s="25"/>
      <c r="C474" s="16" t="s">
        <v>147</v>
      </c>
      <c r="D474" s="16" t="s">
        <v>145</v>
      </c>
      <c r="E474" s="21" t="s">
        <v>371</v>
      </c>
      <c r="F474" s="47"/>
      <c r="G474" s="105" t="s">
        <v>372</v>
      </c>
      <c r="H474" s="98">
        <f>H475+H477+H479</f>
        <v>1763.8</v>
      </c>
      <c r="I474" s="98">
        <f t="shared" ref="I474:J474" si="217">I475+I477+I479</f>
        <v>434</v>
      </c>
      <c r="J474" s="98">
        <f t="shared" si="217"/>
        <v>434</v>
      </c>
    </row>
    <row r="475" spans="1:10" ht="45.75" customHeight="1">
      <c r="A475" s="1"/>
      <c r="B475" s="25"/>
      <c r="C475" s="16" t="s">
        <v>147</v>
      </c>
      <c r="D475" s="16" t="s">
        <v>145</v>
      </c>
      <c r="E475" s="80" t="s">
        <v>99</v>
      </c>
      <c r="F475" s="16"/>
      <c r="G475" s="103" t="s">
        <v>285</v>
      </c>
      <c r="H475" s="41">
        <f t="shared" ref="H475:J475" si="218">H476</f>
        <v>783.8</v>
      </c>
      <c r="I475" s="41">
        <f t="shared" si="218"/>
        <v>334</v>
      </c>
      <c r="J475" s="41">
        <f t="shared" si="218"/>
        <v>334</v>
      </c>
    </row>
    <row r="476" spans="1:10" ht="38.25">
      <c r="A476" s="1"/>
      <c r="B476" s="25"/>
      <c r="C476" s="16" t="s">
        <v>147</v>
      </c>
      <c r="D476" s="16" t="s">
        <v>145</v>
      </c>
      <c r="E476" s="80" t="s">
        <v>99</v>
      </c>
      <c r="F476" s="85" t="s">
        <v>325</v>
      </c>
      <c r="G476" s="103" t="s">
        <v>326</v>
      </c>
      <c r="H476" s="41">
        <f>683.8+100</f>
        <v>783.8</v>
      </c>
      <c r="I476" s="39">
        <v>334</v>
      </c>
      <c r="J476" s="39">
        <v>334</v>
      </c>
    </row>
    <row r="477" spans="1:10" ht="76.5">
      <c r="A477" s="1"/>
      <c r="B477" s="25"/>
      <c r="C477" s="16" t="s">
        <v>147</v>
      </c>
      <c r="D477" s="16" t="s">
        <v>145</v>
      </c>
      <c r="E477" s="80" t="s">
        <v>100</v>
      </c>
      <c r="F477" s="16"/>
      <c r="G477" s="103" t="s">
        <v>286</v>
      </c>
      <c r="H477" s="41">
        <f t="shared" ref="H477:J477" si="219">H478</f>
        <v>830</v>
      </c>
      <c r="I477" s="41">
        <f t="shared" si="219"/>
        <v>100</v>
      </c>
      <c r="J477" s="41">
        <f t="shared" si="219"/>
        <v>100</v>
      </c>
    </row>
    <row r="478" spans="1:10" ht="38.25">
      <c r="A478" s="1"/>
      <c r="B478" s="25"/>
      <c r="C478" s="16" t="s">
        <v>147</v>
      </c>
      <c r="D478" s="16" t="s">
        <v>145</v>
      </c>
      <c r="E478" s="80" t="s">
        <v>100</v>
      </c>
      <c r="F478" s="85" t="s">
        <v>325</v>
      </c>
      <c r="G478" s="103" t="s">
        <v>326</v>
      </c>
      <c r="H478" s="41">
        <f>330+500</f>
        <v>830</v>
      </c>
      <c r="I478" s="41">
        <v>100</v>
      </c>
      <c r="J478" s="41">
        <v>100</v>
      </c>
    </row>
    <row r="479" spans="1:10" ht="38.25">
      <c r="A479" s="158"/>
      <c r="B479" s="25"/>
      <c r="C479" s="16" t="s">
        <v>147</v>
      </c>
      <c r="D479" s="16" t="s">
        <v>145</v>
      </c>
      <c r="E479" s="80">
        <v>1240110920</v>
      </c>
      <c r="F479" s="85"/>
      <c r="G479" s="183" t="s">
        <v>895</v>
      </c>
      <c r="H479" s="41">
        <f>H480</f>
        <v>150</v>
      </c>
      <c r="I479" s="41">
        <f t="shared" ref="I479:J479" si="220">I480</f>
        <v>0</v>
      </c>
      <c r="J479" s="41">
        <f t="shared" si="220"/>
        <v>0</v>
      </c>
    </row>
    <row r="480" spans="1:10" ht="38.25">
      <c r="A480" s="158"/>
      <c r="B480" s="25"/>
      <c r="C480" s="16" t="s">
        <v>147</v>
      </c>
      <c r="D480" s="16" t="s">
        <v>145</v>
      </c>
      <c r="E480" s="80">
        <v>1240110920</v>
      </c>
      <c r="F480" s="85" t="s">
        <v>325</v>
      </c>
      <c r="G480" s="103" t="s">
        <v>326</v>
      </c>
      <c r="H480" s="41">
        <v>150</v>
      </c>
      <c r="I480" s="41">
        <v>0</v>
      </c>
      <c r="J480" s="41">
        <v>0</v>
      </c>
    </row>
    <row r="481" spans="1:10" ht="38.25">
      <c r="A481" s="1"/>
      <c r="B481" s="25"/>
      <c r="C481" s="16" t="s">
        <v>147</v>
      </c>
      <c r="D481" s="16" t="s">
        <v>145</v>
      </c>
      <c r="E481" s="21" t="s">
        <v>547</v>
      </c>
      <c r="F481" s="47"/>
      <c r="G481" s="105" t="s">
        <v>387</v>
      </c>
      <c r="H481" s="41">
        <f t="shared" ref="H481:J481" si="221">H482</f>
        <v>500</v>
      </c>
      <c r="I481" s="41">
        <f t="shared" si="221"/>
        <v>393.2</v>
      </c>
      <c r="J481" s="41">
        <f t="shared" si="221"/>
        <v>393.2</v>
      </c>
    </row>
    <row r="482" spans="1:10" ht="25.5">
      <c r="A482" s="1"/>
      <c r="B482" s="25"/>
      <c r="C482" s="47" t="s">
        <v>147</v>
      </c>
      <c r="D482" s="47" t="s">
        <v>145</v>
      </c>
      <c r="E482" s="80" t="s">
        <v>546</v>
      </c>
      <c r="F482" s="16"/>
      <c r="G482" s="103" t="s">
        <v>307</v>
      </c>
      <c r="H482" s="41">
        <f>H483</f>
        <v>500</v>
      </c>
      <c r="I482" s="41">
        <f>I483</f>
        <v>393.2</v>
      </c>
      <c r="J482" s="41">
        <f>J483</f>
        <v>393.2</v>
      </c>
    </row>
    <row r="483" spans="1:10" ht="38.25">
      <c r="A483" s="1"/>
      <c r="B483" s="25"/>
      <c r="C483" s="16" t="s">
        <v>147</v>
      </c>
      <c r="D483" s="16" t="s">
        <v>145</v>
      </c>
      <c r="E483" s="80" t="s">
        <v>546</v>
      </c>
      <c r="F483" s="85" t="s">
        <v>325</v>
      </c>
      <c r="G483" s="103" t="s">
        <v>326</v>
      </c>
      <c r="H483" s="41">
        <v>500</v>
      </c>
      <c r="I483" s="41">
        <v>393.2</v>
      </c>
      <c r="J483" s="41">
        <v>393.2</v>
      </c>
    </row>
    <row r="484" spans="1:10" ht="51">
      <c r="A484" s="1"/>
      <c r="B484" s="25"/>
      <c r="C484" s="16" t="s">
        <v>147</v>
      </c>
      <c r="D484" s="16" t="s">
        <v>145</v>
      </c>
      <c r="E484" s="21" t="s">
        <v>548</v>
      </c>
      <c r="F484" s="47"/>
      <c r="G484" s="105" t="s">
        <v>374</v>
      </c>
      <c r="H484" s="41">
        <f t="shared" ref="H484:J485" si="222">H485</f>
        <v>0</v>
      </c>
      <c r="I484" s="41">
        <f t="shared" si="222"/>
        <v>300</v>
      </c>
      <c r="J484" s="41">
        <f t="shared" si="222"/>
        <v>300</v>
      </c>
    </row>
    <row r="485" spans="1:10" ht="38.25">
      <c r="A485" s="1"/>
      <c r="B485" s="25"/>
      <c r="C485" s="16" t="s">
        <v>147</v>
      </c>
      <c r="D485" s="16" t="s">
        <v>145</v>
      </c>
      <c r="E485" s="80" t="s">
        <v>549</v>
      </c>
      <c r="F485" s="16"/>
      <c r="G485" s="103" t="s">
        <v>375</v>
      </c>
      <c r="H485" s="41">
        <f t="shared" si="222"/>
        <v>0</v>
      </c>
      <c r="I485" s="41">
        <f t="shared" si="222"/>
        <v>300</v>
      </c>
      <c r="J485" s="41">
        <f t="shared" si="222"/>
        <v>300</v>
      </c>
    </row>
    <row r="486" spans="1:10" ht="38.25">
      <c r="A486" s="1"/>
      <c r="B486" s="25"/>
      <c r="C486" s="16" t="s">
        <v>147</v>
      </c>
      <c r="D486" s="16" t="s">
        <v>145</v>
      </c>
      <c r="E486" s="80" t="s">
        <v>549</v>
      </c>
      <c r="F486" s="85" t="s">
        <v>325</v>
      </c>
      <c r="G486" s="103" t="s">
        <v>326</v>
      </c>
      <c r="H486" s="41">
        <v>0</v>
      </c>
      <c r="I486" s="41">
        <v>300</v>
      </c>
      <c r="J486" s="41">
        <v>300</v>
      </c>
    </row>
    <row r="487" spans="1:10" ht="51">
      <c r="A487" s="158"/>
      <c r="B487" s="25"/>
      <c r="C487" s="16" t="s">
        <v>147</v>
      </c>
      <c r="D487" s="16" t="s">
        <v>145</v>
      </c>
      <c r="E487" s="52" t="s">
        <v>778</v>
      </c>
      <c r="F487" s="16"/>
      <c r="G487" s="60" t="s">
        <v>779</v>
      </c>
      <c r="H487" s="98">
        <f>H488</f>
        <v>3693.8</v>
      </c>
      <c r="I487" s="98">
        <f>I488</f>
        <v>3116.3</v>
      </c>
      <c r="J487" s="98">
        <f t="shared" ref="J487" si="223">J488</f>
        <v>0</v>
      </c>
    </row>
    <row r="488" spans="1:10" ht="51">
      <c r="A488" s="158"/>
      <c r="B488" s="25"/>
      <c r="C488" s="16" t="s">
        <v>147</v>
      </c>
      <c r="D488" s="16" t="s">
        <v>145</v>
      </c>
      <c r="E488" s="21" t="s">
        <v>783</v>
      </c>
      <c r="F488" s="85"/>
      <c r="G488" s="103" t="s">
        <v>784</v>
      </c>
      <c r="H488" s="41">
        <f>H489+H501+H513</f>
        <v>3693.8</v>
      </c>
      <c r="I488" s="41">
        <f>I489+I523+I530</f>
        <v>3116.3</v>
      </c>
      <c r="J488" s="41">
        <f>J489+J523+J530</f>
        <v>0</v>
      </c>
    </row>
    <row r="489" spans="1:10" ht="51">
      <c r="A489" s="158"/>
      <c r="B489" s="25"/>
      <c r="C489" s="16" t="s">
        <v>147</v>
      </c>
      <c r="D489" s="16" t="s">
        <v>145</v>
      </c>
      <c r="E489" s="21" t="s">
        <v>785</v>
      </c>
      <c r="F489" s="85"/>
      <c r="G489" s="103" t="s">
        <v>780</v>
      </c>
      <c r="H489" s="41">
        <f>H490</f>
        <v>1825.8000000000002</v>
      </c>
      <c r="I489" s="41">
        <f>I490</f>
        <v>3116.3</v>
      </c>
      <c r="J489" s="41">
        <f>J490</f>
        <v>0</v>
      </c>
    </row>
    <row r="490" spans="1:10" ht="38.25">
      <c r="A490" s="158"/>
      <c r="B490" s="25"/>
      <c r="C490" s="16" t="s">
        <v>147</v>
      </c>
      <c r="D490" s="16" t="s">
        <v>145</v>
      </c>
      <c r="E490" s="21" t="s">
        <v>785</v>
      </c>
      <c r="F490" s="85" t="s">
        <v>325</v>
      </c>
      <c r="G490" s="103" t="s">
        <v>326</v>
      </c>
      <c r="H490" s="41">
        <f>H492+H494+H496+H498+H500</f>
        <v>1825.8000000000002</v>
      </c>
      <c r="I490" s="41">
        <v>3116.3</v>
      </c>
      <c r="J490" s="41">
        <f t="shared" ref="J490" si="224">J492+J494+J496+J498+J500</f>
        <v>0</v>
      </c>
    </row>
    <row r="491" spans="1:10" ht="38.25">
      <c r="A491" s="158"/>
      <c r="B491" s="25"/>
      <c r="C491" s="16" t="s">
        <v>147</v>
      </c>
      <c r="D491" s="16" t="s">
        <v>145</v>
      </c>
      <c r="E491" s="21" t="s">
        <v>844</v>
      </c>
      <c r="F491" s="85"/>
      <c r="G491" s="103" t="s">
        <v>941</v>
      </c>
      <c r="H491" s="41">
        <f>H492</f>
        <v>1422.7</v>
      </c>
      <c r="I491" s="41">
        <f t="shared" ref="I491:J491" si="225">I492</f>
        <v>0</v>
      </c>
      <c r="J491" s="41">
        <f t="shared" si="225"/>
        <v>0</v>
      </c>
    </row>
    <row r="492" spans="1:10" ht="38.25">
      <c r="A492" s="158"/>
      <c r="B492" s="25"/>
      <c r="C492" s="16" t="s">
        <v>147</v>
      </c>
      <c r="D492" s="16" t="s">
        <v>145</v>
      </c>
      <c r="E492" s="21" t="s">
        <v>844</v>
      </c>
      <c r="F492" s="85" t="s">
        <v>325</v>
      </c>
      <c r="G492" s="103" t="s">
        <v>326</v>
      </c>
      <c r="H492" s="41">
        <f>1123.8+317.2+3-27.7+6.4</f>
        <v>1422.7</v>
      </c>
      <c r="I492" s="41">
        <v>0</v>
      </c>
      <c r="J492" s="41">
        <v>0</v>
      </c>
    </row>
    <row r="493" spans="1:10" ht="51">
      <c r="A493" s="158"/>
      <c r="B493" s="25"/>
      <c r="C493" s="16" t="s">
        <v>147</v>
      </c>
      <c r="D493" s="16" t="s">
        <v>145</v>
      </c>
      <c r="E493" s="21" t="s">
        <v>849</v>
      </c>
      <c r="F493" s="85"/>
      <c r="G493" s="103" t="s">
        <v>846</v>
      </c>
      <c r="H493" s="41">
        <f>H494</f>
        <v>143.69999999999999</v>
      </c>
      <c r="I493" s="41">
        <f t="shared" ref="I493:J493" si="226">I494</f>
        <v>0</v>
      </c>
      <c r="J493" s="41">
        <f t="shared" si="226"/>
        <v>0</v>
      </c>
    </row>
    <row r="494" spans="1:10" ht="38.25">
      <c r="A494" s="158"/>
      <c r="B494" s="25"/>
      <c r="C494" s="16" t="s">
        <v>147</v>
      </c>
      <c r="D494" s="16" t="s">
        <v>145</v>
      </c>
      <c r="E494" s="21" t="s">
        <v>849</v>
      </c>
      <c r="F494" s="85" t="s">
        <v>325</v>
      </c>
      <c r="G494" s="103" t="s">
        <v>326</v>
      </c>
      <c r="H494" s="41">
        <v>143.69999999999999</v>
      </c>
      <c r="I494" s="41">
        <v>0</v>
      </c>
      <c r="J494" s="41">
        <v>0</v>
      </c>
    </row>
    <row r="495" spans="1:10" ht="51">
      <c r="A495" s="158"/>
      <c r="B495" s="25"/>
      <c r="C495" s="16" t="s">
        <v>147</v>
      </c>
      <c r="D495" s="16" t="s">
        <v>145</v>
      </c>
      <c r="E495" s="21" t="s">
        <v>851</v>
      </c>
      <c r="F495" s="85"/>
      <c r="G495" s="103" t="s">
        <v>832</v>
      </c>
      <c r="H495" s="41">
        <f>H496</f>
        <v>80</v>
      </c>
      <c r="I495" s="41">
        <f t="shared" ref="I495:J495" si="227">I496</f>
        <v>0</v>
      </c>
      <c r="J495" s="41">
        <f t="shared" si="227"/>
        <v>0</v>
      </c>
    </row>
    <row r="496" spans="1:10" ht="38.25">
      <c r="A496" s="158"/>
      <c r="B496" s="25"/>
      <c r="C496" s="16" t="s">
        <v>147</v>
      </c>
      <c r="D496" s="16" t="s">
        <v>145</v>
      </c>
      <c r="E496" s="21" t="s">
        <v>851</v>
      </c>
      <c r="F496" s="85" t="s">
        <v>325</v>
      </c>
      <c r="G496" s="103" t="s">
        <v>326</v>
      </c>
      <c r="H496" s="41">
        <v>80</v>
      </c>
      <c r="I496" s="41">
        <v>0</v>
      </c>
      <c r="J496" s="41">
        <v>0</v>
      </c>
    </row>
    <row r="497" spans="1:10" ht="38.25">
      <c r="A497" s="158"/>
      <c r="B497" s="25"/>
      <c r="C497" s="16" t="s">
        <v>147</v>
      </c>
      <c r="D497" s="16" t="s">
        <v>145</v>
      </c>
      <c r="E497" s="21" t="s">
        <v>857</v>
      </c>
      <c r="F497" s="85"/>
      <c r="G497" s="103" t="s">
        <v>833</v>
      </c>
      <c r="H497" s="41">
        <f>H498</f>
        <v>99.4</v>
      </c>
      <c r="I497" s="41">
        <f t="shared" ref="I497:J497" si="228">I498</f>
        <v>0</v>
      </c>
      <c r="J497" s="41">
        <f t="shared" si="228"/>
        <v>0</v>
      </c>
    </row>
    <row r="498" spans="1:10" ht="38.25">
      <c r="A498" s="158"/>
      <c r="B498" s="25"/>
      <c r="C498" s="16" t="s">
        <v>147</v>
      </c>
      <c r="D498" s="16" t="s">
        <v>145</v>
      </c>
      <c r="E498" s="21" t="s">
        <v>857</v>
      </c>
      <c r="F498" s="85" t="s">
        <v>325</v>
      </c>
      <c r="G498" s="103" t="s">
        <v>326</v>
      </c>
      <c r="H498" s="41">
        <v>99.4</v>
      </c>
      <c r="I498" s="41">
        <v>0</v>
      </c>
      <c r="J498" s="41">
        <v>0</v>
      </c>
    </row>
    <row r="499" spans="1:10" ht="51">
      <c r="A499" s="158"/>
      <c r="B499" s="25"/>
      <c r="C499" s="16" t="s">
        <v>147</v>
      </c>
      <c r="D499" s="16" t="s">
        <v>145</v>
      </c>
      <c r="E499" s="21" t="s">
        <v>858</v>
      </c>
      <c r="F499" s="85"/>
      <c r="G499" s="103" t="s">
        <v>834</v>
      </c>
      <c r="H499" s="41">
        <f>H500</f>
        <v>80</v>
      </c>
      <c r="I499" s="41">
        <f t="shared" ref="I499:J499" si="229">I500</f>
        <v>0</v>
      </c>
      <c r="J499" s="41">
        <f t="shared" si="229"/>
        <v>0</v>
      </c>
    </row>
    <row r="500" spans="1:10" ht="38.25">
      <c r="A500" s="158"/>
      <c r="B500" s="25"/>
      <c r="C500" s="16" t="s">
        <v>147</v>
      </c>
      <c r="D500" s="16" t="s">
        <v>145</v>
      </c>
      <c r="E500" s="21" t="s">
        <v>858</v>
      </c>
      <c r="F500" s="85" t="s">
        <v>325</v>
      </c>
      <c r="G500" s="103" t="s">
        <v>326</v>
      </c>
      <c r="H500" s="41">
        <v>80</v>
      </c>
      <c r="I500" s="41">
        <v>0</v>
      </c>
      <c r="J500" s="41">
        <v>0</v>
      </c>
    </row>
    <row r="501" spans="1:10" ht="38.25">
      <c r="A501" s="158"/>
      <c r="B501" s="25"/>
      <c r="C501" s="16" t="s">
        <v>147</v>
      </c>
      <c r="D501" s="16" t="s">
        <v>145</v>
      </c>
      <c r="E501" s="21" t="s">
        <v>838</v>
      </c>
      <c r="F501" s="85"/>
      <c r="G501" s="54" t="s">
        <v>835</v>
      </c>
      <c r="H501" s="41">
        <f>H502</f>
        <v>1828</v>
      </c>
      <c r="I501" s="41">
        <f t="shared" ref="I501:J501" si="230">I502</f>
        <v>0</v>
      </c>
      <c r="J501" s="41">
        <f t="shared" si="230"/>
        <v>0</v>
      </c>
    </row>
    <row r="502" spans="1:10" ht="38.25">
      <c r="A502" s="158"/>
      <c r="B502" s="25"/>
      <c r="C502" s="16" t="s">
        <v>147</v>
      </c>
      <c r="D502" s="16" t="s">
        <v>145</v>
      </c>
      <c r="E502" s="21" t="s">
        <v>838</v>
      </c>
      <c r="F502" s="85" t="s">
        <v>325</v>
      </c>
      <c r="G502" s="103" t="s">
        <v>326</v>
      </c>
      <c r="H502" s="41">
        <f>H504+H506+H508+H510+H512</f>
        <v>1828</v>
      </c>
      <c r="I502" s="41">
        <f t="shared" ref="I502:J502" si="231">I504+I506+I508+I510+I512</f>
        <v>0</v>
      </c>
      <c r="J502" s="41">
        <f t="shared" si="231"/>
        <v>0</v>
      </c>
    </row>
    <row r="503" spans="1:10" ht="38.25">
      <c r="A503" s="158"/>
      <c r="B503" s="25"/>
      <c r="C503" s="16" t="s">
        <v>147</v>
      </c>
      <c r="D503" s="16" t="s">
        <v>145</v>
      </c>
      <c r="E503" s="21" t="s">
        <v>848</v>
      </c>
      <c r="F503" s="85"/>
      <c r="G503" s="103" t="s">
        <v>942</v>
      </c>
      <c r="H503" s="41">
        <f>H504</f>
        <v>1440</v>
      </c>
      <c r="I503" s="41">
        <f t="shared" ref="I503:J503" si="232">I504</f>
        <v>0</v>
      </c>
      <c r="J503" s="41">
        <f t="shared" si="232"/>
        <v>0</v>
      </c>
    </row>
    <row r="504" spans="1:10" ht="38.25">
      <c r="A504" s="158"/>
      <c r="B504" s="25"/>
      <c r="C504" s="16" t="s">
        <v>147</v>
      </c>
      <c r="D504" s="16" t="s">
        <v>145</v>
      </c>
      <c r="E504" s="21" t="s">
        <v>848</v>
      </c>
      <c r="F504" s="85" t="s">
        <v>325</v>
      </c>
      <c r="G504" s="103" t="s">
        <v>326</v>
      </c>
      <c r="H504" s="41">
        <v>1440</v>
      </c>
      <c r="I504" s="41">
        <v>0</v>
      </c>
      <c r="J504" s="41">
        <v>0</v>
      </c>
    </row>
    <row r="505" spans="1:10" ht="51">
      <c r="A505" s="158"/>
      <c r="B505" s="25"/>
      <c r="C505" s="16" t="s">
        <v>147</v>
      </c>
      <c r="D505" s="16" t="s">
        <v>145</v>
      </c>
      <c r="E505" s="21" t="s">
        <v>850</v>
      </c>
      <c r="F505" s="85"/>
      <c r="G505" s="103" t="s">
        <v>846</v>
      </c>
      <c r="H505" s="41">
        <f>H506</f>
        <v>153.69999999999999</v>
      </c>
      <c r="I505" s="41">
        <f t="shared" ref="I505:J505" si="233">I506</f>
        <v>0</v>
      </c>
      <c r="J505" s="41">
        <f t="shared" si="233"/>
        <v>0</v>
      </c>
    </row>
    <row r="506" spans="1:10" ht="38.25">
      <c r="A506" s="158"/>
      <c r="B506" s="25"/>
      <c r="C506" s="16" t="s">
        <v>147</v>
      </c>
      <c r="D506" s="16" t="s">
        <v>145</v>
      </c>
      <c r="E506" s="21" t="s">
        <v>850</v>
      </c>
      <c r="F506" s="85" t="s">
        <v>325</v>
      </c>
      <c r="G506" s="103" t="s">
        <v>326</v>
      </c>
      <c r="H506" s="41">
        <v>153.69999999999999</v>
      </c>
      <c r="I506" s="41">
        <v>0</v>
      </c>
      <c r="J506" s="41">
        <v>0</v>
      </c>
    </row>
    <row r="507" spans="1:10" ht="51">
      <c r="A507" s="158"/>
      <c r="B507" s="25"/>
      <c r="C507" s="16" t="s">
        <v>147</v>
      </c>
      <c r="D507" s="16" t="s">
        <v>145</v>
      </c>
      <c r="E507" s="21" t="s">
        <v>852</v>
      </c>
      <c r="F507" s="85"/>
      <c r="G507" s="103" t="s">
        <v>832</v>
      </c>
      <c r="H507" s="41">
        <f>H508</f>
        <v>49.7</v>
      </c>
      <c r="I507" s="41">
        <f t="shared" ref="I507:J507" si="234">I508</f>
        <v>0</v>
      </c>
      <c r="J507" s="41">
        <f t="shared" si="234"/>
        <v>0</v>
      </c>
    </row>
    <row r="508" spans="1:10" ht="38.25">
      <c r="A508" s="158"/>
      <c r="B508" s="25"/>
      <c r="C508" s="16" t="s">
        <v>147</v>
      </c>
      <c r="D508" s="16" t="s">
        <v>145</v>
      </c>
      <c r="E508" s="21" t="s">
        <v>852</v>
      </c>
      <c r="F508" s="85" t="s">
        <v>325</v>
      </c>
      <c r="G508" s="103" t="s">
        <v>326</v>
      </c>
      <c r="H508" s="41">
        <v>49.7</v>
      </c>
      <c r="I508" s="41">
        <v>0</v>
      </c>
      <c r="J508" s="41">
        <v>0</v>
      </c>
    </row>
    <row r="509" spans="1:10" ht="38.25">
      <c r="A509" s="158"/>
      <c r="B509" s="25"/>
      <c r="C509" s="16" t="s">
        <v>147</v>
      </c>
      <c r="D509" s="16" t="s">
        <v>145</v>
      </c>
      <c r="E509" s="21" t="s">
        <v>855</v>
      </c>
      <c r="F509" s="85"/>
      <c r="G509" s="103" t="s">
        <v>833</v>
      </c>
      <c r="H509" s="41">
        <f>H510</f>
        <v>110</v>
      </c>
      <c r="I509" s="41">
        <f t="shared" ref="I509:J509" si="235">I510</f>
        <v>0</v>
      </c>
      <c r="J509" s="41">
        <f t="shared" si="235"/>
        <v>0</v>
      </c>
    </row>
    <row r="510" spans="1:10" ht="38.25">
      <c r="A510" s="158"/>
      <c r="B510" s="25"/>
      <c r="C510" s="16" t="s">
        <v>147</v>
      </c>
      <c r="D510" s="16" t="s">
        <v>145</v>
      </c>
      <c r="E510" s="21" t="s">
        <v>855</v>
      </c>
      <c r="F510" s="85" t="s">
        <v>325</v>
      </c>
      <c r="G510" s="103" t="s">
        <v>326</v>
      </c>
      <c r="H510" s="41">
        <v>110</v>
      </c>
      <c r="I510" s="41">
        <v>0</v>
      </c>
      <c r="J510" s="41">
        <v>0</v>
      </c>
    </row>
    <row r="511" spans="1:10" ht="51">
      <c r="A511" s="158"/>
      <c r="B511" s="25"/>
      <c r="C511" s="16" t="s">
        <v>147</v>
      </c>
      <c r="D511" s="16" t="s">
        <v>145</v>
      </c>
      <c r="E511" s="21" t="s">
        <v>856</v>
      </c>
      <c r="F511" s="85"/>
      <c r="G511" s="103" t="s">
        <v>834</v>
      </c>
      <c r="H511" s="41">
        <f>H512</f>
        <v>74.599999999999994</v>
      </c>
      <c r="I511" s="41">
        <f t="shared" ref="I511:J511" si="236">I512</f>
        <v>0</v>
      </c>
      <c r="J511" s="41">
        <f t="shared" si="236"/>
        <v>0</v>
      </c>
    </row>
    <row r="512" spans="1:10" ht="38.25">
      <c r="A512" s="158"/>
      <c r="B512" s="25"/>
      <c r="C512" s="16" t="s">
        <v>147</v>
      </c>
      <c r="D512" s="16" t="s">
        <v>145</v>
      </c>
      <c r="E512" s="21" t="s">
        <v>856</v>
      </c>
      <c r="F512" s="85" t="s">
        <v>325</v>
      </c>
      <c r="G512" s="103" t="s">
        <v>326</v>
      </c>
      <c r="H512" s="41">
        <v>74.599999999999994</v>
      </c>
      <c r="I512" s="41">
        <v>0</v>
      </c>
      <c r="J512" s="41">
        <v>0</v>
      </c>
    </row>
    <row r="513" spans="1:10" ht="76.5">
      <c r="A513" s="158"/>
      <c r="B513" s="25"/>
      <c r="C513" s="16" t="s">
        <v>147</v>
      </c>
      <c r="D513" s="16" t="s">
        <v>145</v>
      </c>
      <c r="E513" s="21" t="s">
        <v>839</v>
      </c>
      <c r="F513" s="85"/>
      <c r="G513" s="184" t="s">
        <v>836</v>
      </c>
      <c r="H513" s="41">
        <f>H514</f>
        <v>40</v>
      </c>
      <c r="I513" s="41">
        <f t="shared" ref="I513:J513" si="237">I514</f>
        <v>0</v>
      </c>
      <c r="J513" s="41">
        <f t="shared" si="237"/>
        <v>0</v>
      </c>
    </row>
    <row r="514" spans="1:10" ht="38.25">
      <c r="A514" s="158"/>
      <c r="B514" s="25"/>
      <c r="C514" s="16" t="s">
        <v>147</v>
      </c>
      <c r="D514" s="16" t="s">
        <v>145</v>
      </c>
      <c r="E514" s="21" t="s">
        <v>839</v>
      </c>
      <c r="F514" s="85" t="s">
        <v>325</v>
      </c>
      <c r="G514" s="103" t="s">
        <v>326</v>
      </c>
      <c r="H514" s="41">
        <f>H516+H518+H520+H522</f>
        <v>40</v>
      </c>
      <c r="I514" s="41">
        <f t="shared" ref="I514:J514" si="238">I516+I518+I520+I522</f>
        <v>0</v>
      </c>
      <c r="J514" s="41">
        <f t="shared" si="238"/>
        <v>0</v>
      </c>
    </row>
    <row r="515" spans="1:10" ht="51">
      <c r="A515" s="158"/>
      <c r="B515" s="25"/>
      <c r="C515" s="16" t="s">
        <v>147</v>
      </c>
      <c r="D515" s="16" t="s">
        <v>145</v>
      </c>
      <c r="E515" s="21" t="s">
        <v>853</v>
      </c>
      <c r="F515" s="85"/>
      <c r="G515" s="103" t="s">
        <v>846</v>
      </c>
      <c r="H515" s="41">
        <f>H516</f>
        <v>10</v>
      </c>
      <c r="I515" s="41">
        <f t="shared" ref="I515:J515" si="239">I516</f>
        <v>0</v>
      </c>
      <c r="J515" s="41">
        <f t="shared" si="239"/>
        <v>0</v>
      </c>
    </row>
    <row r="516" spans="1:10" ht="38.25">
      <c r="A516" s="158"/>
      <c r="B516" s="25"/>
      <c r="C516" s="16" t="s">
        <v>147</v>
      </c>
      <c r="D516" s="16" t="s">
        <v>145</v>
      </c>
      <c r="E516" s="21" t="s">
        <v>853</v>
      </c>
      <c r="F516" s="85" t="s">
        <v>325</v>
      </c>
      <c r="G516" s="103" t="s">
        <v>326</v>
      </c>
      <c r="H516" s="41">
        <v>10</v>
      </c>
      <c r="I516" s="41">
        <v>0</v>
      </c>
      <c r="J516" s="41">
        <v>0</v>
      </c>
    </row>
    <row r="517" spans="1:10" ht="51">
      <c r="A517" s="158"/>
      <c r="B517" s="25"/>
      <c r="C517" s="16" t="s">
        <v>147</v>
      </c>
      <c r="D517" s="16" t="s">
        <v>145</v>
      </c>
      <c r="E517" s="21" t="s">
        <v>854</v>
      </c>
      <c r="F517" s="85"/>
      <c r="G517" s="103" t="s">
        <v>832</v>
      </c>
      <c r="H517" s="41">
        <f>H518</f>
        <v>10</v>
      </c>
      <c r="I517" s="41">
        <f t="shared" ref="I517:J517" si="240">I518</f>
        <v>0</v>
      </c>
      <c r="J517" s="41">
        <f t="shared" si="240"/>
        <v>0</v>
      </c>
    </row>
    <row r="518" spans="1:10" ht="38.25">
      <c r="A518" s="158"/>
      <c r="B518" s="25"/>
      <c r="C518" s="16" t="s">
        <v>147</v>
      </c>
      <c r="D518" s="16" t="s">
        <v>145</v>
      </c>
      <c r="E518" s="21" t="s">
        <v>854</v>
      </c>
      <c r="F518" s="85" t="s">
        <v>325</v>
      </c>
      <c r="G518" s="103" t="s">
        <v>326</v>
      </c>
      <c r="H518" s="41">
        <v>10</v>
      </c>
      <c r="I518" s="41">
        <v>0</v>
      </c>
      <c r="J518" s="41">
        <v>0</v>
      </c>
    </row>
    <row r="519" spans="1:10" ht="38.25">
      <c r="A519" s="158"/>
      <c r="B519" s="25"/>
      <c r="C519" s="16" t="s">
        <v>147</v>
      </c>
      <c r="D519" s="16" t="s">
        <v>145</v>
      </c>
      <c r="E519" s="21" t="s">
        <v>859</v>
      </c>
      <c r="F519" s="85"/>
      <c r="G519" s="103" t="s">
        <v>833</v>
      </c>
      <c r="H519" s="41">
        <f>H520</f>
        <v>10</v>
      </c>
      <c r="I519" s="41">
        <f t="shared" ref="I519:J519" si="241">I520</f>
        <v>0</v>
      </c>
      <c r="J519" s="41">
        <f t="shared" si="241"/>
        <v>0</v>
      </c>
    </row>
    <row r="520" spans="1:10" ht="38.25">
      <c r="A520" s="158"/>
      <c r="B520" s="25"/>
      <c r="C520" s="16" t="s">
        <v>147</v>
      </c>
      <c r="D520" s="16" t="s">
        <v>145</v>
      </c>
      <c r="E520" s="21" t="s">
        <v>859</v>
      </c>
      <c r="F520" s="85" t="s">
        <v>325</v>
      </c>
      <c r="G520" s="103" t="s">
        <v>326</v>
      </c>
      <c r="H520" s="41">
        <v>10</v>
      </c>
      <c r="I520" s="41">
        <v>0</v>
      </c>
      <c r="J520" s="41">
        <v>0</v>
      </c>
    </row>
    <row r="521" spans="1:10" ht="51">
      <c r="A521" s="158"/>
      <c r="B521" s="25"/>
      <c r="C521" s="16" t="s">
        <v>147</v>
      </c>
      <c r="D521" s="16" t="s">
        <v>145</v>
      </c>
      <c r="E521" s="21" t="s">
        <v>860</v>
      </c>
      <c r="F521" s="85"/>
      <c r="G521" s="103" t="s">
        <v>834</v>
      </c>
      <c r="H521" s="41">
        <f>H522</f>
        <v>10</v>
      </c>
      <c r="I521" s="41">
        <f t="shared" ref="I521:J521" si="242">I522</f>
        <v>0</v>
      </c>
      <c r="J521" s="41">
        <f t="shared" si="242"/>
        <v>0</v>
      </c>
    </row>
    <row r="522" spans="1:10" ht="38.25">
      <c r="A522" s="158"/>
      <c r="B522" s="25"/>
      <c r="C522" s="16" t="s">
        <v>147</v>
      </c>
      <c r="D522" s="16" t="s">
        <v>145</v>
      </c>
      <c r="E522" s="21" t="s">
        <v>860</v>
      </c>
      <c r="F522" s="85" t="s">
        <v>325</v>
      </c>
      <c r="G522" s="103" t="s">
        <v>326</v>
      </c>
      <c r="H522" s="41">
        <v>10</v>
      </c>
      <c r="I522" s="41">
        <v>0</v>
      </c>
      <c r="J522" s="41">
        <v>0</v>
      </c>
    </row>
    <row r="523" spans="1:10" ht="48.75" customHeight="1">
      <c r="A523" s="158"/>
      <c r="B523" s="25"/>
      <c r="C523" s="129" t="s">
        <v>147</v>
      </c>
      <c r="D523" s="115" t="s">
        <v>145</v>
      </c>
      <c r="E523" s="126" t="s">
        <v>769</v>
      </c>
      <c r="F523" s="129"/>
      <c r="G523" s="60" t="s">
        <v>770</v>
      </c>
      <c r="H523" s="128">
        <f>H524</f>
        <v>18896.3</v>
      </c>
      <c r="I523" s="128">
        <f t="shared" ref="I523:J523" si="243">I524</f>
        <v>0</v>
      </c>
      <c r="J523" s="128">
        <f t="shared" si="243"/>
        <v>0</v>
      </c>
    </row>
    <row r="524" spans="1:10" ht="48.75" customHeight="1">
      <c r="A524" s="158"/>
      <c r="B524" s="25"/>
      <c r="C524" s="129" t="s">
        <v>147</v>
      </c>
      <c r="D524" s="115" t="s">
        <v>145</v>
      </c>
      <c r="E524" s="21" t="s">
        <v>771</v>
      </c>
      <c r="F524" s="16"/>
      <c r="G524" s="184" t="s">
        <v>772</v>
      </c>
      <c r="H524" s="98">
        <f>H525+H527+H529</f>
        <v>18896.3</v>
      </c>
      <c r="I524" s="98">
        <f t="shared" ref="I524:J524" si="244">I525+I527</f>
        <v>0</v>
      </c>
      <c r="J524" s="98">
        <f t="shared" si="244"/>
        <v>0</v>
      </c>
    </row>
    <row r="525" spans="1:10" ht="42" customHeight="1">
      <c r="A525" s="158"/>
      <c r="B525" s="25"/>
      <c r="C525" s="16" t="s">
        <v>147</v>
      </c>
      <c r="D525" s="16" t="s">
        <v>145</v>
      </c>
      <c r="E525" s="21" t="s">
        <v>886</v>
      </c>
      <c r="F525" s="84"/>
      <c r="G525" s="184" t="s">
        <v>768</v>
      </c>
      <c r="H525" s="41">
        <f>H526</f>
        <v>774.1</v>
      </c>
      <c r="I525" s="41">
        <f>I526</f>
        <v>0</v>
      </c>
      <c r="J525" s="41">
        <f>J526</f>
        <v>0</v>
      </c>
    </row>
    <row r="526" spans="1:10" ht="48.75" customHeight="1">
      <c r="A526" s="158"/>
      <c r="B526" s="25"/>
      <c r="C526" s="16" t="s">
        <v>147</v>
      </c>
      <c r="D526" s="16" t="s">
        <v>145</v>
      </c>
      <c r="E526" s="21" t="s">
        <v>886</v>
      </c>
      <c r="F526" s="84" t="s">
        <v>325</v>
      </c>
      <c r="G526" s="184" t="s">
        <v>326</v>
      </c>
      <c r="H526" s="41">
        <f>774.1</f>
        <v>774.1</v>
      </c>
      <c r="I526" s="41">
        <v>0</v>
      </c>
      <c r="J526" s="39">
        <v>0</v>
      </c>
    </row>
    <row r="527" spans="1:10" ht="48.75" customHeight="1">
      <c r="A527" s="158"/>
      <c r="B527" s="25"/>
      <c r="C527" s="129" t="s">
        <v>147</v>
      </c>
      <c r="D527" s="115" t="s">
        <v>145</v>
      </c>
      <c r="E527" s="21" t="s">
        <v>887</v>
      </c>
      <c r="F527" s="84"/>
      <c r="G527" s="184" t="s">
        <v>888</v>
      </c>
      <c r="H527" s="41">
        <f>H528</f>
        <v>105.5</v>
      </c>
      <c r="I527" s="41">
        <f t="shared" ref="I527:J527" si="245">I528</f>
        <v>0</v>
      </c>
      <c r="J527" s="41">
        <f t="shared" si="245"/>
        <v>0</v>
      </c>
    </row>
    <row r="528" spans="1:10" ht="48.75" customHeight="1">
      <c r="A528" s="158"/>
      <c r="B528" s="25"/>
      <c r="C528" s="129" t="s">
        <v>147</v>
      </c>
      <c r="D528" s="115" t="s">
        <v>145</v>
      </c>
      <c r="E528" s="21" t="s">
        <v>887</v>
      </c>
      <c r="F528" s="84" t="s">
        <v>325</v>
      </c>
      <c r="G528" s="184" t="s">
        <v>326</v>
      </c>
      <c r="H528" s="41">
        <v>105.5</v>
      </c>
      <c r="I528" s="41">
        <v>0</v>
      </c>
      <c r="J528" s="41">
        <v>0</v>
      </c>
    </row>
    <row r="529" spans="1:10" ht="38.25">
      <c r="A529" s="158"/>
      <c r="B529" s="25"/>
      <c r="C529" s="16" t="s">
        <v>147</v>
      </c>
      <c r="D529" s="85" t="s">
        <v>145</v>
      </c>
      <c r="E529" s="21" t="s">
        <v>875</v>
      </c>
      <c r="F529" s="85"/>
      <c r="G529" s="103" t="s">
        <v>768</v>
      </c>
      <c r="H529" s="113">
        <f>H530</f>
        <v>18016.7</v>
      </c>
      <c r="I529" s="113">
        <f t="shared" ref="I529:J529" si="246">I530</f>
        <v>0</v>
      </c>
      <c r="J529" s="113">
        <f t="shared" si="246"/>
        <v>0</v>
      </c>
    </row>
    <row r="530" spans="1:10" ht="37.5" customHeight="1">
      <c r="A530" s="158"/>
      <c r="B530" s="25"/>
      <c r="C530" s="16" t="s">
        <v>147</v>
      </c>
      <c r="D530" s="85" t="s">
        <v>145</v>
      </c>
      <c r="E530" s="21" t="s">
        <v>875</v>
      </c>
      <c r="F530" s="85" t="s">
        <v>325</v>
      </c>
      <c r="G530" s="103" t="s">
        <v>326</v>
      </c>
      <c r="H530" s="113">
        <f>H532+H534+H536+H538+H540+H542</f>
        <v>18016.7</v>
      </c>
      <c r="I530" s="113">
        <f t="shared" ref="I530:J530" si="247">I532+I534+I536+I538+I540+I542</f>
        <v>0</v>
      </c>
      <c r="J530" s="113">
        <f t="shared" si="247"/>
        <v>0</v>
      </c>
    </row>
    <row r="531" spans="1:10" ht="25.5">
      <c r="A531" s="158"/>
      <c r="B531" s="25"/>
      <c r="C531" s="16" t="s">
        <v>147</v>
      </c>
      <c r="D531" s="85" t="s">
        <v>145</v>
      </c>
      <c r="E531" s="21" t="s">
        <v>876</v>
      </c>
      <c r="F531" s="85"/>
      <c r="G531" s="190" t="s">
        <v>943</v>
      </c>
      <c r="H531" s="113">
        <f>H532</f>
        <v>3648.8</v>
      </c>
      <c r="I531" s="113">
        <f t="shared" ref="I531:J531" si="248">I532</f>
        <v>0</v>
      </c>
      <c r="J531" s="113">
        <f t="shared" si="248"/>
        <v>0</v>
      </c>
    </row>
    <row r="532" spans="1:10" ht="38.25">
      <c r="A532" s="158"/>
      <c r="B532" s="25"/>
      <c r="C532" s="16" t="s">
        <v>147</v>
      </c>
      <c r="D532" s="85" t="s">
        <v>145</v>
      </c>
      <c r="E532" s="21" t="s">
        <v>876</v>
      </c>
      <c r="F532" s="85" t="s">
        <v>325</v>
      </c>
      <c r="G532" s="103" t="s">
        <v>326</v>
      </c>
      <c r="H532" s="113">
        <v>3648.8</v>
      </c>
      <c r="I532" s="113">
        <v>0</v>
      </c>
      <c r="J532" s="113">
        <v>0</v>
      </c>
    </row>
    <row r="533" spans="1:10" ht="25.5">
      <c r="A533" s="158"/>
      <c r="B533" s="25"/>
      <c r="C533" s="16" t="s">
        <v>147</v>
      </c>
      <c r="D533" s="85" t="s">
        <v>145</v>
      </c>
      <c r="E533" s="21" t="s">
        <v>877</v>
      </c>
      <c r="F533" s="85"/>
      <c r="G533" s="189" t="s">
        <v>944</v>
      </c>
      <c r="H533" s="113">
        <f>H534</f>
        <v>3702.6</v>
      </c>
      <c r="I533" s="113">
        <f t="shared" ref="I533:J533" si="249">I534</f>
        <v>0</v>
      </c>
      <c r="J533" s="113">
        <f t="shared" si="249"/>
        <v>0</v>
      </c>
    </row>
    <row r="534" spans="1:10" ht="38.25">
      <c r="A534" s="158"/>
      <c r="B534" s="25"/>
      <c r="C534" s="16" t="s">
        <v>147</v>
      </c>
      <c r="D534" s="85" t="s">
        <v>145</v>
      </c>
      <c r="E534" s="21" t="s">
        <v>877</v>
      </c>
      <c r="F534" s="85" t="s">
        <v>325</v>
      </c>
      <c r="G534" s="103" t="s">
        <v>326</v>
      </c>
      <c r="H534" s="113">
        <f>3789.1-86.5</f>
        <v>3702.6</v>
      </c>
      <c r="I534" s="113">
        <v>0</v>
      </c>
      <c r="J534" s="113">
        <v>0</v>
      </c>
    </row>
    <row r="535" spans="1:10" ht="25.5">
      <c r="A535" s="158"/>
      <c r="B535" s="25"/>
      <c r="C535" s="16" t="s">
        <v>147</v>
      </c>
      <c r="D535" s="85" t="s">
        <v>145</v>
      </c>
      <c r="E535" s="21" t="s">
        <v>878</v>
      </c>
      <c r="F535" s="85"/>
      <c r="G535" s="103" t="s">
        <v>945</v>
      </c>
      <c r="H535" s="113">
        <f>H536</f>
        <v>1895.4</v>
      </c>
      <c r="I535" s="113">
        <f t="shared" ref="I535:J535" si="250">I536</f>
        <v>0</v>
      </c>
      <c r="J535" s="113">
        <f t="shared" si="250"/>
        <v>0</v>
      </c>
    </row>
    <row r="536" spans="1:10" ht="38.25">
      <c r="A536" s="158"/>
      <c r="B536" s="25"/>
      <c r="C536" s="16" t="s">
        <v>147</v>
      </c>
      <c r="D536" s="85" t="s">
        <v>145</v>
      </c>
      <c r="E536" s="21" t="s">
        <v>878</v>
      </c>
      <c r="F536" s="85" t="s">
        <v>325</v>
      </c>
      <c r="G536" s="103" t="s">
        <v>326</v>
      </c>
      <c r="H536" s="113">
        <v>1895.4</v>
      </c>
      <c r="I536" s="113">
        <v>0</v>
      </c>
      <c r="J536" s="113">
        <v>0</v>
      </c>
    </row>
    <row r="537" spans="1:10" ht="25.5">
      <c r="A537" s="158"/>
      <c r="B537" s="25"/>
      <c r="C537" s="16" t="s">
        <v>147</v>
      </c>
      <c r="D537" s="85" t="s">
        <v>145</v>
      </c>
      <c r="E537" s="21" t="s">
        <v>880</v>
      </c>
      <c r="F537" s="85"/>
      <c r="G537" s="103" t="s">
        <v>946</v>
      </c>
      <c r="H537" s="113">
        <f>H538</f>
        <v>2269.6999999999998</v>
      </c>
      <c r="I537" s="113">
        <f t="shared" ref="I537:J537" si="251">I538</f>
        <v>0</v>
      </c>
      <c r="J537" s="113">
        <f t="shared" si="251"/>
        <v>0</v>
      </c>
    </row>
    <row r="538" spans="1:10" ht="38.25">
      <c r="A538" s="158"/>
      <c r="B538" s="25"/>
      <c r="C538" s="16" t="s">
        <v>147</v>
      </c>
      <c r="D538" s="85" t="s">
        <v>145</v>
      </c>
      <c r="E538" s="21" t="s">
        <v>880</v>
      </c>
      <c r="F538" s="85" t="s">
        <v>325</v>
      </c>
      <c r="G538" s="103" t="s">
        <v>326</v>
      </c>
      <c r="H538" s="113">
        <v>2269.6999999999998</v>
      </c>
      <c r="I538" s="113">
        <v>0</v>
      </c>
      <c r="J538" s="113">
        <v>0</v>
      </c>
    </row>
    <row r="539" spans="1:10" ht="25.5">
      <c r="A539" s="158"/>
      <c r="B539" s="25"/>
      <c r="C539" s="16" t="s">
        <v>147</v>
      </c>
      <c r="D539" s="85" t="s">
        <v>145</v>
      </c>
      <c r="E539" s="21" t="s">
        <v>883</v>
      </c>
      <c r="F539" s="85"/>
      <c r="G539" s="189" t="s">
        <v>947</v>
      </c>
      <c r="H539" s="113">
        <f>H540</f>
        <v>3777.9</v>
      </c>
      <c r="I539" s="113">
        <f t="shared" ref="I539:J539" si="252">I540</f>
        <v>0</v>
      </c>
      <c r="J539" s="113">
        <f t="shared" si="252"/>
        <v>0</v>
      </c>
    </row>
    <row r="540" spans="1:10" ht="38.25">
      <c r="A540" s="158"/>
      <c r="B540" s="25"/>
      <c r="C540" s="16" t="s">
        <v>147</v>
      </c>
      <c r="D540" s="85" t="s">
        <v>145</v>
      </c>
      <c r="E540" s="21" t="s">
        <v>883</v>
      </c>
      <c r="F540" s="85" t="s">
        <v>325</v>
      </c>
      <c r="G540" s="103" t="s">
        <v>326</v>
      </c>
      <c r="H540" s="113">
        <v>3777.9</v>
      </c>
      <c r="I540" s="113">
        <v>0</v>
      </c>
      <c r="J540" s="113">
        <v>0</v>
      </c>
    </row>
    <row r="541" spans="1:10" ht="25.5">
      <c r="A541" s="158"/>
      <c r="B541" s="25"/>
      <c r="C541" s="16" t="s">
        <v>147</v>
      </c>
      <c r="D541" s="85" t="s">
        <v>145</v>
      </c>
      <c r="E541" s="21" t="s">
        <v>885</v>
      </c>
      <c r="F541" s="85"/>
      <c r="G541" s="189" t="s">
        <v>948</v>
      </c>
      <c r="H541" s="113">
        <f>H542</f>
        <v>2722.3</v>
      </c>
      <c r="I541" s="113">
        <f t="shared" ref="I541:J541" si="253">I542</f>
        <v>0</v>
      </c>
      <c r="J541" s="113">
        <f t="shared" si="253"/>
        <v>0</v>
      </c>
    </row>
    <row r="542" spans="1:10" ht="38.25">
      <c r="A542" s="158"/>
      <c r="B542" s="25"/>
      <c r="C542" s="16" t="s">
        <v>147</v>
      </c>
      <c r="D542" s="85" t="s">
        <v>145</v>
      </c>
      <c r="E542" s="21" t="s">
        <v>885</v>
      </c>
      <c r="F542" s="85" t="s">
        <v>325</v>
      </c>
      <c r="G542" s="103" t="s">
        <v>326</v>
      </c>
      <c r="H542" s="113">
        <v>2722.3</v>
      </c>
      <c r="I542" s="113">
        <v>0</v>
      </c>
      <c r="J542" s="113">
        <v>0</v>
      </c>
    </row>
    <row r="543" spans="1:10" ht="63.75">
      <c r="A543" s="158"/>
      <c r="B543" s="25"/>
      <c r="C543" s="5" t="s">
        <v>147</v>
      </c>
      <c r="D543" s="5" t="s">
        <v>145</v>
      </c>
      <c r="E543" s="76">
        <v>1400000000</v>
      </c>
      <c r="F543" s="16"/>
      <c r="G543" s="53" t="s">
        <v>706</v>
      </c>
      <c r="H543" s="101">
        <f t="shared" ref="H543:J543" si="254">H544</f>
        <v>29326.199999999997</v>
      </c>
      <c r="I543" s="101">
        <f t="shared" si="254"/>
        <v>717.4</v>
      </c>
      <c r="J543" s="101">
        <f t="shared" si="254"/>
        <v>717.4</v>
      </c>
    </row>
    <row r="544" spans="1:10" ht="75.75" customHeight="1">
      <c r="A544" s="1"/>
      <c r="B544" s="25"/>
      <c r="C544" s="47" t="s">
        <v>147</v>
      </c>
      <c r="D544" s="47" t="s">
        <v>145</v>
      </c>
      <c r="E544" s="75">
        <v>1410000000</v>
      </c>
      <c r="F544" s="16"/>
      <c r="G544" s="48" t="s">
        <v>333</v>
      </c>
      <c r="H544" s="98">
        <f>H545+H550+H557</f>
        <v>29326.199999999997</v>
      </c>
      <c r="I544" s="98">
        <f>I545+I550+I557</f>
        <v>717.4</v>
      </c>
      <c r="J544" s="98">
        <f>J545+J550+J557</f>
        <v>717.4</v>
      </c>
    </row>
    <row r="545" spans="1:10" ht="114.75">
      <c r="A545" s="1"/>
      <c r="B545" s="25"/>
      <c r="C545" s="16" t="s">
        <v>147</v>
      </c>
      <c r="D545" s="16" t="s">
        <v>145</v>
      </c>
      <c r="E545" s="74">
        <v>1410100000</v>
      </c>
      <c r="F545" s="16"/>
      <c r="G545" s="103" t="s">
        <v>657</v>
      </c>
      <c r="H545" s="41">
        <f>H546+H548</f>
        <v>443.1</v>
      </c>
      <c r="I545" s="41">
        <f t="shared" ref="I545:J545" si="255">I546+I548</f>
        <v>0</v>
      </c>
      <c r="J545" s="41">
        <f t="shared" si="255"/>
        <v>0</v>
      </c>
    </row>
    <row r="546" spans="1:10" ht="25.5">
      <c r="A546" s="158"/>
      <c r="B546" s="25"/>
      <c r="C546" s="16" t="s">
        <v>147</v>
      </c>
      <c r="D546" s="16" t="s">
        <v>145</v>
      </c>
      <c r="E546" s="74" t="s">
        <v>669</v>
      </c>
      <c r="F546" s="85"/>
      <c r="G546" s="103" t="s">
        <v>670</v>
      </c>
      <c r="H546" s="41">
        <f t="shared" ref="H546:J546" si="256">H547</f>
        <v>313</v>
      </c>
      <c r="I546" s="41">
        <f t="shared" si="256"/>
        <v>0</v>
      </c>
      <c r="J546" s="41">
        <f t="shared" si="256"/>
        <v>0</v>
      </c>
    </row>
    <row r="547" spans="1:10" ht="38.25">
      <c r="A547" s="158"/>
      <c r="B547" s="25"/>
      <c r="C547" s="16" t="s">
        <v>147</v>
      </c>
      <c r="D547" s="16" t="s">
        <v>145</v>
      </c>
      <c r="E547" s="74" t="s">
        <v>669</v>
      </c>
      <c r="F547" s="85" t="s">
        <v>325</v>
      </c>
      <c r="G547" s="103" t="s">
        <v>326</v>
      </c>
      <c r="H547" s="41">
        <v>313</v>
      </c>
      <c r="I547" s="41">
        <v>0</v>
      </c>
      <c r="J547" s="41">
        <v>0</v>
      </c>
    </row>
    <row r="548" spans="1:10" ht="51">
      <c r="A548" s="158"/>
      <c r="B548" s="25"/>
      <c r="C548" s="85" t="s">
        <v>147</v>
      </c>
      <c r="D548" s="85" t="s">
        <v>145</v>
      </c>
      <c r="E548" s="74" t="s">
        <v>694</v>
      </c>
      <c r="F548" s="85"/>
      <c r="G548" s="103" t="s">
        <v>695</v>
      </c>
      <c r="H548" s="41">
        <f t="shared" ref="H548:J548" si="257">H549</f>
        <v>130.1</v>
      </c>
      <c r="I548" s="41">
        <f t="shared" si="257"/>
        <v>0</v>
      </c>
      <c r="J548" s="41">
        <f t="shared" si="257"/>
        <v>0</v>
      </c>
    </row>
    <row r="549" spans="1:10" ht="38.25">
      <c r="A549" s="158"/>
      <c r="B549" s="25"/>
      <c r="C549" s="85" t="s">
        <v>147</v>
      </c>
      <c r="D549" s="85" t="s">
        <v>145</v>
      </c>
      <c r="E549" s="74" t="s">
        <v>694</v>
      </c>
      <c r="F549" s="85" t="s">
        <v>325</v>
      </c>
      <c r="G549" s="103" t="s">
        <v>326</v>
      </c>
      <c r="H549" s="41">
        <v>130.1</v>
      </c>
      <c r="I549" s="41">
        <v>0</v>
      </c>
      <c r="J549" s="41">
        <v>0</v>
      </c>
    </row>
    <row r="550" spans="1:10" ht="93.75" customHeight="1">
      <c r="A550" s="1"/>
      <c r="B550" s="25"/>
      <c r="C550" s="16" t="s">
        <v>147</v>
      </c>
      <c r="D550" s="16" t="s">
        <v>145</v>
      </c>
      <c r="E550" s="74">
        <v>1410200000</v>
      </c>
      <c r="F550" s="16"/>
      <c r="G550" s="103" t="s">
        <v>658</v>
      </c>
      <c r="H550" s="41">
        <f>H551++H553+H555</f>
        <v>16904.5</v>
      </c>
      <c r="I550" s="41">
        <f t="shared" ref="I550:J550" si="258">I551++I553+I555</f>
        <v>0</v>
      </c>
      <c r="J550" s="41">
        <f t="shared" si="258"/>
        <v>0</v>
      </c>
    </row>
    <row r="551" spans="1:10" ht="25.5">
      <c r="A551" s="158"/>
      <c r="B551" s="25"/>
      <c r="C551" s="85" t="s">
        <v>147</v>
      </c>
      <c r="D551" s="85" t="s">
        <v>145</v>
      </c>
      <c r="E551" s="74" t="s">
        <v>696</v>
      </c>
      <c r="F551" s="85"/>
      <c r="G551" s="103" t="s">
        <v>670</v>
      </c>
      <c r="H551" s="41">
        <f t="shared" ref="H551:J551" si="259">H552</f>
        <v>416</v>
      </c>
      <c r="I551" s="41">
        <f t="shared" si="259"/>
        <v>0</v>
      </c>
      <c r="J551" s="41">
        <f t="shared" si="259"/>
        <v>0</v>
      </c>
    </row>
    <row r="552" spans="1:10" ht="38.25">
      <c r="A552" s="158"/>
      <c r="B552" s="25"/>
      <c r="C552" s="85" t="s">
        <v>147</v>
      </c>
      <c r="D552" s="85" t="s">
        <v>145</v>
      </c>
      <c r="E552" s="74" t="s">
        <v>696</v>
      </c>
      <c r="F552" s="85" t="s">
        <v>325</v>
      </c>
      <c r="G552" s="103" t="s">
        <v>326</v>
      </c>
      <c r="H552" s="41">
        <v>416</v>
      </c>
      <c r="I552" s="41">
        <v>0</v>
      </c>
      <c r="J552" s="41">
        <v>0</v>
      </c>
    </row>
    <row r="553" spans="1:10" ht="25.5">
      <c r="A553" s="158"/>
      <c r="B553" s="25"/>
      <c r="C553" s="85" t="s">
        <v>147</v>
      </c>
      <c r="D553" s="85" t="s">
        <v>145</v>
      </c>
      <c r="E553" s="74" t="s">
        <v>659</v>
      </c>
      <c r="F553" s="85"/>
      <c r="G553" s="103" t="s">
        <v>949</v>
      </c>
      <c r="H553" s="41">
        <f t="shared" ref="H553:J553" si="260">H554</f>
        <v>12851.2</v>
      </c>
      <c r="I553" s="41">
        <f t="shared" si="260"/>
        <v>0</v>
      </c>
      <c r="J553" s="41">
        <f t="shared" si="260"/>
        <v>0</v>
      </c>
    </row>
    <row r="554" spans="1:10" ht="38.25">
      <c r="A554" s="158"/>
      <c r="B554" s="25"/>
      <c r="C554" s="85" t="s">
        <v>147</v>
      </c>
      <c r="D554" s="85" t="s">
        <v>145</v>
      </c>
      <c r="E554" s="74" t="s">
        <v>659</v>
      </c>
      <c r="F554" s="85" t="s">
        <v>325</v>
      </c>
      <c r="G554" s="103" t="s">
        <v>326</v>
      </c>
      <c r="H554" s="41">
        <v>12851.2</v>
      </c>
      <c r="I554" s="41">
        <v>0</v>
      </c>
      <c r="J554" s="41">
        <v>0</v>
      </c>
    </row>
    <row r="555" spans="1:10" ht="38.25">
      <c r="A555" s="158"/>
      <c r="B555" s="25"/>
      <c r="C555" s="16" t="s">
        <v>147</v>
      </c>
      <c r="D555" s="16" t="s">
        <v>145</v>
      </c>
      <c r="E555" s="74" t="s">
        <v>811</v>
      </c>
      <c r="F555" s="16"/>
      <c r="G555" s="103" t="s">
        <v>802</v>
      </c>
      <c r="H555" s="41">
        <f t="shared" ref="H555:J555" si="261">H556</f>
        <v>3637.3</v>
      </c>
      <c r="I555" s="41">
        <f t="shared" si="261"/>
        <v>0</v>
      </c>
      <c r="J555" s="41">
        <f t="shared" si="261"/>
        <v>0</v>
      </c>
    </row>
    <row r="556" spans="1:10" ht="38.25">
      <c r="A556" s="158"/>
      <c r="B556" s="25"/>
      <c r="C556" s="16" t="s">
        <v>147</v>
      </c>
      <c r="D556" s="16" t="s">
        <v>145</v>
      </c>
      <c r="E556" s="74" t="s">
        <v>811</v>
      </c>
      <c r="F556" s="85" t="s">
        <v>325</v>
      </c>
      <c r="G556" s="103" t="s">
        <v>326</v>
      </c>
      <c r="H556" s="41">
        <f>7000-3362.7</f>
        <v>3637.3</v>
      </c>
      <c r="I556" s="41">
        <v>0</v>
      </c>
      <c r="J556" s="41">
        <v>0</v>
      </c>
    </row>
    <row r="557" spans="1:10" ht="57.75" customHeight="1">
      <c r="A557" s="158"/>
      <c r="B557" s="25"/>
      <c r="C557" s="85" t="s">
        <v>147</v>
      </c>
      <c r="D557" s="16" t="s">
        <v>145</v>
      </c>
      <c r="E557" s="74" t="s">
        <v>803</v>
      </c>
      <c r="F557" s="85"/>
      <c r="G557" s="103" t="s">
        <v>810</v>
      </c>
      <c r="H557" s="41">
        <f>H558+H560</f>
        <v>11978.599999999999</v>
      </c>
      <c r="I557" s="41">
        <f t="shared" ref="I557:J557" si="262">I558+I560</f>
        <v>717.4</v>
      </c>
      <c r="J557" s="41">
        <f t="shared" si="262"/>
        <v>717.4</v>
      </c>
    </row>
    <row r="558" spans="1:10" ht="38.25">
      <c r="A558" s="158"/>
      <c r="B558" s="25"/>
      <c r="C558" s="16" t="s">
        <v>147</v>
      </c>
      <c r="D558" s="16" t="s">
        <v>145</v>
      </c>
      <c r="E558" s="74" t="s">
        <v>630</v>
      </c>
      <c r="F558" s="16"/>
      <c r="G558" s="103" t="s">
        <v>505</v>
      </c>
      <c r="H558" s="41">
        <f t="shared" ref="H558" si="263">H559</f>
        <v>5985.2999999999993</v>
      </c>
      <c r="I558" s="41">
        <f t="shared" ref="I558:J558" si="264">I559</f>
        <v>478.3</v>
      </c>
      <c r="J558" s="41">
        <f t="shared" si="264"/>
        <v>478.3</v>
      </c>
    </row>
    <row r="559" spans="1:10" ht="38.25">
      <c r="A559" s="158"/>
      <c r="B559" s="25"/>
      <c r="C559" s="16" t="s">
        <v>147</v>
      </c>
      <c r="D559" s="16" t="s">
        <v>145</v>
      </c>
      <c r="E559" s="74" t="s">
        <v>630</v>
      </c>
      <c r="F559" s="85" t="s">
        <v>325</v>
      </c>
      <c r="G559" s="103" t="s">
        <v>326</v>
      </c>
      <c r="H559" s="41">
        <f>5634.9+350.4</f>
        <v>5985.2999999999993</v>
      </c>
      <c r="I559" s="41">
        <v>478.3</v>
      </c>
      <c r="J559" s="41">
        <v>478.3</v>
      </c>
    </row>
    <row r="560" spans="1:10" ht="38.25">
      <c r="A560" s="158"/>
      <c r="B560" s="25"/>
      <c r="C560" s="85" t="s">
        <v>147</v>
      </c>
      <c r="D560" s="85" t="s">
        <v>145</v>
      </c>
      <c r="E560" s="74" t="s">
        <v>631</v>
      </c>
      <c r="F560" s="16"/>
      <c r="G560" s="103" t="s">
        <v>506</v>
      </c>
      <c r="H560" s="41">
        <f t="shared" ref="H560" si="265">H561</f>
        <v>5993.3</v>
      </c>
      <c r="I560" s="41">
        <f t="shared" ref="I560:J560" si="266">I561</f>
        <v>239.1</v>
      </c>
      <c r="J560" s="41">
        <f t="shared" si="266"/>
        <v>239.1</v>
      </c>
    </row>
    <row r="561" spans="1:10" ht="38.25">
      <c r="A561" s="158"/>
      <c r="B561" s="25"/>
      <c r="C561" s="85" t="s">
        <v>147</v>
      </c>
      <c r="D561" s="16" t="s">
        <v>145</v>
      </c>
      <c r="E561" s="74" t="s">
        <v>631</v>
      </c>
      <c r="F561" s="85" t="s">
        <v>325</v>
      </c>
      <c r="G561" s="103" t="s">
        <v>326</v>
      </c>
      <c r="H561" s="41">
        <f>5331.5+1012.2-350.4</f>
        <v>5993.3</v>
      </c>
      <c r="I561" s="41">
        <v>239.1</v>
      </c>
      <c r="J561" s="41">
        <v>239.1</v>
      </c>
    </row>
    <row r="562" spans="1:10" ht="25.5">
      <c r="A562" s="158"/>
      <c r="B562" s="25"/>
      <c r="C562" s="5" t="s">
        <v>147</v>
      </c>
      <c r="D562" s="5" t="s">
        <v>145</v>
      </c>
      <c r="E562" s="76">
        <v>9900000000</v>
      </c>
      <c r="F562" s="5"/>
      <c r="G562" s="63" t="s">
        <v>823</v>
      </c>
      <c r="H562" s="41">
        <f>H563</f>
        <v>126.10000000000001</v>
      </c>
      <c r="I562" s="41">
        <f t="shared" ref="I562:J563" si="267">I563</f>
        <v>0</v>
      </c>
      <c r="J562" s="41">
        <f t="shared" si="267"/>
        <v>0</v>
      </c>
    </row>
    <row r="563" spans="1:10" ht="25.5">
      <c r="A563" s="158"/>
      <c r="B563" s="25"/>
      <c r="C563" s="85" t="s">
        <v>147</v>
      </c>
      <c r="D563" s="85" t="s">
        <v>145</v>
      </c>
      <c r="E563" s="74">
        <v>9940000000</v>
      </c>
      <c r="F563" s="85"/>
      <c r="G563" s="103" t="s">
        <v>56</v>
      </c>
      <c r="H563" s="41">
        <f>H564</f>
        <v>126.10000000000001</v>
      </c>
      <c r="I563" s="41">
        <f t="shared" si="267"/>
        <v>0</v>
      </c>
      <c r="J563" s="41">
        <f t="shared" si="267"/>
        <v>0</v>
      </c>
    </row>
    <row r="564" spans="1:10" ht="25.5">
      <c r="A564" s="158"/>
      <c r="B564" s="25"/>
      <c r="C564" s="85" t="s">
        <v>147</v>
      </c>
      <c r="D564" s="85" t="s">
        <v>145</v>
      </c>
      <c r="E564" s="74" t="s">
        <v>824</v>
      </c>
      <c r="F564" s="85"/>
      <c r="G564" s="103" t="s">
        <v>825</v>
      </c>
      <c r="H564" s="41">
        <f>H565+H566</f>
        <v>126.10000000000001</v>
      </c>
      <c r="I564" s="41">
        <f t="shared" ref="I564:J564" si="268">I565+I566</f>
        <v>0</v>
      </c>
      <c r="J564" s="41">
        <f t="shared" si="268"/>
        <v>0</v>
      </c>
    </row>
    <row r="565" spans="1:10" ht="38.25">
      <c r="A565" s="158"/>
      <c r="B565" s="25"/>
      <c r="C565" s="85" t="s">
        <v>147</v>
      </c>
      <c r="D565" s="85" t="s">
        <v>145</v>
      </c>
      <c r="E565" s="74" t="s">
        <v>824</v>
      </c>
      <c r="F565" s="85" t="s">
        <v>325</v>
      </c>
      <c r="G565" s="103" t="s">
        <v>326</v>
      </c>
      <c r="H565" s="41">
        <f>85.9+5.7</f>
        <v>91.600000000000009</v>
      </c>
      <c r="I565" s="41">
        <v>0</v>
      </c>
      <c r="J565" s="41">
        <v>0</v>
      </c>
    </row>
    <row r="566" spans="1:10">
      <c r="A566" s="158"/>
      <c r="B566" s="25"/>
      <c r="C566" s="85" t="s">
        <v>147</v>
      </c>
      <c r="D566" s="85" t="s">
        <v>145</v>
      </c>
      <c r="E566" s="74" t="s">
        <v>824</v>
      </c>
      <c r="F566" s="85" t="s">
        <v>475</v>
      </c>
      <c r="G566" s="103" t="s">
        <v>476</v>
      </c>
      <c r="H566" s="41">
        <f>7.7+26.8</f>
        <v>34.5</v>
      </c>
      <c r="I566" s="41">
        <v>0</v>
      </c>
      <c r="J566" s="41">
        <v>0</v>
      </c>
    </row>
    <row r="567" spans="1:10" ht="15.75">
      <c r="A567" s="3"/>
      <c r="B567" s="96"/>
      <c r="C567" s="4" t="s">
        <v>162</v>
      </c>
      <c r="D567" s="3"/>
      <c r="E567" s="3"/>
      <c r="F567" s="3"/>
      <c r="G567" s="49" t="s">
        <v>163</v>
      </c>
      <c r="H567" s="97">
        <f>H568+H574+H592</f>
        <v>31393.7</v>
      </c>
      <c r="I567" s="97">
        <f>I568+I574+I592</f>
        <v>9630.2999999999993</v>
      </c>
      <c r="J567" s="97">
        <f>J568+J574+J592</f>
        <v>10946.8</v>
      </c>
    </row>
    <row r="568" spans="1:10" ht="15.75">
      <c r="A568" s="3"/>
      <c r="B568" s="96"/>
      <c r="C568" s="35" t="s">
        <v>162</v>
      </c>
      <c r="D568" s="35" t="s">
        <v>140</v>
      </c>
      <c r="E568" s="35"/>
      <c r="F568" s="35"/>
      <c r="G568" s="45" t="s">
        <v>164</v>
      </c>
      <c r="H568" s="42">
        <f t="shared" ref="H568:J569" si="269">H569</f>
        <v>2759.7</v>
      </c>
      <c r="I568" s="42">
        <f t="shared" si="269"/>
        <v>2892.2</v>
      </c>
      <c r="J568" s="42">
        <f t="shared" si="269"/>
        <v>2892.2</v>
      </c>
    </row>
    <row r="569" spans="1:10" ht="51.75">
      <c r="A569" s="3"/>
      <c r="B569" s="96"/>
      <c r="C569" s="5" t="s">
        <v>162</v>
      </c>
      <c r="D569" s="5" t="s">
        <v>140</v>
      </c>
      <c r="E569" s="73" t="s">
        <v>48</v>
      </c>
      <c r="F569" s="3"/>
      <c r="G569" s="64" t="s">
        <v>551</v>
      </c>
      <c r="H569" s="101">
        <f t="shared" si="269"/>
        <v>2759.7</v>
      </c>
      <c r="I569" s="101">
        <f t="shared" si="269"/>
        <v>2892.2</v>
      </c>
      <c r="J569" s="101">
        <f t="shared" si="269"/>
        <v>2892.2</v>
      </c>
    </row>
    <row r="570" spans="1:10" ht="26.25">
      <c r="A570" s="3"/>
      <c r="B570" s="96"/>
      <c r="C570" s="16" t="s">
        <v>162</v>
      </c>
      <c r="D570" s="16" t="s">
        <v>140</v>
      </c>
      <c r="E570" s="52" t="s">
        <v>50</v>
      </c>
      <c r="F570" s="3"/>
      <c r="G570" s="46" t="s">
        <v>132</v>
      </c>
      <c r="H570" s="98">
        <f>H572</f>
        <v>2759.7</v>
      </c>
      <c r="I570" s="98">
        <f>I572</f>
        <v>2892.2</v>
      </c>
      <c r="J570" s="98">
        <f>J572</f>
        <v>2892.2</v>
      </c>
    </row>
    <row r="571" spans="1:10" ht="26.25">
      <c r="A571" s="3"/>
      <c r="B571" s="96"/>
      <c r="C571" s="16" t="s">
        <v>162</v>
      </c>
      <c r="D571" s="16" t="s">
        <v>140</v>
      </c>
      <c r="E571" s="21" t="s">
        <v>422</v>
      </c>
      <c r="F571" s="3"/>
      <c r="G571" s="116" t="s">
        <v>423</v>
      </c>
      <c r="H571" s="104">
        <f t="shared" ref="H571:J572" si="270">H572</f>
        <v>2759.7</v>
      </c>
      <c r="I571" s="104">
        <f t="shared" si="270"/>
        <v>2892.2</v>
      </c>
      <c r="J571" s="104">
        <f t="shared" si="270"/>
        <v>2892.2</v>
      </c>
    </row>
    <row r="572" spans="1:10" ht="26.25">
      <c r="A572" s="3"/>
      <c r="B572" s="96"/>
      <c r="C572" s="16" t="s">
        <v>162</v>
      </c>
      <c r="D572" s="16" t="s">
        <v>140</v>
      </c>
      <c r="E572" s="80" t="s">
        <v>220</v>
      </c>
      <c r="F572" s="3"/>
      <c r="G572" s="162" t="s">
        <v>656</v>
      </c>
      <c r="H572" s="41">
        <f t="shared" si="270"/>
        <v>2759.7</v>
      </c>
      <c r="I572" s="41">
        <f t="shared" si="270"/>
        <v>2892.2</v>
      </c>
      <c r="J572" s="41">
        <f t="shared" si="270"/>
        <v>2892.2</v>
      </c>
    </row>
    <row r="573" spans="1:10" ht="25.5">
      <c r="A573" s="3"/>
      <c r="B573" s="96"/>
      <c r="C573" s="16" t="s">
        <v>162</v>
      </c>
      <c r="D573" s="16" t="s">
        <v>140</v>
      </c>
      <c r="E573" s="80" t="s">
        <v>220</v>
      </c>
      <c r="F573" s="85" t="s">
        <v>420</v>
      </c>
      <c r="G573" s="103" t="s">
        <v>421</v>
      </c>
      <c r="H573" s="39">
        <f>2892.2-132.5</f>
        <v>2759.7</v>
      </c>
      <c r="I573" s="39">
        <v>2892.2</v>
      </c>
      <c r="J573" s="39">
        <v>2892.2</v>
      </c>
    </row>
    <row r="574" spans="1:10" ht="15.75">
      <c r="A574" s="3"/>
      <c r="B574" s="96"/>
      <c r="C574" s="35" t="s">
        <v>162</v>
      </c>
      <c r="D574" s="35" t="s">
        <v>145</v>
      </c>
      <c r="E574" s="35"/>
      <c r="F574" s="35"/>
      <c r="G574" s="45" t="s">
        <v>168</v>
      </c>
      <c r="H574" s="42">
        <f>H575+H583+H588</f>
        <v>1661.5</v>
      </c>
      <c r="I574" s="42">
        <f t="shared" ref="I574:J574" si="271">I575+I583+I588</f>
        <v>1388</v>
      </c>
      <c r="J574" s="42">
        <f t="shared" si="271"/>
        <v>1388</v>
      </c>
    </row>
    <row r="575" spans="1:10" ht="51.75">
      <c r="A575" s="3"/>
      <c r="B575" s="96"/>
      <c r="C575" s="5" t="s">
        <v>162</v>
      </c>
      <c r="D575" s="5" t="s">
        <v>145</v>
      </c>
      <c r="E575" s="73" t="s">
        <v>48</v>
      </c>
      <c r="F575" s="3"/>
      <c r="G575" s="64" t="s">
        <v>551</v>
      </c>
      <c r="H575" s="59">
        <f t="shared" ref="H575:J575" si="272">H576</f>
        <v>858</v>
      </c>
      <c r="I575" s="59">
        <f t="shared" si="272"/>
        <v>788</v>
      </c>
      <c r="J575" s="59">
        <f t="shared" si="272"/>
        <v>788</v>
      </c>
    </row>
    <row r="576" spans="1:10" ht="26.25">
      <c r="A576" s="3"/>
      <c r="B576" s="96"/>
      <c r="C576" s="47" t="s">
        <v>162</v>
      </c>
      <c r="D576" s="47" t="s">
        <v>145</v>
      </c>
      <c r="E576" s="52" t="s">
        <v>50</v>
      </c>
      <c r="F576" s="16"/>
      <c r="G576" s="46" t="s">
        <v>132</v>
      </c>
      <c r="H576" s="98">
        <f t="shared" ref="H576:I576" si="273">+H578+H581</f>
        <v>858</v>
      </c>
      <c r="I576" s="98">
        <f t="shared" si="273"/>
        <v>788</v>
      </c>
      <c r="J576" s="98">
        <f t="shared" ref="J576" si="274">+J578+J581</f>
        <v>788</v>
      </c>
    </row>
    <row r="577" spans="1:10" ht="39">
      <c r="A577" s="3"/>
      <c r="B577" s="96"/>
      <c r="C577" s="16" t="s">
        <v>162</v>
      </c>
      <c r="D577" s="16" t="s">
        <v>145</v>
      </c>
      <c r="E577" s="21" t="s">
        <v>417</v>
      </c>
      <c r="F577" s="16"/>
      <c r="G577" s="116" t="s">
        <v>418</v>
      </c>
      <c r="H577" s="104">
        <f t="shared" ref="H577:J578" si="275">H578</f>
        <v>190</v>
      </c>
      <c r="I577" s="104">
        <f t="shared" si="275"/>
        <v>200</v>
      </c>
      <c r="J577" s="104">
        <f t="shared" si="275"/>
        <v>200</v>
      </c>
    </row>
    <row r="578" spans="1:10" ht="38.25">
      <c r="A578" s="3"/>
      <c r="B578" s="96"/>
      <c r="C578" s="16" t="s">
        <v>162</v>
      </c>
      <c r="D578" s="16" t="s">
        <v>145</v>
      </c>
      <c r="E578" s="80" t="s">
        <v>221</v>
      </c>
      <c r="F578" s="16"/>
      <c r="G578" s="103" t="s">
        <v>245</v>
      </c>
      <c r="H578" s="41">
        <f t="shared" si="275"/>
        <v>190</v>
      </c>
      <c r="I578" s="41">
        <f t="shared" si="275"/>
        <v>200</v>
      </c>
      <c r="J578" s="41">
        <f t="shared" si="275"/>
        <v>200</v>
      </c>
    </row>
    <row r="579" spans="1:10" ht="15.75">
      <c r="A579" s="3"/>
      <c r="B579" s="96"/>
      <c r="C579" s="16" t="s">
        <v>162</v>
      </c>
      <c r="D579" s="16" t="s">
        <v>145</v>
      </c>
      <c r="E579" s="80" t="s">
        <v>221</v>
      </c>
      <c r="F579" s="16" t="s">
        <v>133</v>
      </c>
      <c r="G579" s="103" t="s">
        <v>134</v>
      </c>
      <c r="H579" s="41">
        <f>200+200-200-10</f>
        <v>190</v>
      </c>
      <c r="I579" s="41">
        <v>200</v>
      </c>
      <c r="J579" s="41">
        <v>200</v>
      </c>
    </row>
    <row r="580" spans="1:10" ht="51.75">
      <c r="A580" s="3"/>
      <c r="B580" s="96"/>
      <c r="C580" s="16" t="s">
        <v>162</v>
      </c>
      <c r="D580" s="16" t="s">
        <v>145</v>
      </c>
      <c r="E580" s="21" t="s">
        <v>419</v>
      </c>
      <c r="F580" s="16"/>
      <c r="G580" s="116" t="s">
        <v>468</v>
      </c>
      <c r="H580" s="41">
        <f t="shared" ref="H580:J581" si="276">H581</f>
        <v>668</v>
      </c>
      <c r="I580" s="41">
        <f t="shared" si="276"/>
        <v>588</v>
      </c>
      <c r="J580" s="41">
        <f t="shared" si="276"/>
        <v>588</v>
      </c>
    </row>
    <row r="581" spans="1:10" ht="51.75" customHeight="1">
      <c r="A581" s="3"/>
      <c r="B581" s="96"/>
      <c r="C581" s="16" t="s">
        <v>162</v>
      </c>
      <c r="D581" s="16" t="s">
        <v>145</v>
      </c>
      <c r="E581" s="80" t="s">
        <v>222</v>
      </c>
      <c r="F581" s="16"/>
      <c r="G581" s="103" t="s">
        <v>3</v>
      </c>
      <c r="H581" s="41">
        <f t="shared" si="276"/>
        <v>668</v>
      </c>
      <c r="I581" s="41">
        <f t="shared" si="276"/>
        <v>588</v>
      </c>
      <c r="J581" s="41">
        <f t="shared" si="276"/>
        <v>588</v>
      </c>
    </row>
    <row r="582" spans="1:10" ht="63" customHeight="1">
      <c r="A582" s="3"/>
      <c r="B582" s="96"/>
      <c r="C582" s="16" t="s">
        <v>162</v>
      </c>
      <c r="D582" s="16" t="s">
        <v>145</v>
      </c>
      <c r="E582" s="80" t="s">
        <v>222</v>
      </c>
      <c r="F582" s="16" t="s">
        <v>24</v>
      </c>
      <c r="G582" s="105" t="s">
        <v>655</v>
      </c>
      <c r="H582" s="41">
        <f>638+30</f>
        <v>668</v>
      </c>
      <c r="I582" s="41">
        <v>588</v>
      </c>
      <c r="J582" s="41">
        <v>588</v>
      </c>
    </row>
    <row r="583" spans="1:10" ht="50.25" customHeight="1">
      <c r="A583" s="1"/>
      <c r="B583" s="25"/>
      <c r="C583" s="16" t="s">
        <v>162</v>
      </c>
      <c r="D583" s="16" t="s">
        <v>145</v>
      </c>
      <c r="E583" s="74">
        <v>400000000</v>
      </c>
      <c r="F583" s="16"/>
      <c r="G583" s="64" t="s">
        <v>532</v>
      </c>
      <c r="H583" s="62">
        <f t="shared" ref="H583:J586" si="277">H584</f>
        <v>703.5</v>
      </c>
      <c r="I583" s="62">
        <f t="shared" si="277"/>
        <v>600</v>
      </c>
      <c r="J583" s="62">
        <f t="shared" si="277"/>
        <v>600</v>
      </c>
    </row>
    <row r="584" spans="1:10" ht="127.5">
      <c r="A584" s="1"/>
      <c r="B584" s="25"/>
      <c r="C584" s="16" t="s">
        <v>162</v>
      </c>
      <c r="D584" s="16" t="s">
        <v>145</v>
      </c>
      <c r="E584" s="75">
        <v>430000000</v>
      </c>
      <c r="F584" s="16"/>
      <c r="G584" s="46" t="s">
        <v>466</v>
      </c>
      <c r="H584" s="39">
        <f t="shared" si="277"/>
        <v>703.5</v>
      </c>
      <c r="I584" s="39">
        <f t="shared" si="277"/>
        <v>600</v>
      </c>
      <c r="J584" s="39">
        <f t="shared" si="277"/>
        <v>600</v>
      </c>
    </row>
    <row r="585" spans="1:10" ht="51">
      <c r="A585" s="1"/>
      <c r="B585" s="25"/>
      <c r="C585" s="16" t="s">
        <v>162</v>
      </c>
      <c r="D585" s="16" t="s">
        <v>145</v>
      </c>
      <c r="E585" s="74">
        <v>430100000</v>
      </c>
      <c r="F585" s="16"/>
      <c r="G585" s="102" t="s">
        <v>356</v>
      </c>
      <c r="H585" s="104">
        <f t="shared" si="277"/>
        <v>703.5</v>
      </c>
      <c r="I585" s="104">
        <f t="shared" si="277"/>
        <v>600</v>
      </c>
      <c r="J585" s="104">
        <f t="shared" si="277"/>
        <v>600</v>
      </c>
    </row>
    <row r="586" spans="1:10" ht="102">
      <c r="A586" s="3"/>
      <c r="B586" s="96"/>
      <c r="C586" s="16" t="s">
        <v>162</v>
      </c>
      <c r="D586" s="16" t="s">
        <v>145</v>
      </c>
      <c r="E586" s="80" t="s">
        <v>241</v>
      </c>
      <c r="F586" s="16"/>
      <c r="G586" s="103" t="s">
        <v>533</v>
      </c>
      <c r="H586" s="41">
        <f t="shared" si="277"/>
        <v>703.5</v>
      </c>
      <c r="I586" s="41">
        <f t="shared" si="277"/>
        <v>600</v>
      </c>
      <c r="J586" s="41">
        <f t="shared" si="277"/>
        <v>600</v>
      </c>
    </row>
    <row r="587" spans="1:10" ht="63.75">
      <c r="A587" s="3"/>
      <c r="B587" s="96"/>
      <c r="C587" s="16" t="s">
        <v>162</v>
      </c>
      <c r="D587" s="16" t="s">
        <v>145</v>
      </c>
      <c r="E587" s="80" t="s">
        <v>241</v>
      </c>
      <c r="F587" s="16" t="s">
        <v>15</v>
      </c>
      <c r="G587" s="103" t="s">
        <v>663</v>
      </c>
      <c r="H587" s="41">
        <f>600+103.5</f>
        <v>703.5</v>
      </c>
      <c r="I587" s="41">
        <v>600</v>
      </c>
      <c r="J587" s="41">
        <v>600</v>
      </c>
    </row>
    <row r="588" spans="1:10" ht="25.5">
      <c r="A588" s="3"/>
      <c r="B588" s="96"/>
      <c r="C588" s="5" t="s">
        <v>162</v>
      </c>
      <c r="D588" s="5" t="s">
        <v>145</v>
      </c>
      <c r="E588" s="87">
        <v>9900000000</v>
      </c>
      <c r="F588" s="5"/>
      <c r="G588" s="88" t="s">
        <v>201</v>
      </c>
      <c r="H588" s="101">
        <f>H589</f>
        <v>100</v>
      </c>
      <c r="I588" s="101">
        <f t="shared" ref="I588:J588" si="278">I589</f>
        <v>0</v>
      </c>
      <c r="J588" s="101">
        <f t="shared" si="278"/>
        <v>0</v>
      </c>
    </row>
    <row r="589" spans="1:10" ht="15.75">
      <c r="A589" s="3"/>
      <c r="B589" s="96"/>
      <c r="C589" s="16" t="s">
        <v>162</v>
      </c>
      <c r="D589" s="16" t="s">
        <v>145</v>
      </c>
      <c r="E589" s="80">
        <v>9920000000</v>
      </c>
      <c r="F589" s="35"/>
      <c r="G589" s="168" t="s">
        <v>5</v>
      </c>
      <c r="H589" s="99">
        <f t="shared" ref="H589:J590" si="279">H590</f>
        <v>100</v>
      </c>
      <c r="I589" s="99">
        <f t="shared" si="279"/>
        <v>0</v>
      </c>
      <c r="J589" s="99">
        <f t="shared" si="279"/>
        <v>0</v>
      </c>
    </row>
    <row r="590" spans="1:10" ht="26.25">
      <c r="A590" s="3"/>
      <c r="B590" s="96"/>
      <c r="C590" s="16" t="s">
        <v>162</v>
      </c>
      <c r="D590" s="16" t="s">
        <v>145</v>
      </c>
      <c r="E590" s="80" t="s">
        <v>54</v>
      </c>
      <c r="F590" s="21"/>
      <c r="G590" s="22" t="s">
        <v>13</v>
      </c>
      <c r="H590" s="39">
        <f t="shared" si="279"/>
        <v>100</v>
      </c>
      <c r="I590" s="39">
        <f t="shared" si="279"/>
        <v>0</v>
      </c>
      <c r="J590" s="39">
        <f t="shared" si="279"/>
        <v>0</v>
      </c>
    </row>
    <row r="591" spans="1:10" ht="15.75">
      <c r="A591" s="3"/>
      <c r="B591" s="96"/>
      <c r="C591" s="16" t="s">
        <v>162</v>
      </c>
      <c r="D591" s="16" t="s">
        <v>145</v>
      </c>
      <c r="E591" s="80" t="s">
        <v>54</v>
      </c>
      <c r="F591" s="16" t="s">
        <v>133</v>
      </c>
      <c r="G591" s="103" t="s">
        <v>134</v>
      </c>
      <c r="H591" s="39">
        <f>50+50</f>
        <v>100</v>
      </c>
      <c r="I591" s="41">
        <v>0</v>
      </c>
      <c r="J591" s="41">
        <v>0</v>
      </c>
    </row>
    <row r="592" spans="1:10" ht="14.25">
      <c r="A592" s="1"/>
      <c r="B592" s="25"/>
      <c r="C592" s="35" t="s">
        <v>162</v>
      </c>
      <c r="D592" s="35" t="s">
        <v>146</v>
      </c>
      <c r="E592" s="35"/>
      <c r="F592" s="38"/>
      <c r="G592" s="50" t="s">
        <v>16</v>
      </c>
      <c r="H592" s="40">
        <f t="shared" ref="H592:J593" si="280">H593</f>
        <v>26972.5</v>
      </c>
      <c r="I592" s="40">
        <f t="shared" si="280"/>
        <v>5350.1</v>
      </c>
      <c r="J592" s="40">
        <f t="shared" si="280"/>
        <v>6666.6</v>
      </c>
    </row>
    <row r="593" spans="1:10" ht="51.75">
      <c r="A593" s="1"/>
      <c r="B593" s="25"/>
      <c r="C593" s="5" t="s">
        <v>162</v>
      </c>
      <c r="D593" s="5" t="s">
        <v>146</v>
      </c>
      <c r="E593" s="73" t="s">
        <v>48</v>
      </c>
      <c r="F593" s="3"/>
      <c r="G593" s="64" t="s">
        <v>526</v>
      </c>
      <c r="H593" s="101">
        <f t="shared" si="280"/>
        <v>26972.5</v>
      </c>
      <c r="I593" s="101">
        <f t="shared" si="280"/>
        <v>5350.1</v>
      </c>
      <c r="J593" s="101">
        <f t="shared" si="280"/>
        <v>6666.6</v>
      </c>
    </row>
    <row r="594" spans="1:10" ht="25.5">
      <c r="A594" s="1"/>
      <c r="B594" s="25"/>
      <c r="C594" s="47" t="s">
        <v>162</v>
      </c>
      <c r="D594" s="47" t="s">
        <v>146</v>
      </c>
      <c r="E594" s="52" t="s">
        <v>49</v>
      </c>
      <c r="F594" s="35"/>
      <c r="G594" s="46" t="s">
        <v>135</v>
      </c>
      <c r="H594" s="98">
        <f>H595+H600+H605</f>
        <v>26972.5</v>
      </c>
      <c r="I594" s="98">
        <f>I595+I600+I605</f>
        <v>5350.1</v>
      </c>
      <c r="J594" s="98">
        <f>J595+J600+J605</f>
        <v>6666.6</v>
      </c>
    </row>
    <row r="595" spans="1:10" ht="39">
      <c r="A595" s="158"/>
      <c r="B595" s="25"/>
      <c r="C595" s="16" t="s">
        <v>162</v>
      </c>
      <c r="D595" s="16" t="s">
        <v>146</v>
      </c>
      <c r="E595" s="21" t="s">
        <v>414</v>
      </c>
      <c r="F595" s="3"/>
      <c r="G595" s="116" t="s">
        <v>415</v>
      </c>
      <c r="H595" s="41">
        <f>H596+H598</f>
        <v>3133.3</v>
      </c>
      <c r="I595" s="41">
        <f t="shared" ref="I595:J595" si="281">I596+I598</f>
        <v>629.20000000000005</v>
      </c>
      <c r="J595" s="41">
        <f t="shared" si="281"/>
        <v>419.5</v>
      </c>
    </row>
    <row r="596" spans="1:10" ht="39">
      <c r="A596" s="158"/>
      <c r="B596" s="25"/>
      <c r="C596" s="16" t="s">
        <v>162</v>
      </c>
      <c r="D596" s="16" t="s">
        <v>146</v>
      </c>
      <c r="E596" s="21" t="s">
        <v>480</v>
      </c>
      <c r="F596" s="3"/>
      <c r="G596" s="172" t="s">
        <v>304</v>
      </c>
      <c r="H596" s="41">
        <f t="shared" ref="H596:J596" si="282">H597</f>
        <v>626.6</v>
      </c>
      <c r="I596" s="41">
        <f t="shared" si="282"/>
        <v>629.20000000000005</v>
      </c>
      <c r="J596" s="41">
        <f t="shared" si="282"/>
        <v>419.5</v>
      </c>
    </row>
    <row r="597" spans="1:10">
      <c r="A597" s="158"/>
      <c r="B597" s="25"/>
      <c r="C597" s="16" t="s">
        <v>162</v>
      </c>
      <c r="D597" s="16" t="s">
        <v>146</v>
      </c>
      <c r="E597" s="21" t="s">
        <v>480</v>
      </c>
      <c r="F597" s="85" t="s">
        <v>382</v>
      </c>
      <c r="G597" s="108" t="s">
        <v>381</v>
      </c>
      <c r="H597" s="41">
        <f>629.2-2.6</f>
        <v>626.6</v>
      </c>
      <c r="I597" s="41">
        <v>629.20000000000005</v>
      </c>
      <c r="J597" s="41">
        <v>419.5</v>
      </c>
    </row>
    <row r="598" spans="1:10" ht="38.25">
      <c r="A598" s="158"/>
      <c r="B598" s="25"/>
      <c r="C598" s="16" t="s">
        <v>162</v>
      </c>
      <c r="D598" s="16" t="s">
        <v>146</v>
      </c>
      <c r="E598" s="21" t="s">
        <v>890</v>
      </c>
      <c r="F598" s="85"/>
      <c r="G598" s="54" t="s">
        <v>889</v>
      </c>
      <c r="H598" s="41">
        <f>H599</f>
        <v>2506.7000000000003</v>
      </c>
      <c r="I598" s="41">
        <f t="shared" ref="I598:J598" si="283">I599</f>
        <v>0</v>
      </c>
      <c r="J598" s="41">
        <f t="shared" si="283"/>
        <v>0</v>
      </c>
    </row>
    <row r="599" spans="1:10">
      <c r="A599" s="158"/>
      <c r="B599" s="25"/>
      <c r="C599" s="16" t="s">
        <v>162</v>
      </c>
      <c r="D599" s="16" t="s">
        <v>146</v>
      </c>
      <c r="E599" s="21" t="s">
        <v>890</v>
      </c>
      <c r="F599" s="85" t="s">
        <v>382</v>
      </c>
      <c r="G599" s="108" t="s">
        <v>381</v>
      </c>
      <c r="H599" s="41">
        <f>2516.8-10.1</f>
        <v>2506.7000000000003</v>
      </c>
      <c r="I599" s="41">
        <v>0</v>
      </c>
      <c r="J599" s="41">
        <v>0</v>
      </c>
    </row>
    <row r="600" spans="1:10" ht="75.75" customHeight="1">
      <c r="A600" s="1"/>
      <c r="B600" s="25"/>
      <c r="C600" s="16" t="s">
        <v>162</v>
      </c>
      <c r="D600" s="16" t="s">
        <v>146</v>
      </c>
      <c r="E600" s="21" t="s">
        <v>416</v>
      </c>
      <c r="F600" s="35"/>
      <c r="G600" s="102" t="s">
        <v>472</v>
      </c>
      <c r="H600" s="104">
        <f t="shared" ref="H600:I600" si="284">H601+H603</f>
        <v>9787.7000000000007</v>
      </c>
      <c r="I600" s="104">
        <f t="shared" si="284"/>
        <v>2261.9</v>
      </c>
      <c r="J600" s="104">
        <f t="shared" ref="J600" si="285">J601+J603</f>
        <v>3392.9</v>
      </c>
    </row>
    <row r="601" spans="1:10" ht="51">
      <c r="A601" s="1"/>
      <c r="B601" s="25"/>
      <c r="C601" s="16" t="s">
        <v>162</v>
      </c>
      <c r="D601" s="16" t="s">
        <v>146</v>
      </c>
      <c r="E601" s="80">
        <v>1310210820</v>
      </c>
      <c r="F601" s="16"/>
      <c r="G601" s="103" t="s">
        <v>244</v>
      </c>
      <c r="H601" s="39">
        <f t="shared" ref="H601:J601" si="286">H602</f>
        <v>2936.3</v>
      </c>
      <c r="I601" s="39">
        <f t="shared" si="286"/>
        <v>0</v>
      </c>
      <c r="J601" s="39">
        <f t="shared" si="286"/>
        <v>1131</v>
      </c>
    </row>
    <row r="602" spans="1:10">
      <c r="A602" s="1"/>
      <c r="B602" s="25"/>
      <c r="C602" s="16" t="s">
        <v>162</v>
      </c>
      <c r="D602" s="16" t="s">
        <v>146</v>
      </c>
      <c r="E602" s="80">
        <v>1310210820</v>
      </c>
      <c r="F602" s="85" t="s">
        <v>382</v>
      </c>
      <c r="G602" s="108" t="s">
        <v>381</v>
      </c>
      <c r="H602" s="39">
        <v>2936.3</v>
      </c>
      <c r="I602" s="39">
        <f>978.8-978.8</f>
        <v>0</v>
      </c>
      <c r="J602" s="39">
        <v>1131</v>
      </c>
    </row>
    <row r="603" spans="1:10" ht="38.25">
      <c r="A603" s="1"/>
      <c r="B603" s="25"/>
      <c r="C603" s="16" t="s">
        <v>162</v>
      </c>
      <c r="D603" s="16" t="s">
        <v>146</v>
      </c>
      <c r="E603" s="80" t="s">
        <v>605</v>
      </c>
      <c r="F603" s="16"/>
      <c r="G603" s="103" t="s">
        <v>491</v>
      </c>
      <c r="H603" s="39">
        <f t="shared" ref="H603:J603" si="287">H604</f>
        <v>6851.4</v>
      </c>
      <c r="I603" s="39">
        <f t="shared" si="287"/>
        <v>2261.9</v>
      </c>
      <c r="J603" s="39">
        <f t="shared" si="287"/>
        <v>2261.9</v>
      </c>
    </row>
    <row r="604" spans="1:10">
      <c r="A604" s="1"/>
      <c r="B604" s="25"/>
      <c r="C604" s="16" t="s">
        <v>162</v>
      </c>
      <c r="D604" s="16" t="s">
        <v>146</v>
      </c>
      <c r="E604" s="80" t="s">
        <v>605</v>
      </c>
      <c r="F604" s="85" t="s">
        <v>382</v>
      </c>
      <c r="G604" s="108" t="s">
        <v>381</v>
      </c>
      <c r="H604" s="39">
        <v>6851.4</v>
      </c>
      <c r="I604" s="39">
        <v>2261.9</v>
      </c>
      <c r="J604" s="39">
        <v>2261.9</v>
      </c>
    </row>
    <row r="605" spans="1:10" ht="25.5">
      <c r="A605" s="158"/>
      <c r="B605" s="25"/>
      <c r="C605" s="16" t="s">
        <v>162</v>
      </c>
      <c r="D605" s="16" t="s">
        <v>146</v>
      </c>
      <c r="E605" s="21" t="s">
        <v>467</v>
      </c>
      <c r="F605" s="85"/>
      <c r="G605" s="116" t="s">
        <v>545</v>
      </c>
      <c r="H605" s="41">
        <f t="shared" ref="H605:J606" si="288">H606</f>
        <v>14051.5</v>
      </c>
      <c r="I605" s="41">
        <f t="shared" si="288"/>
        <v>2459</v>
      </c>
      <c r="J605" s="41">
        <f t="shared" si="288"/>
        <v>2854.2</v>
      </c>
    </row>
    <row r="606" spans="1:10" ht="51">
      <c r="A606" s="158"/>
      <c r="B606" s="25"/>
      <c r="C606" s="16" t="s">
        <v>162</v>
      </c>
      <c r="D606" s="16" t="s">
        <v>146</v>
      </c>
      <c r="E606" s="74" t="s">
        <v>544</v>
      </c>
      <c r="F606" s="16"/>
      <c r="G606" s="103" t="s">
        <v>507</v>
      </c>
      <c r="H606" s="99">
        <f t="shared" si="288"/>
        <v>14051.5</v>
      </c>
      <c r="I606" s="99">
        <f t="shared" si="288"/>
        <v>2459</v>
      </c>
      <c r="J606" s="99">
        <f t="shared" si="288"/>
        <v>2854.2</v>
      </c>
    </row>
    <row r="607" spans="1:10" ht="38.25">
      <c r="A607" s="158"/>
      <c r="B607" s="25"/>
      <c r="C607" s="16" t="s">
        <v>162</v>
      </c>
      <c r="D607" s="16" t="s">
        <v>146</v>
      </c>
      <c r="E607" s="74" t="s">
        <v>544</v>
      </c>
      <c r="F607" s="85" t="s">
        <v>396</v>
      </c>
      <c r="G607" s="103" t="s">
        <v>383</v>
      </c>
      <c r="H607" s="99">
        <f>2810.3+11241.2</f>
        <v>14051.5</v>
      </c>
      <c r="I607" s="99">
        <v>2459</v>
      </c>
      <c r="J607" s="99">
        <v>2854.2</v>
      </c>
    </row>
    <row r="608" spans="1:10" ht="15.75">
      <c r="A608" s="1"/>
      <c r="B608" s="25"/>
      <c r="C608" s="4" t="s">
        <v>174</v>
      </c>
      <c r="D608" s="3"/>
      <c r="E608" s="3"/>
      <c r="F608" s="3"/>
      <c r="G608" s="49" t="s">
        <v>8</v>
      </c>
      <c r="H608" s="97">
        <f t="shared" ref="H608:J608" si="289">H609</f>
        <v>3591.5</v>
      </c>
      <c r="I608" s="97">
        <f t="shared" si="289"/>
        <v>2384.4</v>
      </c>
      <c r="J608" s="97">
        <f t="shared" si="289"/>
        <v>2384.4</v>
      </c>
    </row>
    <row r="609" spans="1:10" ht="28.5">
      <c r="A609" s="1"/>
      <c r="B609" s="25"/>
      <c r="C609" s="35" t="s">
        <v>174</v>
      </c>
      <c r="D609" s="35" t="s">
        <v>146</v>
      </c>
      <c r="E609" s="35"/>
      <c r="F609" s="35"/>
      <c r="G609" s="50" t="s">
        <v>19</v>
      </c>
      <c r="H609" s="40">
        <f t="shared" ref="H609:I609" si="290">H611</f>
        <v>3591.5</v>
      </c>
      <c r="I609" s="40">
        <f t="shared" si="290"/>
        <v>2384.4</v>
      </c>
      <c r="J609" s="40">
        <f t="shared" ref="J609" si="291">J611</f>
        <v>2384.4</v>
      </c>
    </row>
    <row r="610" spans="1:10" ht="51.75" customHeight="1">
      <c r="A610" s="1"/>
      <c r="B610" s="25"/>
      <c r="C610" s="16" t="s">
        <v>174</v>
      </c>
      <c r="D610" s="16" t="s">
        <v>146</v>
      </c>
      <c r="E610" s="74">
        <v>400000000</v>
      </c>
      <c r="F610" s="30"/>
      <c r="G610" s="64" t="s">
        <v>532</v>
      </c>
      <c r="H610" s="101">
        <f t="shared" ref="H610:J611" si="292">H611</f>
        <v>3591.5</v>
      </c>
      <c r="I610" s="101">
        <f t="shared" si="292"/>
        <v>2384.4</v>
      </c>
      <c r="J610" s="101">
        <f t="shared" si="292"/>
        <v>2384.4</v>
      </c>
    </row>
    <row r="611" spans="1:10" ht="51">
      <c r="A611" s="1"/>
      <c r="B611" s="25"/>
      <c r="C611" s="47" t="s">
        <v>174</v>
      </c>
      <c r="D611" s="47" t="s">
        <v>146</v>
      </c>
      <c r="E611" s="75">
        <v>420000000</v>
      </c>
      <c r="F611" s="30"/>
      <c r="G611" s="46" t="s">
        <v>354</v>
      </c>
      <c r="H611" s="98">
        <f t="shared" si="292"/>
        <v>3591.5</v>
      </c>
      <c r="I611" s="98">
        <f t="shared" si="292"/>
        <v>2384.4</v>
      </c>
      <c r="J611" s="98">
        <f t="shared" si="292"/>
        <v>2384.4</v>
      </c>
    </row>
    <row r="612" spans="1:10" ht="100.5" customHeight="1">
      <c r="A612" s="1"/>
      <c r="B612" s="25"/>
      <c r="C612" s="16" t="s">
        <v>174</v>
      </c>
      <c r="D612" s="16" t="s">
        <v>146</v>
      </c>
      <c r="E612" s="74">
        <v>420100000</v>
      </c>
      <c r="F612" s="30"/>
      <c r="G612" s="102" t="s">
        <v>355</v>
      </c>
      <c r="H612" s="41">
        <f>H613+H615+H617+H619+H621+H623+H625</f>
        <v>3591.5</v>
      </c>
      <c r="I612" s="41">
        <f t="shared" ref="I612:J612" si="293">I613+I615+I617+I619+I621</f>
        <v>2384.4</v>
      </c>
      <c r="J612" s="41">
        <f t="shared" si="293"/>
        <v>2384.4</v>
      </c>
    </row>
    <row r="613" spans="1:10" ht="38.25">
      <c r="A613" s="1"/>
      <c r="B613" s="25"/>
      <c r="C613" s="16" t="s">
        <v>174</v>
      </c>
      <c r="D613" s="16" t="s">
        <v>146</v>
      </c>
      <c r="E613" s="74" t="s">
        <v>481</v>
      </c>
      <c r="F613" s="16"/>
      <c r="G613" s="103" t="s">
        <v>635</v>
      </c>
      <c r="H613" s="41">
        <f t="shared" ref="H613:J613" si="294">H614</f>
        <v>300</v>
      </c>
      <c r="I613" s="41">
        <f t="shared" si="294"/>
        <v>300</v>
      </c>
      <c r="J613" s="41">
        <f t="shared" si="294"/>
        <v>300</v>
      </c>
    </row>
    <row r="614" spans="1:10" ht="61.5" customHeight="1">
      <c r="A614" s="1"/>
      <c r="B614" s="25"/>
      <c r="C614" s="16" t="s">
        <v>174</v>
      </c>
      <c r="D614" s="16" t="s">
        <v>146</v>
      </c>
      <c r="E614" s="74" t="s">
        <v>481</v>
      </c>
      <c r="F614" s="16" t="s">
        <v>24</v>
      </c>
      <c r="G614" s="105" t="s">
        <v>655</v>
      </c>
      <c r="H614" s="41">
        <v>300</v>
      </c>
      <c r="I614" s="41">
        <v>300</v>
      </c>
      <c r="J614" s="41">
        <v>300</v>
      </c>
    </row>
    <row r="615" spans="1:10" ht="76.5">
      <c r="A615" s="1"/>
      <c r="B615" s="25"/>
      <c r="C615" s="16" t="s">
        <v>174</v>
      </c>
      <c r="D615" s="16" t="s">
        <v>146</v>
      </c>
      <c r="E615" s="74" t="s">
        <v>127</v>
      </c>
      <c r="F615" s="30"/>
      <c r="G615" s="103" t="s">
        <v>247</v>
      </c>
      <c r="H615" s="41">
        <f t="shared" ref="H615" si="295">H616</f>
        <v>575.29999999999995</v>
      </c>
      <c r="I615" s="41">
        <f t="shared" ref="I615:J615" si="296">I616</f>
        <v>300</v>
      </c>
      <c r="J615" s="41">
        <f t="shared" si="296"/>
        <v>300</v>
      </c>
    </row>
    <row r="616" spans="1:10" ht="36" customHeight="1">
      <c r="A616" s="1"/>
      <c r="B616" s="25"/>
      <c r="C616" s="16" t="s">
        <v>174</v>
      </c>
      <c r="D616" s="16" t="s">
        <v>146</v>
      </c>
      <c r="E616" s="74" t="s">
        <v>127</v>
      </c>
      <c r="F616" s="85" t="s">
        <v>325</v>
      </c>
      <c r="G616" s="103" t="s">
        <v>326</v>
      </c>
      <c r="H616" s="41">
        <v>575.29999999999995</v>
      </c>
      <c r="I616" s="41">
        <v>300</v>
      </c>
      <c r="J616" s="41">
        <v>300</v>
      </c>
    </row>
    <row r="617" spans="1:10" ht="76.5">
      <c r="A617" s="1"/>
      <c r="B617" s="25"/>
      <c r="C617" s="16" t="s">
        <v>174</v>
      </c>
      <c r="D617" s="16" t="s">
        <v>146</v>
      </c>
      <c r="E617" s="74" t="s">
        <v>239</v>
      </c>
      <c r="F617" s="30"/>
      <c r="G617" s="103" t="s">
        <v>308</v>
      </c>
      <c r="H617" s="41">
        <f t="shared" ref="H617" si="297">H618</f>
        <v>436.8</v>
      </c>
      <c r="I617" s="41">
        <f t="shared" ref="I617:J617" si="298">I618</f>
        <v>300</v>
      </c>
      <c r="J617" s="41">
        <f t="shared" si="298"/>
        <v>300</v>
      </c>
    </row>
    <row r="618" spans="1:10" ht="39" customHeight="1">
      <c r="A618" s="1"/>
      <c r="B618" s="25"/>
      <c r="C618" s="16" t="s">
        <v>174</v>
      </c>
      <c r="D618" s="16" t="s">
        <v>146</v>
      </c>
      <c r="E618" s="74" t="s">
        <v>239</v>
      </c>
      <c r="F618" s="85" t="s">
        <v>325</v>
      </c>
      <c r="G618" s="103" t="s">
        <v>326</v>
      </c>
      <c r="H618" s="41">
        <v>436.8</v>
      </c>
      <c r="I618" s="41">
        <v>300</v>
      </c>
      <c r="J618" s="41">
        <v>300</v>
      </c>
    </row>
    <row r="619" spans="1:10" ht="76.5">
      <c r="A619" s="1"/>
      <c r="B619" s="25"/>
      <c r="C619" s="16" t="s">
        <v>174</v>
      </c>
      <c r="D619" s="16" t="s">
        <v>146</v>
      </c>
      <c r="E619" s="74" t="s">
        <v>240</v>
      </c>
      <c r="F619" s="16"/>
      <c r="G619" s="103" t="s">
        <v>64</v>
      </c>
      <c r="H619" s="41">
        <f t="shared" ref="H619" si="299">H620</f>
        <v>1300</v>
      </c>
      <c r="I619" s="41">
        <f t="shared" ref="I619:J619" si="300">I620</f>
        <v>600</v>
      </c>
      <c r="J619" s="41">
        <f t="shared" si="300"/>
        <v>600</v>
      </c>
    </row>
    <row r="620" spans="1:10" ht="38.25">
      <c r="A620" s="1"/>
      <c r="B620" s="25"/>
      <c r="C620" s="16" t="s">
        <v>174</v>
      </c>
      <c r="D620" s="16" t="s">
        <v>146</v>
      </c>
      <c r="E620" s="74" t="s">
        <v>240</v>
      </c>
      <c r="F620" s="85" t="s">
        <v>325</v>
      </c>
      <c r="G620" s="103" t="s">
        <v>326</v>
      </c>
      <c r="H620" s="41">
        <v>1300</v>
      </c>
      <c r="I620" s="41">
        <v>600</v>
      </c>
      <c r="J620" s="41">
        <v>600</v>
      </c>
    </row>
    <row r="621" spans="1:10" ht="38.25">
      <c r="A621" s="158"/>
      <c r="B621" s="25"/>
      <c r="C621" s="16" t="s">
        <v>174</v>
      </c>
      <c r="D621" s="16" t="s">
        <v>146</v>
      </c>
      <c r="E621" s="74">
        <v>420110320</v>
      </c>
      <c r="F621" s="16"/>
      <c r="G621" s="103" t="s">
        <v>666</v>
      </c>
      <c r="H621" s="41">
        <f t="shared" ref="H621:J621" si="301">H622</f>
        <v>884.4</v>
      </c>
      <c r="I621" s="41">
        <f t="shared" si="301"/>
        <v>884.4</v>
      </c>
      <c r="J621" s="41">
        <f t="shared" si="301"/>
        <v>884.4</v>
      </c>
    </row>
    <row r="622" spans="1:10" ht="63.75">
      <c r="A622" s="158"/>
      <c r="B622" s="25"/>
      <c r="C622" s="16" t="s">
        <v>174</v>
      </c>
      <c r="D622" s="16" t="s">
        <v>146</v>
      </c>
      <c r="E622" s="74">
        <v>420110320</v>
      </c>
      <c r="F622" s="16" t="s">
        <v>24</v>
      </c>
      <c r="G622" s="105" t="s">
        <v>655</v>
      </c>
      <c r="H622" s="41">
        <v>884.4</v>
      </c>
      <c r="I622" s="41">
        <v>884.4</v>
      </c>
      <c r="J622" s="41">
        <v>884.4</v>
      </c>
    </row>
    <row r="623" spans="1:10" ht="38.25">
      <c r="A623" s="158"/>
      <c r="B623" s="25"/>
      <c r="C623" s="16" t="s">
        <v>174</v>
      </c>
      <c r="D623" s="16" t="s">
        <v>146</v>
      </c>
      <c r="E623" s="74" t="s">
        <v>815</v>
      </c>
      <c r="F623" s="16"/>
      <c r="G623" s="103" t="s">
        <v>816</v>
      </c>
      <c r="H623" s="41">
        <f>H624</f>
        <v>10</v>
      </c>
      <c r="I623" s="41">
        <f t="shared" ref="I623:J623" si="302">I624</f>
        <v>0</v>
      </c>
      <c r="J623" s="41">
        <f t="shared" si="302"/>
        <v>0</v>
      </c>
    </row>
    <row r="624" spans="1:10" ht="63.75">
      <c r="A624" s="158"/>
      <c r="B624" s="25"/>
      <c r="C624" s="16" t="s">
        <v>174</v>
      </c>
      <c r="D624" s="16" t="s">
        <v>146</v>
      </c>
      <c r="E624" s="74" t="s">
        <v>815</v>
      </c>
      <c r="F624" s="16" t="s">
        <v>24</v>
      </c>
      <c r="G624" s="105" t="s">
        <v>655</v>
      </c>
      <c r="H624" s="41">
        <v>10</v>
      </c>
      <c r="I624" s="41">
        <v>0</v>
      </c>
      <c r="J624" s="41">
        <v>0</v>
      </c>
    </row>
    <row r="625" spans="1:10" ht="51">
      <c r="A625" s="158"/>
      <c r="B625" s="25"/>
      <c r="C625" s="16" t="s">
        <v>174</v>
      </c>
      <c r="D625" s="16" t="s">
        <v>146</v>
      </c>
      <c r="E625" s="74">
        <v>420110490</v>
      </c>
      <c r="F625" s="16"/>
      <c r="G625" s="165" t="s">
        <v>958</v>
      </c>
      <c r="H625" s="41">
        <f>H626</f>
        <v>85</v>
      </c>
      <c r="I625" s="41">
        <f t="shared" ref="I625:J625" si="303">I626</f>
        <v>0</v>
      </c>
      <c r="J625" s="41">
        <f t="shared" si="303"/>
        <v>0</v>
      </c>
    </row>
    <row r="626" spans="1:10" ht="63.75">
      <c r="A626" s="158"/>
      <c r="B626" s="25"/>
      <c r="C626" s="16" t="s">
        <v>174</v>
      </c>
      <c r="D626" s="16" t="s">
        <v>146</v>
      </c>
      <c r="E626" s="74">
        <v>420110490</v>
      </c>
      <c r="F626" s="16" t="s">
        <v>24</v>
      </c>
      <c r="G626" s="105" t="s">
        <v>655</v>
      </c>
      <c r="H626" s="41">
        <v>85</v>
      </c>
      <c r="I626" s="41">
        <v>0</v>
      </c>
      <c r="J626" s="41">
        <v>0</v>
      </c>
    </row>
    <row r="627" spans="1:10" s="8" customFormat="1" ht="72">
      <c r="A627" s="3">
        <v>4</v>
      </c>
      <c r="B627" s="96">
        <v>929</v>
      </c>
      <c r="C627" s="13"/>
      <c r="D627" s="13"/>
      <c r="E627" s="13"/>
      <c r="F627" s="13"/>
      <c r="G627" s="14" t="s">
        <v>312</v>
      </c>
      <c r="H627" s="59">
        <f>H628+H759</f>
        <v>607532.69999999995</v>
      </c>
      <c r="I627" s="59">
        <f>I628+I759</f>
        <v>514293.90000000008</v>
      </c>
      <c r="J627" s="59">
        <f>J628+J759</f>
        <v>516045.10000000003</v>
      </c>
    </row>
    <row r="628" spans="1:10" ht="15.75">
      <c r="A628" s="3"/>
      <c r="B628" s="96"/>
      <c r="C628" s="4" t="s">
        <v>156</v>
      </c>
      <c r="D628" s="3"/>
      <c r="E628" s="3"/>
      <c r="F628" s="3"/>
      <c r="G628" s="49" t="s">
        <v>157</v>
      </c>
      <c r="H628" s="59">
        <f>H629+H647+H683+H710+H716+H725</f>
        <v>594991.29999999993</v>
      </c>
      <c r="I628" s="59">
        <f>I629+I647+I683+I710+I716+I725</f>
        <v>501752.50000000006</v>
      </c>
      <c r="J628" s="59">
        <f>J629+J647+J683+J710+J716+J725</f>
        <v>503503.7</v>
      </c>
    </row>
    <row r="629" spans="1:10" s="37" customFormat="1" ht="14.25">
      <c r="A629" s="27"/>
      <c r="B629" s="70"/>
      <c r="C629" s="35" t="s">
        <v>156</v>
      </c>
      <c r="D629" s="35" t="s">
        <v>140</v>
      </c>
      <c r="E629" s="35"/>
      <c r="F629" s="35"/>
      <c r="G629" s="45" t="s">
        <v>159</v>
      </c>
      <c r="H629" s="58">
        <f t="shared" ref="H629:J629" si="304">H630</f>
        <v>141719.4</v>
      </c>
      <c r="I629" s="58">
        <f t="shared" si="304"/>
        <v>135047.6</v>
      </c>
      <c r="J629" s="58">
        <f t="shared" si="304"/>
        <v>135064.70000000001</v>
      </c>
    </row>
    <row r="630" spans="1:10" s="37" customFormat="1" ht="37.5" customHeight="1">
      <c r="A630" s="27"/>
      <c r="B630" s="70"/>
      <c r="C630" s="16" t="s">
        <v>156</v>
      </c>
      <c r="D630" s="16" t="s">
        <v>140</v>
      </c>
      <c r="E630" s="21" t="s">
        <v>121</v>
      </c>
      <c r="F630" s="35"/>
      <c r="G630" s="64" t="s">
        <v>552</v>
      </c>
      <c r="H630" s="62">
        <f t="shared" ref="H630:J631" si="305">H631</f>
        <v>141719.4</v>
      </c>
      <c r="I630" s="62">
        <f t="shared" si="305"/>
        <v>135047.6</v>
      </c>
      <c r="J630" s="62">
        <f t="shared" si="305"/>
        <v>135064.70000000001</v>
      </c>
    </row>
    <row r="631" spans="1:10" s="37" customFormat="1" ht="25.5">
      <c r="A631" s="27"/>
      <c r="B631" s="70"/>
      <c r="C631" s="16" t="s">
        <v>156</v>
      </c>
      <c r="D631" s="16" t="s">
        <v>140</v>
      </c>
      <c r="E631" s="52" t="s">
        <v>122</v>
      </c>
      <c r="F631" s="35"/>
      <c r="G631" s="46" t="s">
        <v>62</v>
      </c>
      <c r="H631" s="99">
        <f>H632</f>
        <v>141719.4</v>
      </c>
      <c r="I631" s="99">
        <f t="shared" si="305"/>
        <v>135047.6</v>
      </c>
      <c r="J631" s="99">
        <f t="shared" si="305"/>
        <v>135064.70000000001</v>
      </c>
    </row>
    <row r="632" spans="1:10" s="37" customFormat="1" ht="25.5">
      <c r="A632" s="27"/>
      <c r="B632" s="70"/>
      <c r="C632" s="56" t="s">
        <v>156</v>
      </c>
      <c r="D632" s="56" t="s">
        <v>140</v>
      </c>
      <c r="E632" s="21" t="s">
        <v>427</v>
      </c>
      <c r="F632" s="35"/>
      <c r="G632" s="102" t="s">
        <v>429</v>
      </c>
      <c r="H632" s="99">
        <f>H633+H635+H637+H639+H641+H643+H645</f>
        <v>141719.4</v>
      </c>
      <c r="I632" s="99">
        <f t="shared" ref="I632:J632" si="306">I633+I635+I637+I639+I641+I643+I645</f>
        <v>135047.6</v>
      </c>
      <c r="J632" s="99">
        <f t="shared" si="306"/>
        <v>135064.70000000001</v>
      </c>
    </row>
    <row r="633" spans="1:10" s="37" customFormat="1" ht="66.75" customHeight="1">
      <c r="A633" s="27"/>
      <c r="B633" s="70"/>
      <c r="C633" s="56" t="s">
        <v>156</v>
      </c>
      <c r="D633" s="56" t="s">
        <v>140</v>
      </c>
      <c r="E633" s="57" t="s">
        <v>563</v>
      </c>
      <c r="F633" s="21"/>
      <c r="G633" s="103" t="s">
        <v>431</v>
      </c>
      <c r="H633" s="99">
        <f t="shared" ref="H633:J633" si="307">H634</f>
        <v>59767.5</v>
      </c>
      <c r="I633" s="99">
        <f t="shared" si="307"/>
        <v>58978.8</v>
      </c>
      <c r="J633" s="99">
        <f t="shared" si="307"/>
        <v>58978.8</v>
      </c>
    </row>
    <row r="634" spans="1:10" s="37" customFormat="1" ht="14.25">
      <c r="A634" s="27"/>
      <c r="B634" s="70"/>
      <c r="C634" s="56" t="s">
        <v>156</v>
      </c>
      <c r="D634" s="56" t="s">
        <v>140</v>
      </c>
      <c r="E634" s="57" t="s">
        <v>563</v>
      </c>
      <c r="F634" s="21" t="s">
        <v>344</v>
      </c>
      <c r="G634" s="103" t="s">
        <v>343</v>
      </c>
      <c r="H634" s="99">
        <f>58939.1+25+717.4+86</f>
        <v>59767.5</v>
      </c>
      <c r="I634" s="99">
        <v>58978.8</v>
      </c>
      <c r="J634" s="99">
        <v>58978.8</v>
      </c>
    </row>
    <row r="635" spans="1:10" s="37" customFormat="1" ht="62.25" customHeight="1">
      <c r="A635" s="27"/>
      <c r="B635" s="70"/>
      <c r="C635" s="56" t="s">
        <v>156</v>
      </c>
      <c r="D635" s="56" t="s">
        <v>140</v>
      </c>
      <c r="E635" s="57" t="s">
        <v>564</v>
      </c>
      <c r="F635" s="57"/>
      <c r="G635" s="103" t="s">
        <v>61</v>
      </c>
      <c r="H635" s="99">
        <f t="shared" ref="H635:J635" si="308">H636</f>
        <v>78093.799999999988</v>
      </c>
      <c r="I635" s="99">
        <f t="shared" si="308"/>
        <v>75533.399999999994</v>
      </c>
      <c r="J635" s="99">
        <f t="shared" si="308"/>
        <v>75533.399999999994</v>
      </c>
    </row>
    <row r="636" spans="1:10" s="37" customFormat="1" ht="14.25">
      <c r="A636" s="27"/>
      <c r="B636" s="70"/>
      <c r="C636" s="56" t="s">
        <v>156</v>
      </c>
      <c r="D636" s="56" t="s">
        <v>140</v>
      </c>
      <c r="E636" s="57" t="s">
        <v>564</v>
      </c>
      <c r="F636" s="85" t="s">
        <v>344</v>
      </c>
      <c r="G636" s="103" t="s">
        <v>343</v>
      </c>
      <c r="H636" s="99">
        <f>75533.4+2560.4</f>
        <v>78093.799999999988</v>
      </c>
      <c r="I636" s="99">
        <v>75533.399999999994</v>
      </c>
      <c r="J636" s="99">
        <v>75533.399999999994</v>
      </c>
    </row>
    <row r="637" spans="1:10" s="37" customFormat="1" ht="63.75">
      <c r="A637" s="27"/>
      <c r="B637" s="70"/>
      <c r="C637" s="56" t="s">
        <v>156</v>
      </c>
      <c r="D637" s="56" t="s">
        <v>140</v>
      </c>
      <c r="E637" s="57" t="s">
        <v>686</v>
      </c>
      <c r="F637" s="21"/>
      <c r="G637" s="165" t="s">
        <v>687</v>
      </c>
      <c r="H637" s="99">
        <f t="shared" ref="H637:J637" si="309">H638</f>
        <v>925.19999999999993</v>
      </c>
      <c r="I637" s="99">
        <f t="shared" si="309"/>
        <v>535.4</v>
      </c>
      <c r="J637" s="99">
        <f t="shared" si="309"/>
        <v>552.5</v>
      </c>
    </row>
    <row r="638" spans="1:10" s="37" customFormat="1" ht="14.25">
      <c r="A638" s="27"/>
      <c r="B638" s="70"/>
      <c r="C638" s="56" t="s">
        <v>156</v>
      </c>
      <c r="D638" s="56" t="s">
        <v>140</v>
      </c>
      <c r="E638" s="57" t="s">
        <v>686</v>
      </c>
      <c r="F638" s="21" t="s">
        <v>344</v>
      </c>
      <c r="G638" s="103" t="s">
        <v>343</v>
      </c>
      <c r="H638" s="99">
        <f>1020-104.7+9.9</f>
        <v>925.19999999999993</v>
      </c>
      <c r="I638" s="99">
        <v>535.4</v>
      </c>
      <c r="J638" s="99">
        <v>552.5</v>
      </c>
    </row>
    <row r="639" spans="1:10" s="37" customFormat="1" ht="51">
      <c r="A639" s="27"/>
      <c r="B639" s="70"/>
      <c r="C639" s="56" t="s">
        <v>156</v>
      </c>
      <c r="D639" s="56" t="s">
        <v>140</v>
      </c>
      <c r="E639" s="21" t="s">
        <v>698</v>
      </c>
      <c r="F639" s="35"/>
      <c r="G639" s="120" t="s">
        <v>699</v>
      </c>
      <c r="H639" s="99">
        <f>H640</f>
        <v>503.5</v>
      </c>
      <c r="I639" s="99">
        <f>I640</f>
        <v>0</v>
      </c>
      <c r="J639" s="99">
        <f>J640</f>
        <v>0</v>
      </c>
    </row>
    <row r="640" spans="1:10" s="37" customFormat="1" ht="14.25">
      <c r="A640" s="27"/>
      <c r="B640" s="70"/>
      <c r="C640" s="56" t="s">
        <v>156</v>
      </c>
      <c r="D640" s="56" t="s">
        <v>140</v>
      </c>
      <c r="E640" s="21" t="s">
        <v>698</v>
      </c>
      <c r="F640" s="21" t="s">
        <v>344</v>
      </c>
      <c r="G640" s="103" t="s">
        <v>343</v>
      </c>
      <c r="H640" s="99">
        <f>830-326.5</f>
        <v>503.5</v>
      </c>
      <c r="I640" s="99">
        <v>0</v>
      </c>
      <c r="J640" s="99"/>
    </row>
    <row r="641" spans="1:10" s="37" customFormat="1" ht="51">
      <c r="A641" s="27"/>
      <c r="B641" s="70"/>
      <c r="C641" s="56" t="s">
        <v>156</v>
      </c>
      <c r="D641" s="56" t="s">
        <v>140</v>
      </c>
      <c r="E641" s="21" t="s">
        <v>704</v>
      </c>
      <c r="F641" s="21"/>
      <c r="G641" s="165" t="s">
        <v>705</v>
      </c>
      <c r="H641" s="99">
        <f>H642</f>
        <v>2010.6000000000001</v>
      </c>
      <c r="I641" s="99">
        <f>I642</f>
        <v>0</v>
      </c>
      <c r="J641" s="99">
        <f>J642</f>
        <v>0</v>
      </c>
    </row>
    <row r="642" spans="1:10" s="37" customFormat="1" ht="14.25">
      <c r="A642" s="27"/>
      <c r="B642" s="70"/>
      <c r="C642" s="56" t="s">
        <v>156</v>
      </c>
      <c r="D642" s="56" t="s">
        <v>140</v>
      </c>
      <c r="E642" s="21" t="s">
        <v>704</v>
      </c>
      <c r="F642" s="21" t="s">
        <v>344</v>
      </c>
      <c r="G642" s="103" t="s">
        <v>343</v>
      </c>
      <c r="H642" s="99">
        <f>3317.3-1306.7</f>
        <v>2010.6000000000001</v>
      </c>
      <c r="I642" s="99">
        <v>0</v>
      </c>
      <c r="J642" s="99"/>
    </row>
    <row r="643" spans="1:10" s="37" customFormat="1" ht="51">
      <c r="A643" s="27"/>
      <c r="B643" s="70"/>
      <c r="C643" s="56" t="s">
        <v>156</v>
      </c>
      <c r="D643" s="56" t="s">
        <v>140</v>
      </c>
      <c r="E643" s="57" t="s">
        <v>896</v>
      </c>
      <c r="F643" s="21"/>
      <c r="G643" s="102" t="s">
        <v>897</v>
      </c>
      <c r="H643" s="99">
        <f>H644</f>
        <v>87</v>
      </c>
      <c r="I643" s="99">
        <f t="shared" ref="I643:J643" si="310">I644</f>
        <v>0</v>
      </c>
      <c r="J643" s="99">
        <f t="shared" si="310"/>
        <v>0</v>
      </c>
    </row>
    <row r="644" spans="1:10" s="37" customFormat="1" ht="14.25">
      <c r="A644" s="27"/>
      <c r="B644" s="70"/>
      <c r="C644" s="56" t="s">
        <v>156</v>
      </c>
      <c r="D644" s="56" t="s">
        <v>140</v>
      </c>
      <c r="E644" s="57" t="s">
        <v>896</v>
      </c>
      <c r="F644" s="21" t="s">
        <v>344</v>
      </c>
      <c r="G644" s="184" t="s">
        <v>343</v>
      </c>
      <c r="H644" s="99">
        <f>326.5-239.5</f>
        <v>87</v>
      </c>
      <c r="I644" s="99">
        <v>0</v>
      </c>
      <c r="J644" s="99">
        <v>0</v>
      </c>
    </row>
    <row r="645" spans="1:10" s="37" customFormat="1" ht="51">
      <c r="A645" s="27"/>
      <c r="B645" s="70"/>
      <c r="C645" s="56" t="s">
        <v>156</v>
      </c>
      <c r="D645" s="56" t="s">
        <v>140</v>
      </c>
      <c r="E645" s="57" t="s">
        <v>746</v>
      </c>
      <c r="F645" s="21"/>
      <c r="G645" s="103" t="s">
        <v>766</v>
      </c>
      <c r="H645" s="99">
        <f>H646</f>
        <v>331.8</v>
      </c>
      <c r="I645" s="99">
        <f t="shared" ref="I645:J645" si="311">I646</f>
        <v>0</v>
      </c>
      <c r="J645" s="99">
        <f t="shared" si="311"/>
        <v>0</v>
      </c>
    </row>
    <row r="646" spans="1:10" s="37" customFormat="1" ht="14.25">
      <c r="A646" s="27"/>
      <c r="B646" s="70"/>
      <c r="C646" s="56" t="s">
        <v>156</v>
      </c>
      <c r="D646" s="56" t="s">
        <v>140</v>
      </c>
      <c r="E646" s="57" t="s">
        <v>746</v>
      </c>
      <c r="F646" s="21" t="s">
        <v>344</v>
      </c>
      <c r="G646" s="103" t="s">
        <v>343</v>
      </c>
      <c r="H646" s="99">
        <f>341.7-9.9</f>
        <v>331.8</v>
      </c>
      <c r="I646" s="99">
        <v>0</v>
      </c>
      <c r="J646" s="99">
        <v>0</v>
      </c>
    </row>
    <row r="647" spans="1:10" s="37" customFormat="1" ht="14.25">
      <c r="A647" s="27"/>
      <c r="B647" s="70"/>
      <c r="C647" s="35" t="s">
        <v>156</v>
      </c>
      <c r="D647" s="35" t="s">
        <v>141</v>
      </c>
      <c r="E647" s="35"/>
      <c r="F647" s="35"/>
      <c r="G647" s="45" t="s">
        <v>160</v>
      </c>
      <c r="H647" s="42">
        <f>H648+H679</f>
        <v>400851.20000000001</v>
      </c>
      <c r="I647" s="42">
        <f>I648+I679</f>
        <v>318431.3</v>
      </c>
      <c r="J647" s="42">
        <f>J648+J679</f>
        <v>320165.39999999997</v>
      </c>
    </row>
    <row r="648" spans="1:10" s="37" customFormat="1" ht="41.25" customHeight="1">
      <c r="A648" s="27"/>
      <c r="B648" s="70"/>
      <c r="C648" s="16" t="s">
        <v>156</v>
      </c>
      <c r="D648" s="16" t="s">
        <v>141</v>
      </c>
      <c r="E648" s="21" t="s">
        <v>121</v>
      </c>
      <c r="F648" s="35"/>
      <c r="G648" s="64" t="s">
        <v>552</v>
      </c>
      <c r="H648" s="65">
        <f t="shared" ref="H648:J648" si="312">H649</f>
        <v>400651.2</v>
      </c>
      <c r="I648" s="65">
        <f t="shared" si="312"/>
        <v>318431.3</v>
      </c>
      <c r="J648" s="65">
        <f t="shared" si="312"/>
        <v>320165.39999999997</v>
      </c>
    </row>
    <row r="649" spans="1:10" s="37" customFormat="1" ht="25.5">
      <c r="A649" s="27"/>
      <c r="B649" s="70"/>
      <c r="C649" s="47" t="s">
        <v>156</v>
      </c>
      <c r="D649" s="47" t="s">
        <v>141</v>
      </c>
      <c r="E649" s="52" t="s">
        <v>122</v>
      </c>
      <c r="F649" s="35"/>
      <c r="G649" s="46" t="s">
        <v>62</v>
      </c>
      <c r="H649" s="58">
        <f>H650+H653+H676</f>
        <v>400651.2</v>
      </c>
      <c r="I649" s="58">
        <f>I650+I653+I676</f>
        <v>318431.3</v>
      </c>
      <c r="J649" s="58">
        <f>J650+J653+J676</f>
        <v>320165.39999999997</v>
      </c>
    </row>
    <row r="650" spans="1:10" s="37" customFormat="1" ht="25.5">
      <c r="A650" s="27"/>
      <c r="B650" s="70"/>
      <c r="C650" s="56" t="s">
        <v>156</v>
      </c>
      <c r="D650" s="94" t="s">
        <v>141</v>
      </c>
      <c r="E650" s="21" t="s">
        <v>558</v>
      </c>
      <c r="F650" s="35"/>
      <c r="G650" s="102" t="s">
        <v>426</v>
      </c>
      <c r="H650" s="99">
        <f>H651</f>
        <v>16014.6</v>
      </c>
      <c r="I650" s="99">
        <f t="shared" ref="I650:J650" si="313">I651</f>
        <v>16014.6</v>
      </c>
      <c r="J650" s="99">
        <f t="shared" si="313"/>
        <v>16014.6</v>
      </c>
    </row>
    <row r="651" spans="1:10" s="37" customFormat="1" ht="51">
      <c r="A651" s="27"/>
      <c r="B651" s="70"/>
      <c r="C651" s="56" t="s">
        <v>156</v>
      </c>
      <c r="D651" s="94" t="s">
        <v>141</v>
      </c>
      <c r="E651" s="57" t="s">
        <v>709</v>
      </c>
      <c r="F651" s="21"/>
      <c r="G651" s="103" t="s">
        <v>710</v>
      </c>
      <c r="H651" s="99">
        <f t="shared" ref="H651:J651" si="314">H652</f>
        <v>16014.6</v>
      </c>
      <c r="I651" s="99">
        <f t="shared" si="314"/>
        <v>16014.6</v>
      </c>
      <c r="J651" s="99">
        <f t="shared" si="314"/>
        <v>16014.6</v>
      </c>
    </row>
    <row r="652" spans="1:10" s="37" customFormat="1" ht="14.25">
      <c r="A652" s="27"/>
      <c r="B652" s="70"/>
      <c r="C652" s="56" t="s">
        <v>156</v>
      </c>
      <c r="D652" s="94" t="s">
        <v>141</v>
      </c>
      <c r="E652" s="57" t="s">
        <v>709</v>
      </c>
      <c r="F652" s="21" t="s">
        <v>344</v>
      </c>
      <c r="G652" s="103" t="s">
        <v>343</v>
      </c>
      <c r="H652" s="99">
        <v>16014.6</v>
      </c>
      <c r="I652" s="99">
        <v>16014.6</v>
      </c>
      <c r="J652" s="99">
        <v>16014.6</v>
      </c>
    </row>
    <row r="653" spans="1:10" s="37" customFormat="1" ht="25.5">
      <c r="A653" s="27"/>
      <c r="B653" s="70"/>
      <c r="C653" s="16" t="s">
        <v>156</v>
      </c>
      <c r="D653" s="16" t="s">
        <v>141</v>
      </c>
      <c r="E653" s="21" t="s">
        <v>427</v>
      </c>
      <c r="F653" s="35"/>
      <c r="G653" s="102" t="s">
        <v>429</v>
      </c>
      <c r="H653" s="99">
        <f>H654+H656+H658+H660+H662+H664+H666+H668+H670+H672+H674</f>
        <v>367056.10000000003</v>
      </c>
      <c r="I653" s="99">
        <f t="shared" ref="I653:J653" si="315">I654+I656+I658+I660+I662+I664+I666+I670+I672+I674</f>
        <v>283982.8</v>
      </c>
      <c r="J653" s="99">
        <f t="shared" si="315"/>
        <v>285887.89999999997</v>
      </c>
    </row>
    <row r="654" spans="1:10" s="37" customFormat="1" ht="63.75">
      <c r="A654" s="27"/>
      <c r="B654" s="70"/>
      <c r="C654" s="56" t="s">
        <v>156</v>
      </c>
      <c r="D654" s="94" t="s">
        <v>141</v>
      </c>
      <c r="E654" s="21" t="s">
        <v>560</v>
      </c>
      <c r="F654" s="35"/>
      <c r="G654" s="120" t="s">
        <v>430</v>
      </c>
      <c r="H654" s="99">
        <f>H655</f>
        <v>198.79999999999995</v>
      </c>
      <c r="I654" s="99">
        <f>I655</f>
        <v>0</v>
      </c>
      <c r="J654" s="99">
        <f>J655</f>
        <v>0</v>
      </c>
    </row>
    <row r="655" spans="1:10" s="37" customFormat="1" ht="14.25">
      <c r="A655" s="27"/>
      <c r="B655" s="70"/>
      <c r="C655" s="56" t="s">
        <v>156</v>
      </c>
      <c r="D655" s="94" t="s">
        <v>141</v>
      </c>
      <c r="E655" s="21" t="s">
        <v>560</v>
      </c>
      <c r="F655" s="21" t="s">
        <v>344</v>
      </c>
      <c r="G655" s="103" t="s">
        <v>343</v>
      </c>
      <c r="H655" s="99">
        <f>1676.5-113.2-1364.5</f>
        <v>198.79999999999995</v>
      </c>
      <c r="I655" s="99">
        <v>0</v>
      </c>
      <c r="J655" s="99">
        <v>0</v>
      </c>
    </row>
    <row r="656" spans="1:10" s="37" customFormat="1" ht="51">
      <c r="A656" s="27"/>
      <c r="B656" s="70"/>
      <c r="C656" s="16" t="s">
        <v>156</v>
      </c>
      <c r="D656" s="16" t="s">
        <v>141</v>
      </c>
      <c r="E656" s="21" t="s">
        <v>671</v>
      </c>
      <c r="F656" s="57"/>
      <c r="G656" s="120" t="s">
        <v>672</v>
      </c>
      <c r="H656" s="99">
        <f t="shared" ref="H656:J656" si="316">H657</f>
        <v>794.39999999999986</v>
      </c>
      <c r="I656" s="99">
        <f t="shared" si="316"/>
        <v>0</v>
      </c>
      <c r="J656" s="99">
        <f t="shared" si="316"/>
        <v>0</v>
      </c>
    </row>
    <row r="657" spans="1:10" s="37" customFormat="1" ht="14.25">
      <c r="A657" s="27"/>
      <c r="B657" s="70"/>
      <c r="C657" s="16" t="s">
        <v>156</v>
      </c>
      <c r="D657" s="16" t="s">
        <v>141</v>
      </c>
      <c r="E657" s="21" t="s">
        <v>671</v>
      </c>
      <c r="F657" s="21" t="s">
        <v>344</v>
      </c>
      <c r="G657" s="103" t="s">
        <v>343</v>
      </c>
      <c r="H657" s="99">
        <f>1247.1-452.7</f>
        <v>794.39999999999986</v>
      </c>
      <c r="I657" s="99">
        <v>0</v>
      </c>
      <c r="J657" s="99">
        <v>0</v>
      </c>
    </row>
    <row r="658" spans="1:10" s="37" customFormat="1" ht="76.5">
      <c r="A658" s="27"/>
      <c r="B658" s="70"/>
      <c r="C658" s="16" t="s">
        <v>156</v>
      </c>
      <c r="D658" s="16" t="s">
        <v>141</v>
      </c>
      <c r="E658" s="57" t="s">
        <v>561</v>
      </c>
      <c r="F658" s="21"/>
      <c r="G658" s="103" t="s">
        <v>188</v>
      </c>
      <c r="H658" s="99">
        <f t="shared" ref="H658:J658" si="317">H659</f>
        <v>15127.4</v>
      </c>
      <c r="I658" s="99">
        <f t="shared" si="317"/>
        <v>15703.5</v>
      </c>
      <c r="J658" s="99">
        <f t="shared" si="317"/>
        <v>15703.5</v>
      </c>
    </row>
    <row r="659" spans="1:10" s="37" customFormat="1" ht="14.25">
      <c r="A659" s="27"/>
      <c r="B659" s="70"/>
      <c r="C659" s="16" t="s">
        <v>156</v>
      </c>
      <c r="D659" s="16" t="s">
        <v>141</v>
      </c>
      <c r="E659" s="57" t="s">
        <v>561</v>
      </c>
      <c r="F659" s="21" t="s">
        <v>344</v>
      </c>
      <c r="G659" s="103" t="s">
        <v>343</v>
      </c>
      <c r="H659" s="99">
        <v>15127.4</v>
      </c>
      <c r="I659" s="99">
        <v>15703.5</v>
      </c>
      <c r="J659" s="99">
        <v>15703.5</v>
      </c>
    </row>
    <row r="660" spans="1:10" s="37" customFormat="1" ht="63.75">
      <c r="A660" s="27"/>
      <c r="B660" s="70"/>
      <c r="C660" s="16" t="s">
        <v>156</v>
      </c>
      <c r="D660" s="16" t="s">
        <v>141</v>
      </c>
      <c r="E660" s="57" t="s">
        <v>562</v>
      </c>
      <c r="F660" s="21"/>
      <c r="G660" s="103" t="s">
        <v>438</v>
      </c>
      <c r="H660" s="99">
        <f t="shared" ref="H660:J660" si="318">H661</f>
        <v>73784.5</v>
      </c>
      <c r="I660" s="99">
        <f t="shared" si="318"/>
        <v>68841.600000000006</v>
      </c>
      <c r="J660" s="99">
        <f t="shared" si="318"/>
        <v>70746.7</v>
      </c>
    </row>
    <row r="661" spans="1:10" s="37" customFormat="1" ht="14.25">
      <c r="A661" s="27"/>
      <c r="B661" s="70"/>
      <c r="C661" s="16" t="s">
        <v>156</v>
      </c>
      <c r="D661" s="16" t="s">
        <v>141</v>
      </c>
      <c r="E661" s="57" t="s">
        <v>562</v>
      </c>
      <c r="F661" s="21" t="s">
        <v>344</v>
      </c>
      <c r="G661" s="103" t="s">
        <v>343</v>
      </c>
      <c r="H661" s="99">
        <f>74196.9+368-1468.4+627.1+18.4+35+7.5</f>
        <v>73784.5</v>
      </c>
      <c r="I661" s="99">
        <v>68841.600000000006</v>
      </c>
      <c r="J661" s="99">
        <v>70746.7</v>
      </c>
    </row>
    <row r="662" spans="1:10" s="37" customFormat="1" ht="63.75">
      <c r="A662" s="27"/>
      <c r="B662" s="70"/>
      <c r="C662" s="16" t="s">
        <v>156</v>
      </c>
      <c r="D662" s="16" t="s">
        <v>141</v>
      </c>
      <c r="E662" s="57" t="s">
        <v>566</v>
      </c>
      <c r="F662" s="21"/>
      <c r="G662" s="103" t="s">
        <v>439</v>
      </c>
      <c r="H662" s="99">
        <f t="shared" ref="H662:J662" si="319">H663</f>
        <v>211989.7</v>
      </c>
      <c r="I662" s="99">
        <f t="shared" si="319"/>
        <v>193610.4</v>
      </c>
      <c r="J662" s="99">
        <f t="shared" si="319"/>
        <v>193610.4</v>
      </c>
    </row>
    <row r="663" spans="1:10" s="37" customFormat="1" ht="14.25">
      <c r="A663" s="27"/>
      <c r="B663" s="70"/>
      <c r="C663" s="16" t="s">
        <v>156</v>
      </c>
      <c r="D663" s="16" t="s">
        <v>141</v>
      </c>
      <c r="E663" s="57" t="s">
        <v>566</v>
      </c>
      <c r="F663" s="21" t="s">
        <v>344</v>
      </c>
      <c r="G663" s="103" t="s">
        <v>343</v>
      </c>
      <c r="H663" s="99">
        <f>193610.4+12075.7+6303.6</f>
        <v>211989.7</v>
      </c>
      <c r="I663" s="99">
        <v>193610.4</v>
      </c>
      <c r="J663" s="99">
        <v>193610.4</v>
      </c>
    </row>
    <row r="664" spans="1:10" s="37" customFormat="1" ht="38.25">
      <c r="A664" s="27"/>
      <c r="B664" s="70"/>
      <c r="C664" s="16" t="s">
        <v>156</v>
      </c>
      <c r="D664" s="16" t="s">
        <v>141</v>
      </c>
      <c r="E664" s="57" t="s">
        <v>569</v>
      </c>
      <c r="F664" s="21"/>
      <c r="G664" s="103" t="s">
        <v>483</v>
      </c>
      <c r="H664" s="99">
        <f t="shared" ref="H664:J664" si="320">H665</f>
        <v>4827.3</v>
      </c>
      <c r="I664" s="99">
        <f t="shared" si="320"/>
        <v>4827.3</v>
      </c>
      <c r="J664" s="99">
        <f t="shared" si="320"/>
        <v>4827.3</v>
      </c>
    </row>
    <row r="665" spans="1:10" s="37" customFormat="1" ht="14.25">
      <c r="A665" s="27"/>
      <c r="B665" s="70"/>
      <c r="C665" s="16" t="s">
        <v>156</v>
      </c>
      <c r="D665" s="16" t="s">
        <v>141</v>
      </c>
      <c r="E665" s="57" t="s">
        <v>569</v>
      </c>
      <c r="F665" s="21" t="s">
        <v>344</v>
      </c>
      <c r="G665" s="103" t="s">
        <v>343</v>
      </c>
      <c r="H665" s="99">
        <v>4827.3</v>
      </c>
      <c r="I665" s="99">
        <v>4827.3</v>
      </c>
      <c r="J665" s="99">
        <v>4827.3</v>
      </c>
    </row>
    <row r="666" spans="1:10" s="37" customFormat="1" ht="63.75">
      <c r="A666" s="27"/>
      <c r="B666" s="70"/>
      <c r="C666" s="16" t="s">
        <v>156</v>
      </c>
      <c r="D666" s="16" t="s">
        <v>141</v>
      </c>
      <c r="E666" s="57" t="s">
        <v>688</v>
      </c>
      <c r="F666" s="57"/>
      <c r="G666" s="165" t="s">
        <v>689</v>
      </c>
      <c r="H666" s="99">
        <f t="shared" ref="H666:J666" si="321">H667</f>
        <v>1699</v>
      </c>
      <c r="I666" s="99">
        <f t="shared" si="321"/>
        <v>1000</v>
      </c>
      <c r="J666" s="99">
        <f t="shared" si="321"/>
        <v>1000</v>
      </c>
    </row>
    <row r="667" spans="1:10" s="37" customFormat="1" ht="14.25">
      <c r="A667" s="27"/>
      <c r="B667" s="70"/>
      <c r="C667" s="16" t="s">
        <v>156</v>
      </c>
      <c r="D667" s="16" t="s">
        <v>141</v>
      </c>
      <c r="E667" s="57" t="s">
        <v>688</v>
      </c>
      <c r="F667" s="21" t="s">
        <v>344</v>
      </c>
      <c r="G667" s="103" t="s">
        <v>343</v>
      </c>
      <c r="H667" s="99">
        <f>2030-331</f>
        <v>1699</v>
      </c>
      <c r="I667" s="99">
        <v>1000</v>
      </c>
      <c r="J667" s="99">
        <v>1000</v>
      </c>
    </row>
    <row r="668" spans="1:10" s="37" customFormat="1" ht="65.25" customHeight="1">
      <c r="A668" s="27"/>
      <c r="B668" s="70"/>
      <c r="C668" s="16" t="s">
        <v>156</v>
      </c>
      <c r="D668" s="16" t="s">
        <v>141</v>
      </c>
      <c r="E668" s="57" t="s">
        <v>971</v>
      </c>
      <c r="F668" s="57"/>
      <c r="G668" s="103" t="s">
        <v>972</v>
      </c>
      <c r="H668" s="99">
        <f>H669</f>
        <v>44.5</v>
      </c>
      <c r="I668" s="99">
        <f t="shared" ref="I668:J668" si="322">I669</f>
        <v>0</v>
      </c>
      <c r="J668" s="99">
        <f t="shared" si="322"/>
        <v>0</v>
      </c>
    </row>
    <row r="669" spans="1:10" s="37" customFormat="1" ht="14.25">
      <c r="A669" s="27"/>
      <c r="B669" s="70"/>
      <c r="C669" s="16" t="s">
        <v>156</v>
      </c>
      <c r="D669" s="16" t="s">
        <v>141</v>
      </c>
      <c r="E669" s="57" t="s">
        <v>971</v>
      </c>
      <c r="F669" s="21" t="s">
        <v>344</v>
      </c>
      <c r="G669" s="103" t="s">
        <v>343</v>
      </c>
      <c r="H669" s="99">
        <v>44.5</v>
      </c>
      <c r="I669" s="99">
        <v>0</v>
      </c>
      <c r="J669" s="99">
        <v>0</v>
      </c>
    </row>
    <row r="670" spans="1:10" s="37" customFormat="1" ht="51">
      <c r="A670" s="27"/>
      <c r="B670" s="70"/>
      <c r="C670" s="16" t="s">
        <v>156</v>
      </c>
      <c r="D670" s="16" t="s">
        <v>141</v>
      </c>
      <c r="E670" s="57" t="s">
        <v>745</v>
      </c>
      <c r="F670" s="21"/>
      <c r="G670" s="103" t="s">
        <v>765</v>
      </c>
      <c r="H670" s="99">
        <f>H671</f>
        <v>493.8</v>
      </c>
      <c r="I670" s="99">
        <f t="shared" ref="I670:J670" si="323">I671</f>
        <v>0</v>
      </c>
      <c r="J670" s="99">
        <f t="shared" si="323"/>
        <v>0</v>
      </c>
    </row>
    <row r="671" spans="1:10" s="37" customFormat="1" ht="14.25">
      <c r="A671" s="27"/>
      <c r="B671" s="70"/>
      <c r="C671" s="16" t="s">
        <v>156</v>
      </c>
      <c r="D671" s="16" t="s">
        <v>141</v>
      </c>
      <c r="E671" s="57" t="s">
        <v>745</v>
      </c>
      <c r="F671" s="21" t="s">
        <v>344</v>
      </c>
      <c r="G671" s="103" t="s">
        <v>343</v>
      </c>
      <c r="H671" s="99">
        <f>508.8-15</f>
        <v>493.8</v>
      </c>
      <c r="I671" s="99">
        <v>0</v>
      </c>
      <c r="J671" s="99">
        <v>0</v>
      </c>
    </row>
    <row r="672" spans="1:10" s="37" customFormat="1" ht="51">
      <c r="A672" s="27"/>
      <c r="B672" s="70"/>
      <c r="C672" s="16" t="s">
        <v>156</v>
      </c>
      <c r="D672" s="16" t="s">
        <v>141</v>
      </c>
      <c r="E672" s="57" t="s">
        <v>787</v>
      </c>
      <c r="F672" s="21"/>
      <c r="G672" s="165" t="s">
        <v>786</v>
      </c>
      <c r="H672" s="99">
        <f>H673</f>
        <v>33612.400000000001</v>
      </c>
      <c r="I672" s="99">
        <f t="shared" ref="I672:J672" si="324">I673</f>
        <v>0</v>
      </c>
      <c r="J672" s="99">
        <f t="shared" si="324"/>
        <v>0</v>
      </c>
    </row>
    <row r="673" spans="1:10" s="37" customFormat="1" ht="14.25">
      <c r="A673" s="27"/>
      <c r="B673" s="70"/>
      <c r="C673" s="16" t="s">
        <v>156</v>
      </c>
      <c r="D673" s="16" t="s">
        <v>141</v>
      </c>
      <c r="E673" s="57" t="s">
        <v>787</v>
      </c>
      <c r="F673" s="21" t="s">
        <v>344</v>
      </c>
      <c r="G673" s="103" t="s">
        <v>343</v>
      </c>
      <c r="H673" s="99">
        <f>4500-393+113.2-408.8+29600+186+15</f>
        <v>33612.400000000001</v>
      </c>
      <c r="I673" s="99">
        <v>0</v>
      </c>
      <c r="J673" s="99">
        <v>0</v>
      </c>
    </row>
    <row r="674" spans="1:10" s="37" customFormat="1" ht="63.75">
      <c r="A674" s="27"/>
      <c r="B674" s="70"/>
      <c r="C674" s="16" t="s">
        <v>156</v>
      </c>
      <c r="D674" s="16" t="s">
        <v>141</v>
      </c>
      <c r="E674" s="57" t="s">
        <v>961</v>
      </c>
      <c r="F674" s="57"/>
      <c r="G674" s="165" t="s">
        <v>960</v>
      </c>
      <c r="H674" s="99">
        <f>H675</f>
        <v>24484.3</v>
      </c>
      <c r="I674" s="99">
        <f t="shared" ref="I674:J674" si="325">I675</f>
        <v>0</v>
      </c>
      <c r="J674" s="99">
        <f t="shared" si="325"/>
        <v>0</v>
      </c>
    </row>
    <row r="675" spans="1:10" s="37" customFormat="1" ht="14.25">
      <c r="A675" s="27"/>
      <c r="B675" s="70"/>
      <c r="C675" s="16" t="s">
        <v>156</v>
      </c>
      <c r="D675" s="16" t="s">
        <v>141</v>
      </c>
      <c r="E675" s="57" t="s">
        <v>961</v>
      </c>
      <c r="F675" s="21" t="s">
        <v>344</v>
      </c>
      <c r="G675" s="103" t="s">
        <v>343</v>
      </c>
      <c r="H675" s="99">
        <f>2448.5+22035.8</f>
        <v>24484.3</v>
      </c>
      <c r="I675" s="99">
        <v>0</v>
      </c>
      <c r="J675" s="99">
        <v>0</v>
      </c>
    </row>
    <row r="676" spans="1:10" s="37" customFormat="1" ht="63.75">
      <c r="A676" s="27"/>
      <c r="B676" s="70"/>
      <c r="C676" s="85" t="s">
        <v>156</v>
      </c>
      <c r="D676" s="16" t="s">
        <v>141</v>
      </c>
      <c r="E676" s="21" t="s">
        <v>443</v>
      </c>
      <c r="F676" s="57"/>
      <c r="G676" s="102" t="s">
        <v>442</v>
      </c>
      <c r="H676" s="41">
        <f>H677</f>
        <v>17580.5</v>
      </c>
      <c r="I676" s="41">
        <f t="shared" ref="I676:J676" si="326">I677</f>
        <v>18433.899999999998</v>
      </c>
      <c r="J676" s="41">
        <f t="shared" si="326"/>
        <v>18262.899999999998</v>
      </c>
    </row>
    <row r="677" spans="1:10" s="37" customFormat="1" ht="63.75">
      <c r="A677" s="27"/>
      <c r="B677" s="70"/>
      <c r="C677" s="16" t="s">
        <v>156</v>
      </c>
      <c r="D677" s="16" t="s">
        <v>141</v>
      </c>
      <c r="E677" s="57" t="s">
        <v>707</v>
      </c>
      <c r="F677" s="57"/>
      <c r="G677" s="103" t="s">
        <v>708</v>
      </c>
      <c r="H677" s="104">
        <f t="shared" ref="H677:J677" si="327">H678</f>
        <v>17580.5</v>
      </c>
      <c r="I677" s="104">
        <f t="shared" si="327"/>
        <v>18433.899999999998</v>
      </c>
      <c r="J677" s="104">
        <f t="shared" si="327"/>
        <v>18262.899999999998</v>
      </c>
    </row>
    <row r="678" spans="1:10" s="37" customFormat="1" ht="14.25">
      <c r="A678" s="27"/>
      <c r="B678" s="70"/>
      <c r="C678" s="16" t="s">
        <v>156</v>
      </c>
      <c r="D678" s="16" t="s">
        <v>141</v>
      </c>
      <c r="E678" s="57" t="s">
        <v>707</v>
      </c>
      <c r="F678" s="57" t="s">
        <v>344</v>
      </c>
      <c r="G678" s="103" t="s">
        <v>343</v>
      </c>
      <c r="H678" s="104">
        <f>1530.1+15822.5+227.9</f>
        <v>17580.5</v>
      </c>
      <c r="I678" s="104">
        <f>1578.8+16590.5+264.6</f>
        <v>18433.899999999998</v>
      </c>
      <c r="J678" s="104">
        <f>1578.8+16436.6+247.5</f>
        <v>18262.899999999998</v>
      </c>
    </row>
    <row r="679" spans="1:10" s="37" customFormat="1" ht="25.5">
      <c r="A679" s="27"/>
      <c r="B679" s="70"/>
      <c r="C679" s="5" t="s">
        <v>156</v>
      </c>
      <c r="D679" s="5" t="s">
        <v>141</v>
      </c>
      <c r="E679" s="87">
        <v>9900000000</v>
      </c>
      <c r="F679" s="73"/>
      <c r="G679" s="154" t="s">
        <v>202</v>
      </c>
      <c r="H679" s="101">
        <f t="shared" ref="H679:J680" si="328">H680</f>
        <v>200</v>
      </c>
      <c r="I679" s="101">
        <f t="shared" si="328"/>
        <v>0</v>
      </c>
      <c r="J679" s="101">
        <f t="shared" si="328"/>
        <v>0</v>
      </c>
    </row>
    <row r="680" spans="1:10" s="37" customFormat="1" ht="25.5">
      <c r="A680" s="27"/>
      <c r="B680" s="70"/>
      <c r="C680" s="16" t="s">
        <v>156</v>
      </c>
      <c r="D680" s="16" t="s">
        <v>141</v>
      </c>
      <c r="E680" s="85" t="s">
        <v>32</v>
      </c>
      <c r="F680" s="85"/>
      <c r="G680" s="105" t="s">
        <v>56</v>
      </c>
      <c r="H680" s="104">
        <f>H681</f>
        <v>200</v>
      </c>
      <c r="I680" s="104">
        <f t="shared" si="328"/>
        <v>0</v>
      </c>
      <c r="J680" s="104">
        <f t="shared" si="328"/>
        <v>0</v>
      </c>
    </row>
    <row r="681" spans="1:10" s="37" customFormat="1" ht="38.25">
      <c r="A681" s="27"/>
      <c r="B681" s="70"/>
      <c r="C681" s="16" t="s">
        <v>156</v>
      </c>
      <c r="D681" s="16" t="s">
        <v>141</v>
      </c>
      <c r="E681" s="85" t="s">
        <v>633</v>
      </c>
      <c r="F681" s="16"/>
      <c r="G681" s="54" t="s">
        <v>593</v>
      </c>
      <c r="H681" s="41">
        <f>SUM(H682:H682)</f>
        <v>200</v>
      </c>
      <c r="I681" s="41">
        <f>SUM(I682:I682)</f>
        <v>0</v>
      </c>
      <c r="J681" s="41">
        <f>SUM(J682:J682)</f>
        <v>0</v>
      </c>
    </row>
    <row r="682" spans="1:10" s="37" customFormat="1" ht="14.25">
      <c r="A682" s="27"/>
      <c r="B682" s="70"/>
      <c r="C682" s="16" t="s">
        <v>156</v>
      </c>
      <c r="D682" s="16" t="s">
        <v>141</v>
      </c>
      <c r="E682" s="85" t="s">
        <v>633</v>
      </c>
      <c r="F682" s="21" t="s">
        <v>344</v>
      </c>
      <c r="G682" s="103" t="s">
        <v>343</v>
      </c>
      <c r="H682" s="39">
        <v>200</v>
      </c>
      <c r="I682" s="39">
        <v>0</v>
      </c>
      <c r="J682" s="39">
        <v>0</v>
      </c>
    </row>
    <row r="683" spans="1:10" s="37" customFormat="1" ht="14.25">
      <c r="A683" s="27"/>
      <c r="B683" s="70"/>
      <c r="C683" s="35" t="s">
        <v>156</v>
      </c>
      <c r="D683" s="35" t="s">
        <v>145</v>
      </c>
      <c r="E683" s="35"/>
      <c r="F683" s="35"/>
      <c r="G683" s="46" t="s">
        <v>225</v>
      </c>
      <c r="H683" s="42">
        <f>H684+H706</f>
        <v>40270</v>
      </c>
      <c r="I683" s="42">
        <f>I684+I706</f>
        <v>36230.9</v>
      </c>
      <c r="J683" s="42">
        <f>J684+J706</f>
        <v>36230.9</v>
      </c>
    </row>
    <row r="684" spans="1:10" s="37" customFormat="1" ht="37.5" customHeight="1">
      <c r="A684" s="27"/>
      <c r="B684" s="70"/>
      <c r="C684" s="5" t="s">
        <v>156</v>
      </c>
      <c r="D684" s="5" t="s">
        <v>145</v>
      </c>
      <c r="E684" s="73" t="s">
        <v>121</v>
      </c>
      <c r="F684" s="21"/>
      <c r="G684" s="64" t="s">
        <v>552</v>
      </c>
      <c r="H684" s="62">
        <f>H685+H702</f>
        <v>40170</v>
      </c>
      <c r="I684" s="62">
        <f t="shared" ref="I684:J684" si="329">I685+I702</f>
        <v>36230.9</v>
      </c>
      <c r="J684" s="62">
        <f t="shared" si="329"/>
        <v>36230.9</v>
      </c>
    </row>
    <row r="685" spans="1:10" s="37" customFormat="1" ht="25.5">
      <c r="A685" s="27"/>
      <c r="B685" s="70"/>
      <c r="C685" s="47" t="s">
        <v>156</v>
      </c>
      <c r="D685" s="47" t="s">
        <v>145</v>
      </c>
      <c r="E685" s="52" t="s">
        <v>122</v>
      </c>
      <c r="F685" s="35"/>
      <c r="G685" s="46" t="s">
        <v>62</v>
      </c>
      <c r="H685" s="58">
        <f t="shared" ref="H685:I685" si="330">H686+H691</f>
        <v>40120</v>
      </c>
      <c r="I685" s="58">
        <f t="shared" si="330"/>
        <v>36230.9</v>
      </c>
      <c r="J685" s="58">
        <f t="shared" ref="J685" si="331">J686+J691</f>
        <v>36230.9</v>
      </c>
    </row>
    <row r="686" spans="1:10" s="37" customFormat="1" ht="63.75">
      <c r="A686" s="27"/>
      <c r="B686" s="70"/>
      <c r="C686" s="85" t="s">
        <v>156</v>
      </c>
      <c r="D686" s="85" t="s">
        <v>145</v>
      </c>
      <c r="E686" s="21" t="s">
        <v>443</v>
      </c>
      <c r="F686" s="57"/>
      <c r="G686" s="102" t="s">
        <v>442</v>
      </c>
      <c r="H686" s="99">
        <f t="shared" ref="H686:I686" si="332">H687+H689</f>
        <v>780</v>
      </c>
      <c r="I686" s="99">
        <f t="shared" si="332"/>
        <v>250</v>
      </c>
      <c r="J686" s="99">
        <f t="shared" ref="J686" si="333">J687+J689</f>
        <v>250</v>
      </c>
    </row>
    <row r="687" spans="1:10" s="37" customFormat="1" ht="26.25" customHeight="1">
      <c r="A687" s="27"/>
      <c r="B687" s="70"/>
      <c r="C687" s="85" t="s">
        <v>156</v>
      </c>
      <c r="D687" s="85" t="s">
        <v>145</v>
      </c>
      <c r="E687" s="57" t="s">
        <v>574</v>
      </c>
      <c r="F687" s="57"/>
      <c r="G687" s="103" t="s">
        <v>266</v>
      </c>
      <c r="H687" s="41">
        <f t="shared" ref="H687:J687" si="334">H688</f>
        <v>250</v>
      </c>
      <c r="I687" s="41">
        <f t="shared" si="334"/>
        <v>250</v>
      </c>
      <c r="J687" s="41">
        <f t="shared" si="334"/>
        <v>250</v>
      </c>
    </row>
    <row r="688" spans="1:10" s="37" customFormat="1" ht="14.25">
      <c r="A688" s="27"/>
      <c r="B688" s="70"/>
      <c r="C688" s="85" t="s">
        <v>156</v>
      </c>
      <c r="D688" s="85" t="s">
        <v>145</v>
      </c>
      <c r="E688" s="57" t="s">
        <v>574</v>
      </c>
      <c r="F688" s="21" t="s">
        <v>344</v>
      </c>
      <c r="G688" s="103" t="s">
        <v>343</v>
      </c>
      <c r="H688" s="41">
        <v>250</v>
      </c>
      <c r="I688" s="41">
        <v>250</v>
      </c>
      <c r="J688" s="41">
        <v>250</v>
      </c>
    </row>
    <row r="689" spans="1:10" s="37" customFormat="1" ht="37.5" customHeight="1">
      <c r="A689" s="27"/>
      <c r="B689" s="70"/>
      <c r="C689" s="85" t="s">
        <v>156</v>
      </c>
      <c r="D689" s="85" t="s">
        <v>145</v>
      </c>
      <c r="E689" s="57" t="s">
        <v>650</v>
      </c>
      <c r="F689" s="21"/>
      <c r="G689" s="54" t="s">
        <v>665</v>
      </c>
      <c r="H689" s="99">
        <f t="shared" ref="H689:J689" si="335">H690</f>
        <v>530</v>
      </c>
      <c r="I689" s="99">
        <f t="shared" si="335"/>
        <v>0</v>
      </c>
      <c r="J689" s="99">
        <f t="shared" si="335"/>
        <v>0</v>
      </c>
    </row>
    <row r="690" spans="1:10" s="37" customFormat="1" ht="14.25">
      <c r="A690" s="27"/>
      <c r="B690" s="70"/>
      <c r="C690" s="85" t="s">
        <v>156</v>
      </c>
      <c r="D690" s="85" t="s">
        <v>145</v>
      </c>
      <c r="E690" s="57" t="s">
        <v>650</v>
      </c>
      <c r="F690" s="21" t="s">
        <v>344</v>
      </c>
      <c r="G690" s="103" t="s">
        <v>343</v>
      </c>
      <c r="H690" s="99">
        <v>530</v>
      </c>
      <c r="I690" s="99">
        <v>0</v>
      </c>
      <c r="J690" s="99">
        <v>0</v>
      </c>
    </row>
    <row r="691" spans="1:10" s="37" customFormat="1" ht="51">
      <c r="A691" s="27"/>
      <c r="B691" s="70"/>
      <c r="C691" s="85" t="s">
        <v>156</v>
      </c>
      <c r="D691" s="85" t="s">
        <v>145</v>
      </c>
      <c r="E691" s="21" t="s">
        <v>444</v>
      </c>
      <c r="F691" s="21"/>
      <c r="G691" s="102" t="s">
        <v>469</v>
      </c>
      <c r="H691" s="41">
        <f>H692+H694+H696+H698+H700</f>
        <v>39340</v>
      </c>
      <c r="I691" s="41">
        <f t="shared" ref="I691:J691" si="336">I692+I694+I696+I698+I700</f>
        <v>35980.9</v>
      </c>
      <c r="J691" s="41">
        <f t="shared" si="336"/>
        <v>35980.9</v>
      </c>
    </row>
    <row r="692" spans="1:10" s="37" customFormat="1" ht="66" customHeight="1">
      <c r="A692" s="27"/>
      <c r="B692" s="70"/>
      <c r="C692" s="85" t="s">
        <v>156</v>
      </c>
      <c r="D692" s="85" t="s">
        <v>145</v>
      </c>
      <c r="E692" s="57" t="s">
        <v>575</v>
      </c>
      <c r="F692" s="35"/>
      <c r="G692" s="103" t="s">
        <v>445</v>
      </c>
      <c r="H692" s="41">
        <f t="shared" ref="H692:J692" si="337">H693</f>
        <v>33556.400000000001</v>
      </c>
      <c r="I692" s="41">
        <f t="shared" si="337"/>
        <v>31118.2</v>
      </c>
      <c r="J692" s="41">
        <f t="shared" si="337"/>
        <v>31118.2</v>
      </c>
    </row>
    <row r="693" spans="1:10" s="37" customFormat="1" ht="14.25">
      <c r="A693" s="27"/>
      <c r="B693" s="70"/>
      <c r="C693" s="85" t="s">
        <v>156</v>
      </c>
      <c r="D693" s="85" t="s">
        <v>145</v>
      </c>
      <c r="E693" s="57" t="s">
        <v>575</v>
      </c>
      <c r="F693" s="21" t="s">
        <v>344</v>
      </c>
      <c r="G693" s="103" t="s">
        <v>343</v>
      </c>
      <c r="H693" s="41">
        <f>33248.3-1.1-50+476.2-109.5-7.5</f>
        <v>33556.400000000001</v>
      </c>
      <c r="I693" s="41">
        <f>31119.3-1.1</f>
        <v>31118.2</v>
      </c>
      <c r="J693" s="41">
        <f>31119.3-1.1</f>
        <v>31118.2</v>
      </c>
    </row>
    <row r="694" spans="1:10" s="37" customFormat="1" ht="89.25">
      <c r="A694" s="27"/>
      <c r="B694" s="70"/>
      <c r="C694" s="85" t="s">
        <v>156</v>
      </c>
      <c r="D694" s="85" t="s">
        <v>145</v>
      </c>
      <c r="E694" s="57" t="s">
        <v>577</v>
      </c>
      <c r="F694" s="21"/>
      <c r="G694" s="103" t="s">
        <v>502</v>
      </c>
      <c r="H694" s="41">
        <f t="shared" ref="H694:J694" si="338">H695</f>
        <v>5124.5</v>
      </c>
      <c r="I694" s="41">
        <f t="shared" si="338"/>
        <v>4615.3999999999996</v>
      </c>
      <c r="J694" s="41">
        <f t="shared" si="338"/>
        <v>4615.3999999999996</v>
      </c>
    </row>
    <row r="695" spans="1:10" s="37" customFormat="1" ht="14.25">
      <c r="A695" s="27"/>
      <c r="B695" s="70"/>
      <c r="C695" s="85" t="s">
        <v>156</v>
      </c>
      <c r="D695" s="85" t="s">
        <v>145</v>
      </c>
      <c r="E695" s="57" t="s">
        <v>577</v>
      </c>
      <c r="F695" s="21" t="s">
        <v>344</v>
      </c>
      <c r="G695" s="103" t="s">
        <v>343</v>
      </c>
      <c r="H695" s="41">
        <f>4615.4+509.1</f>
        <v>5124.5</v>
      </c>
      <c r="I695" s="41">
        <v>4615.3999999999996</v>
      </c>
      <c r="J695" s="41">
        <v>4615.3999999999996</v>
      </c>
    </row>
    <row r="696" spans="1:10" s="37" customFormat="1" ht="38.25">
      <c r="A696" s="27"/>
      <c r="B696" s="70"/>
      <c r="C696" s="115" t="s">
        <v>156</v>
      </c>
      <c r="D696" s="115" t="s">
        <v>145</v>
      </c>
      <c r="E696" s="132" t="s">
        <v>578</v>
      </c>
      <c r="F696" s="130"/>
      <c r="G696" s="103" t="s">
        <v>509</v>
      </c>
      <c r="H696" s="113">
        <f t="shared" ref="H696:J696" si="339">H697</f>
        <v>52.400000000000006</v>
      </c>
      <c r="I696" s="113">
        <f t="shared" si="339"/>
        <v>47.300000000000004</v>
      </c>
      <c r="J696" s="113">
        <f t="shared" si="339"/>
        <v>47.300000000000004</v>
      </c>
    </row>
    <row r="697" spans="1:10" s="37" customFormat="1" ht="14.25">
      <c r="A697" s="27"/>
      <c r="B697" s="70"/>
      <c r="C697" s="115" t="s">
        <v>156</v>
      </c>
      <c r="D697" s="115" t="s">
        <v>145</v>
      </c>
      <c r="E697" s="132" t="s">
        <v>578</v>
      </c>
      <c r="F697" s="130" t="s">
        <v>344</v>
      </c>
      <c r="G697" s="103" t="s">
        <v>343</v>
      </c>
      <c r="H697" s="113">
        <f>46.2+1.1+5.1</f>
        <v>52.400000000000006</v>
      </c>
      <c r="I697" s="113">
        <f t="shared" ref="I697:J697" si="340">46.2+1.1</f>
        <v>47.300000000000004</v>
      </c>
      <c r="J697" s="113">
        <f t="shared" si="340"/>
        <v>47.300000000000004</v>
      </c>
    </row>
    <row r="698" spans="1:10" s="37" customFormat="1" ht="63.75">
      <c r="A698" s="27"/>
      <c r="B698" s="70"/>
      <c r="C698" s="115" t="s">
        <v>156</v>
      </c>
      <c r="D698" s="115" t="s">
        <v>145</v>
      </c>
      <c r="E698" s="57" t="s">
        <v>741</v>
      </c>
      <c r="F698" s="57"/>
      <c r="G698" s="165" t="s">
        <v>759</v>
      </c>
      <c r="H698" s="113">
        <f>H699</f>
        <v>457.2</v>
      </c>
      <c r="I698" s="113">
        <f t="shared" ref="I698:J698" si="341">I699</f>
        <v>200</v>
      </c>
      <c r="J698" s="113">
        <f t="shared" si="341"/>
        <v>200</v>
      </c>
    </row>
    <row r="699" spans="1:10" s="37" customFormat="1" ht="14.25">
      <c r="A699" s="27"/>
      <c r="B699" s="70"/>
      <c r="C699" s="115" t="s">
        <v>156</v>
      </c>
      <c r="D699" s="115" t="s">
        <v>145</v>
      </c>
      <c r="E699" s="57" t="s">
        <v>741</v>
      </c>
      <c r="F699" s="21" t="s">
        <v>344</v>
      </c>
      <c r="G699" s="103" t="s">
        <v>343</v>
      </c>
      <c r="H699" s="113">
        <v>457.2</v>
      </c>
      <c r="I699" s="113">
        <v>200</v>
      </c>
      <c r="J699" s="113">
        <v>200</v>
      </c>
    </row>
    <row r="700" spans="1:10" s="37" customFormat="1" ht="42" customHeight="1">
      <c r="A700" s="27"/>
      <c r="B700" s="70"/>
      <c r="C700" s="115" t="s">
        <v>156</v>
      </c>
      <c r="D700" s="115" t="s">
        <v>145</v>
      </c>
      <c r="E700" s="57" t="s">
        <v>747</v>
      </c>
      <c r="F700" s="21"/>
      <c r="G700" s="103" t="s">
        <v>767</v>
      </c>
      <c r="H700" s="113">
        <f>H701</f>
        <v>149.5</v>
      </c>
      <c r="I700" s="113">
        <f t="shared" ref="I700:J700" si="342">I701</f>
        <v>0</v>
      </c>
      <c r="J700" s="113">
        <f t="shared" si="342"/>
        <v>0</v>
      </c>
    </row>
    <row r="701" spans="1:10" s="37" customFormat="1" ht="14.25">
      <c r="A701" s="27"/>
      <c r="B701" s="70"/>
      <c r="C701" s="115" t="s">
        <v>156</v>
      </c>
      <c r="D701" s="115" t="s">
        <v>145</v>
      </c>
      <c r="E701" s="57" t="s">
        <v>747</v>
      </c>
      <c r="F701" s="21" t="s">
        <v>344</v>
      </c>
      <c r="G701" s="103" t="s">
        <v>343</v>
      </c>
      <c r="H701" s="113">
        <v>149.5</v>
      </c>
      <c r="I701" s="113">
        <v>0</v>
      </c>
      <c r="J701" s="113">
        <v>0</v>
      </c>
    </row>
    <row r="702" spans="1:10" s="37" customFormat="1" ht="27.75" customHeight="1">
      <c r="A702" s="27"/>
      <c r="B702" s="70"/>
      <c r="C702" s="115" t="s">
        <v>156</v>
      </c>
      <c r="D702" s="115" t="s">
        <v>145</v>
      </c>
      <c r="E702" s="52" t="s">
        <v>123</v>
      </c>
      <c r="F702" s="16"/>
      <c r="G702" s="46" t="s">
        <v>128</v>
      </c>
      <c r="H702" s="39">
        <f>H703</f>
        <v>50</v>
      </c>
      <c r="I702" s="39">
        <f t="shared" ref="I702:I704" si="343">I703</f>
        <v>0</v>
      </c>
      <c r="J702" s="39">
        <f t="shared" ref="J702:J704" si="344">J703</f>
        <v>0</v>
      </c>
    </row>
    <row r="703" spans="1:10" s="37" customFormat="1" ht="38.25">
      <c r="A703" s="27"/>
      <c r="B703" s="70"/>
      <c r="C703" s="115" t="s">
        <v>156</v>
      </c>
      <c r="D703" s="115" t="s">
        <v>145</v>
      </c>
      <c r="E703" s="21" t="s">
        <v>446</v>
      </c>
      <c r="F703" s="16"/>
      <c r="G703" s="103" t="s">
        <v>447</v>
      </c>
      <c r="H703" s="39">
        <f>H704</f>
        <v>50</v>
      </c>
      <c r="I703" s="39">
        <f t="shared" si="343"/>
        <v>0</v>
      </c>
      <c r="J703" s="39">
        <f t="shared" si="344"/>
        <v>0</v>
      </c>
    </row>
    <row r="704" spans="1:10" s="37" customFormat="1" ht="68.25" customHeight="1">
      <c r="A704" s="27"/>
      <c r="B704" s="70"/>
      <c r="C704" s="115" t="s">
        <v>156</v>
      </c>
      <c r="D704" s="115" t="s">
        <v>145</v>
      </c>
      <c r="E704" s="57" t="s">
        <v>894</v>
      </c>
      <c r="F704" s="21"/>
      <c r="G704" s="103" t="s">
        <v>861</v>
      </c>
      <c r="H704" s="113">
        <f>H705</f>
        <v>50</v>
      </c>
      <c r="I704" s="113">
        <f t="shared" si="343"/>
        <v>0</v>
      </c>
      <c r="J704" s="113">
        <f t="shared" si="344"/>
        <v>0</v>
      </c>
    </row>
    <row r="705" spans="1:10" s="37" customFormat="1" ht="14.25">
      <c r="A705" s="27"/>
      <c r="B705" s="70"/>
      <c r="C705" s="115" t="s">
        <v>156</v>
      </c>
      <c r="D705" s="115" t="s">
        <v>145</v>
      </c>
      <c r="E705" s="57" t="s">
        <v>894</v>
      </c>
      <c r="F705" s="21" t="s">
        <v>344</v>
      </c>
      <c r="G705" s="103" t="s">
        <v>343</v>
      </c>
      <c r="H705" s="113">
        <v>50</v>
      </c>
      <c r="I705" s="113">
        <v>0</v>
      </c>
      <c r="J705" s="113">
        <v>0</v>
      </c>
    </row>
    <row r="706" spans="1:10" s="37" customFormat="1" ht="25.5">
      <c r="A706" s="27"/>
      <c r="B706" s="70"/>
      <c r="C706" s="5" t="s">
        <v>156</v>
      </c>
      <c r="D706" s="5" t="s">
        <v>145</v>
      </c>
      <c r="E706" s="87">
        <v>9900000000</v>
      </c>
      <c r="F706" s="73"/>
      <c r="G706" s="154" t="s">
        <v>202</v>
      </c>
      <c r="H706" s="101">
        <f t="shared" ref="H706:J706" si="345">H707</f>
        <v>100</v>
      </c>
      <c r="I706" s="101">
        <f t="shared" si="345"/>
        <v>0</v>
      </c>
      <c r="J706" s="101">
        <f t="shared" si="345"/>
        <v>0</v>
      </c>
    </row>
    <row r="707" spans="1:10" s="37" customFormat="1" ht="25.5">
      <c r="A707" s="27"/>
      <c r="B707" s="70"/>
      <c r="C707" s="16" t="s">
        <v>156</v>
      </c>
      <c r="D707" s="85" t="s">
        <v>145</v>
      </c>
      <c r="E707" s="85" t="s">
        <v>32</v>
      </c>
      <c r="F707" s="85"/>
      <c r="G707" s="105" t="s">
        <v>56</v>
      </c>
      <c r="H707" s="104">
        <f>H708</f>
        <v>100</v>
      </c>
      <c r="I707" s="104">
        <f>I708</f>
        <v>0</v>
      </c>
      <c r="J707" s="104">
        <f>J708</f>
        <v>0</v>
      </c>
    </row>
    <row r="708" spans="1:10" s="37" customFormat="1" ht="38.25">
      <c r="A708" s="27"/>
      <c r="B708" s="70"/>
      <c r="C708" s="16" t="s">
        <v>156</v>
      </c>
      <c r="D708" s="85" t="s">
        <v>145</v>
      </c>
      <c r="E708" s="85" t="s">
        <v>633</v>
      </c>
      <c r="F708" s="16"/>
      <c r="G708" s="54" t="s">
        <v>593</v>
      </c>
      <c r="H708" s="41">
        <f t="shared" ref="H708:J708" si="346">SUM(H709:H709)</f>
        <v>100</v>
      </c>
      <c r="I708" s="41">
        <f t="shared" si="346"/>
        <v>0</v>
      </c>
      <c r="J708" s="41">
        <f t="shared" si="346"/>
        <v>0</v>
      </c>
    </row>
    <row r="709" spans="1:10" s="37" customFormat="1" ht="14.25">
      <c r="A709" s="27"/>
      <c r="B709" s="70"/>
      <c r="C709" s="16" t="s">
        <v>156</v>
      </c>
      <c r="D709" s="85" t="s">
        <v>145</v>
      </c>
      <c r="E709" s="85" t="s">
        <v>633</v>
      </c>
      <c r="F709" s="21" t="s">
        <v>344</v>
      </c>
      <c r="G709" s="103" t="s">
        <v>343</v>
      </c>
      <c r="H709" s="39">
        <v>100</v>
      </c>
      <c r="I709" s="39">
        <v>0</v>
      </c>
      <c r="J709" s="39">
        <v>0</v>
      </c>
    </row>
    <row r="710" spans="1:10" s="36" customFormat="1" ht="38.25">
      <c r="A710" s="27"/>
      <c r="B710" s="70"/>
      <c r="C710" s="35" t="s">
        <v>156</v>
      </c>
      <c r="D710" s="35" t="s">
        <v>147</v>
      </c>
      <c r="E710" s="35"/>
      <c r="F710" s="35"/>
      <c r="G710" s="46" t="s">
        <v>2</v>
      </c>
      <c r="H710" s="42">
        <f t="shared" ref="H710:J711" si="347">H711</f>
        <v>110</v>
      </c>
      <c r="I710" s="42">
        <f t="shared" si="347"/>
        <v>250</v>
      </c>
      <c r="J710" s="42">
        <f t="shared" si="347"/>
        <v>250</v>
      </c>
    </row>
    <row r="711" spans="1:10" s="36" customFormat="1" ht="39.75" customHeight="1">
      <c r="A711" s="27"/>
      <c r="B711" s="70"/>
      <c r="C711" s="16" t="s">
        <v>156</v>
      </c>
      <c r="D711" s="16" t="s">
        <v>147</v>
      </c>
      <c r="E711" s="21" t="s">
        <v>121</v>
      </c>
      <c r="F711" s="35"/>
      <c r="G711" s="64" t="s">
        <v>552</v>
      </c>
      <c r="H711" s="62">
        <f t="shared" si="347"/>
        <v>110</v>
      </c>
      <c r="I711" s="62">
        <f t="shared" si="347"/>
        <v>250</v>
      </c>
      <c r="J711" s="62">
        <f t="shared" si="347"/>
        <v>250</v>
      </c>
    </row>
    <row r="712" spans="1:10" s="36" customFormat="1" ht="25.5">
      <c r="A712" s="27"/>
      <c r="B712" s="70"/>
      <c r="C712" s="16" t="s">
        <v>156</v>
      </c>
      <c r="D712" s="16" t="s">
        <v>147</v>
      </c>
      <c r="E712" s="52" t="s">
        <v>122</v>
      </c>
      <c r="F712" s="35"/>
      <c r="G712" s="46" t="s">
        <v>62</v>
      </c>
      <c r="H712" s="58">
        <f>H714</f>
        <v>110</v>
      </c>
      <c r="I712" s="58">
        <f>I714</f>
        <v>250</v>
      </c>
      <c r="J712" s="58">
        <f>J714</f>
        <v>250</v>
      </c>
    </row>
    <row r="713" spans="1:10" s="36" customFormat="1" ht="25.5">
      <c r="A713" s="27"/>
      <c r="B713" s="70"/>
      <c r="C713" s="16" t="s">
        <v>156</v>
      </c>
      <c r="D713" s="16" t="s">
        <v>147</v>
      </c>
      <c r="E713" s="21" t="s">
        <v>428</v>
      </c>
      <c r="F713" s="35"/>
      <c r="G713" s="102" t="s">
        <v>441</v>
      </c>
      <c r="H713" s="41">
        <f t="shared" ref="H713:J714" si="348">H714</f>
        <v>110</v>
      </c>
      <c r="I713" s="41">
        <f t="shared" si="348"/>
        <v>250</v>
      </c>
      <c r="J713" s="41">
        <f t="shared" si="348"/>
        <v>250</v>
      </c>
    </row>
    <row r="714" spans="1:10" s="36" customFormat="1" ht="38.25">
      <c r="A714" s="27"/>
      <c r="B714" s="70"/>
      <c r="C714" s="16" t="s">
        <v>156</v>
      </c>
      <c r="D714" s="16" t="s">
        <v>147</v>
      </c>
      <c r="E714" s="21" t="s">
        <v>570</v>
      </c>
      <c r="F714" s="35"/>
      <c r="G714" s="103" t="s">
        <v>68</v>
      </c>
      <c r="H714" s="41">
        <f t="shared" si="348"/>
        <v>110</v>
      </c>
      <c r="I714" s="41">
        <f t="shared" si="348"/>
        <v>250</v>
      </c>
      <c r="J714" s="41">
        <f t="shared" si="348"/>
        <v>250</v>
      </c>
    </row>
    <row r="715" spans="1:10" ht="25.5">
      <c r="A715" s="1"/>
      <c r="B715" s="25"/>
      <c r="C715" s="16" t="s">
        <v>156</v>
      </c>
      <c r="D715" s="16" t="s">
        <v>147</v>
      </c>
      <c r="E715" s="21" t="s">
        <v>570</v>
      </c>
      <c r="F715" s="85" t="s">
        <v>107</v>
      </c>
      <c r="G715" s="55" t="s">
        <v>182</v>
      </c>
      <c r="H715" s="41">
        <f>250-140</f>
        <v>110</v>
      </c>
      <c r="I715" s="41">
        <v>250</v>
      </c>
      <c r="J715" s="41">
        <v>250</v>
      </c>
    </row>
    <row r="716" spans="1:10" s="37" customFormat="1" ht="14.25">
      <c r="A716" s="27"/>
      <c r="B716" s="70"/>
      <c r="C716" s="35" t="s">
        <v>156</v>
      </c>
      <c r="D716" s="35" t="s">
        <v>156</v>
      </c>
      <c r="E716" s="35"/>
      <c r="F716" s="35"/>
      <c r="G716" s="46" t="s">
        <v>224</v>
      </c>
      <c r="H716" s="42">
        <f t="shared" ref="H716:J718" si="349">H717</f>
        <v>3765.1000000000004</v>
      </c>
      <c r="I716" s="42">
        <f t="shared" si="349"/>
        <v>3564.9</v>
      </c>
      <c r="J716" s="42">
        <f t="shared" si="349"/>
        <v>3564.9</v>
      </c>
    </row>
    <row r="717" spans="1:10" s="37" customFormat="1" ht="36.75" customHeight="1">
      <c r="A717" s="27"/>
      <c r="B717" s="70"/>
      <c r="C717" s="16" t="s">
        <v>156</v>
      </c>
      <c r="D717" s="16" t="s">
        <v>156</v>
      </c>
      <c r="E717" s="21" t="s">
        <v>121</v>
      </c>
      <c r="F717" s="35"/>
      <c r="G717" s="64" t="s">
        <v>552</v>
      </c>
      <c r="H717" s="62">
        <f t="shared" si="349"/>
        <v>3765.1000000000004</v>
      </c>
      <c r="I717" s="62">
        <f t="shared" si="349"/>
        <v>3564.9</v>
      </c>
      <c r="J717" s="62">
        <f t="shared" si="349"/>
        <v>3564.9</v>
      </c>
    </row>
    <row r="718" spans="1:10" s="37" customFormat="1" ht="25.5">
      <c r="A718" s="27"/>
      <c r="B718" s="70"/>
      <c r="C718" s="16" t="s">
        <v>156</v>
      </c>
      <c r="D718" s="16" t="s">
        <v>156</v>
      </c>
      <c r="E718" s="52" t="s">
        <v>122</v>
      </c>
      <c r="F718" s="35"/>
      <c r="G718" s="46" t="s">
        <v>62</v>
      </c>
      <c r="H718" s="99">
        <f t="shared" si="349"/>
        <v>3765.1000000000004</v>
      </c>
      <c r="I718" s="99">
        <f t="shared" si="349"/>
        <v>3564.9</v>
      </c>
      <c r="J718" s="99">
        <f t="shared" si="349"/>
        <v>3564.9</v>
      </c>
    </row>
    <row r="719" spans="1:10" s="37" customFormat="1" ht="63.75">
      <c r="A719" s="27"/>
      <c r="B719" s="70"/>
      <c r="C719" s="16" t="s">
        <v>156</v>
      </c>
      <c r="D719" s="16" t="s">
        <v>156</v>
      </c>
      <c r="E719" s="21" t="s">
        <v>444</v>
      </c>
      <c r="F719" s="35"/>
      <c r="G719" s="102" t="s">
        <v>442</v>
      </c>
      <c r="H719" s="41">
        <f t="shared" ref="H719:I719" si="350">H720+H722</f>
        <v>3765.1000000000004</v>
      </c>
      <c r="I719" s="41">
        <f t="shared" si="350"/>
        <v>3564.9</v>
      </c>
      <c r="J719" s="41">
        <f t="shared" ref="J719" si="351">J720+J722</f>
        <v>3564.9</v>
      </c>
    </row>
    <row r="720" spans="1:10" s="37" customFormat="1" ht="14.25">
      <c r="A720" s="27"/>
      <c r="B720" s="70"/>
      <c r="C720" s="16" t="s">
        <v>156</v>
      </c>
      <c r="D720" s="16" t="s">
        <v>156</v>
      </c>
      <c r="E720" s="57" t="s">
        <v>571</v>
      </c>
      <c r="F720" s="21"/>
      <c r="G720" s="103" t="s">
        <v>69</v>
      </c>
      <c r="H720" s="41">
        <f t="shared" ref="H720:J720" si="352">H721</f>
        <v>1200.2</v>
      </c>
      <c r="I720" s="41">
        <f t="shared" si="352"/>
        <v>1000</v>
      </c>
      <c r="J720" s="41">
        <f t="shared" si="352"/>
        <v>1000</v>
      </c>
    </row>
    <row r="721" spans="1:10" s="37" customFormat="1" ht="14.25">
      <c r="A721" s="27"/>
      <c r="B721" s="70"/>
      <c r="C721" s="16" t="s">
        <v>156</v>
      </c>
      <c r="D721" s="16" t="s">
        <v>156</v>
      </c>
      <c r="E721" s="57" t="s">
        <v>571</v>
      </c>
      <c r="F721" s="21" t="s">
        <v>344</v>
      </c>
      <c r="G721" s="103" t="s">
        <v>343</v>
      </c>
      <c r="H721" s="41">
        <v>1200.2</v>
      </c>
      <c r="I721" s="41">
        <v>1000</v>
      </c>
      <c r="J721" s="41">
        <v>1000</v>
      </c>
    </row>
    <row r="722" spans="1:10" s="37" customFormat="1" ht="51">
      <c r="A722" s="27"/>
      <c r="B722" s="70"/>
      <c r="C722" s="16" t="s">
        <v>156</v>
      </c>
      <c r="D722" s="16" t="s">
        <v>156</v>
      </c>
      <c r="E722" s="57" t="s">
        <v>572</v>
      </c>
      <c r="F722" s="35"/>
      <c r="G722" s="131" t="s">
        <v>501</v>
      </c>
      <c r="H722" s="99">
        <f t="shared" ref="H722" si="353">SUM(H723:H724)</f>
        <v>2564.9</v>
      </c>
      <c r="I722" s="99">
        <f t="shared" ref="I722:J722" si="354">SUM(I723:I724)</f>
        <v>2564.9</v>
      </c>
      <c r="J722" s="99">
        <f t="shared" si="354"/>
        <v>2564.9</v>
      </c>
    </row>
    <row r="723" spans="1:10" s="37" customFormat="1" ht="14.25">
      <c r="A723" s="27"/>
      <c r="B723" s="70"/>
      <c r="C723" s="16" t="s">
        <v>156</v>
      </c>
      <c r="D723" s="16" t="s">
        <v>156</v>
      </c>
      <c r="E723" s="57" t="s">
        <v>572</v>
      </c>
      <c r="F723" s="21" t="s">
        <v>344</v>
      </c>
      <c r="G723" s="103" t="s">
        <v>343</v>
      </c>
      <c r="H723" s="41">
        <v>1844.4</v>
      </c>
      <c r="I723" s="41">
        <v>1844.4</v>
      </c>
      <c r="J723" s="41">
        <v>1844.4</v>
      </c>
    </row>
    <row r="724" spans="1:10" s="37" customFormat="1" ht="63.75">
      <c r="A724" s="27"/>
      <c r="B724" s="70"/>
      <c r="C724" s="16" t="s">
        <v>156</v>
      </c>
      <c r="D724" s="16" t="s">
        <v>156</v>
      </c>
      <c r="E724" s="57" t="s">
        <v>572</v>
      </c>
      <c r="F724" s="16" t="s">
        <v>15</v>
      </c>
      <c r="G724" s="103" t="s">
        <v>663</v>
      </c>
      <c r="H724" s="99">
        <v>720.5</v>
      </c>
      <c r="I724" s="99">
        <v>720.5</v>
      </c>
      <c r="J724" s="99">
        <v>720.5</v>
      </c>
    </row>
    <row r="725" spans="1:10" s="37" customFormat="1" ht="14.25">
      <c r="A725" s="27"/>
      <c r="B725" s="70"/>
      <c r="C725" s="35" t="s">
        <v>156</v>
      </c>
      <c r="D725" s="35" t="s">
        <v>151</v>
      </c>
      <c r="E725" s="35"/>
      <c r="F725" s="35"/>
      <c r="G725" s="45" t="s">
        <v>161</v>
      </c>
      <c r="H725" s="42">
        <f t="shared" ref="H725:J725" si="355">H726</f>
        <v>8275.6</v>
      </c>
      <c r="I725" s="42">
        <f t="shared" si="355"/>
        <v>8227.7999999999993</v>
      </c>
      <c r="J725" s="42">
        <f t="shared" si="355"/>
        <v>8227.7999999999993</v>
      </c>
    </row>
    <row r="726" spans="1:10" s="37" customFormat="1" ht="36" customHeight="1">
      <c r="A726" s="27"/>
      <c r="B726" s="70"/>
      <c r="C726" s="16" t="s">
        <v>156</v>
      </c>
      <c r="D726" s="16" t="s">
        <v>151</v>
      </c>
      <c r="E726" s="21" t="s">
        <v>121</v>
      </c>
      <c r="F726" s="35"/>
      <c r="G726" s="64" t="s">
        <v>552</v>
      </c>
      <c r="H726" s="62">
        <f>H727+H745+H754</f>
        <v>8275.6</v>
      </c>
      <c r="I726" s="62">
        <f>I727+I745+I754</f>
        <v>8227.7999999999993</v>
      </c>
      <c r="J726" s="62">
        <f>J727+J745+J754</f>
        <v>8227.7999999999993</v>
      </c>
    </row>
    <row r="727" spans="1:10" s="37" customFormat="1" ht="25.5">
      <c r="A727" s="27"/>
      <c r="B727" s="70"/>
      <c r="C727" s="16" t="s">
        <v>156</v>
      </c>
      <c r="D727" s="16" t="s">
        <v>151</v>
      </c>
      <c r="E727" s="52" t="s">
        <v>122</v>
      </c>
      <c r="F727" s="35"/>
      <c r="G727" s="46" t="s">
        <v>62</v>
      </c>
      <c r="H727" s="58">
        <f>H728+H731+H734+H738</f>
        <v>895.9</v>
      </c>
      <c r="I727" s="58">
        <f>I728+I731+I734+I738</f>
        <v>859.3</v>
      </c>
      <c r="J727" s="58">
        <f>J728+J731+J734+J738</f>
        <v>859.3</v>
      </c>
    </row>
    <row r="728" spans="1:10" s="37" customFormat="1" ht="25.5">
      <c r="A728" s="27"/>
      <c r="B728" s="70"/>
      <c r="C728" s="16" t="s">
        <v>156</v>
      </c>
      <c r="D728" s="16" t="s">
        <v>151</v>
      </c>
      <c r="E728" s="21" t="s">
        <v>427</v>
      </c>
      <c r="F728" s="35"/>
      <c r="G728" s="102" t="s">
        <v>426</v>
      </c>
      <c r="H728" s="99">
        <f t="shared" ref="H728:J728" si="356">H729</f>
        <v>176.1</v>
      </c>
      <c r="I728" s="99">
        <f t="shared" si="356"/>
        <v>126</v>
      </c>
      <c r="J728" s="99">
        <f t="shared" si="356"/>
        <v>126</v>
      </c>
    </row>
    <row r="729" spans="1:10" s="37" customFormat="1" ht="38.25">
      <c r="A729" s="27"/>
      <c r="B729" s="70"/>
      <c r="C729" s="16" t="s">
        <v>156</v>
      </c>
      <c r="D729" s="16" t="s">
        <v>151</v>
      </c>
      <c r="E729" s="21" t="s">
        <v>559</v>
      </c>
      <c r="F729" s="21"/>
      <c r="G729" s="103" t="s">
        <v>74</v>
      </c>
      <c r="H729" s="99">
        <f t="shared" ref="H729:J729" si="357">H730</f>
        <v>176.1</v>
      </c>
      <c r="I729" s="99">
        <f t="shared" si="357"/>
        <v>126</v>
      </c>
      <c r="J729" s="99">
        <f t="shared" si="357"/>
        <v>126</v>
      </c>
    </row>
    <row r="730" spans="1:10" s="37" customFormat="1" ht="38.25">
      <c r="A730" s="27"/>
      <c r="B730" s="70"/>
      <c r="C730" s="16" t="s">
        <v>156</v>
      </c>
      <c r="D730" s="16" t="s">
        <v>151</v>
      </c>
      <c r="E730" s="21" t="s">
        <v>559</v>
      </c>
      <c r="F730" s="85" t="s">
        <v>325</v>
      </c>
      <c r="G730" s="103" t="s">
        <v>326</v>
      </c>
      <c r="H730" s="99">
        <v>176.1</v>
      </c>
      <c r="I730" s="99">
        <v>126</v>
      </c>
      <c r="J730" s="99">
        <v>126</v>
      </c>
    </row>
    <row r="731" spans="1:10" s="37" customFormat="1" ht="25.5">
      <c r="A731" s="27"/>
      <c r="B731" s="70"/>
      <c r="C731" s="16" t="s">
        <v>156</v>
      </c>
      <c r="D731" s="16" t="s">
        <v>151</v>
      </c>
      <c r="E731" s="21" t="s">
        <v>427</v>
      </c>
      <c r="F731" s="85"/>
      <c r="G731" s="102" t="s">
        <v>429</v>
      </c>
      <c r="H731" s="99">
        <f>H732</f>
        <v>25.799999999999997</v>
      </c>
      <c r="I731" s="99">
        <f t="shared" ref="I731:J731" si="358">I732</f>
        <v>79.099999999999994</v>
      </c>
      <c r="J731" s="99">
        <f t="shared" si="358"/>
        <v>79.099999999999994</v>
      </c>
    </row>
    <row r="732" spans="1:10" s="37" customFormat="1" ht="38.25">
      <c r="A732" s="27"/>
      <c r="B732" s="70"/>
      <c r="C732" s="16" t="s">
        <v>156</v>
      </c>
      <c r="D732" s="16" t="s">
        <v>151</v>
      </c>
      <c r="E732" s="21" t="s">
        <v>568</v>
      </c>
      <c r="F732" s="16"/>
      <c r="G732" s="103" t="s">
        <v>440</v>
      </c>
      <c r="H732" s="99">
        <f t="shared" ref="H732:J732" si="359">H733</f>
        <v>25.799999999999997</v>
      </c>
      <c r="I732" s="99">
        <f t="shared" si="359"/>
        <v>79.099999999999994</v>
      </c>
      <c r="J732" s="99">
        <f t="shared" si="359"/>
        <v>79.099999999999994</v>
      </c>
    </row>
    <row r="733" spans="1:10" s="37" customFormat="1" ht="25.5">
      <c r="A733" s="27"/>
      <c r="B733" s="70"/>
      <c r="C733" s="16" t="s">
        <v>156</v>
      </c>
      <c r="D733" s="16" t="s">
        <v>151</v>
      </c>
      <c r="E733" s="21" t="s">
        <v>568</v>
      </c>
      <c r="F733" s="85" t="s">
        <v>107</v>
      </c>
      <c r="G733" s="55" t="s">
        <v>182</v>
      </c>
      <c r="H733" s="99">
        <f>68.3-42.5</f>
        <v>25.799999999999997</v>
      </c>
      <c r="I733" s="99">
        <v>79.099999999999994</v>
      </c>
      <c r="J733" s="99">
        <v>79.099999999999994</v>
      </c>
    </row>
    <row r="734" spans="1:10" s="37" customFormat="1" ht="63.75">
      <c r="A734" s="27"/>
      <c r="B734" s="70"/>
      <c r="C734" s="16" t="s">
        <v>156</v>
      </c>
      <c r="D734" s="16" t="s">
        <v>151</v>
      </c>
      <c r="E734" s="21" t="s">
        <v>443</v>
      </c>
      <c r="F734" s="85"/>
      <c r="G734" s="102" t="s">
        <v>442</v>
      </c>
      <c r="H734" s="99">
        <f t="shared" ref="H734:J734" si="360">H735</f>
        <v>120</v>
      </c>
      <c r="I734" s="99">
        <f t="shared" si="360"/>
        <v>140</v>
      </c>
      <c r="J734" s="99">
        <f t="shared" si="360"/>
        <v>140</v>
      </c>
    </row>
    <row r="735" spans="1:10" s="37" customFormat="1" ht="30" customHeight="1">
      <c r="A735" s="27"/>
      <c r="B735" s="70"/>
      <c r="C735" s="16" t="s">
        <v>156</v>
      </c>
      <c r="D735" s="16" t="s">
        <v>151</v>
      </c>
      <c r="E735" s="57" t="s">
        <v>573</v>
      </c>
      <c r="F735" s="21"/>
      <c r="G735" s="103" t="s">
        <v>186</v>
      </c>
      <c r="H735" s="41">
        <f t="shared" ref="H735:I735" si="361">SUM(H736:H737)</f>
        <v>120</v>
      </c>
      <c r="I735" s="41">
        <f t="shared" si="361"/>
        <v>140</v>
      </c>
      <c r="J735" s="41">
        <f t="shared" ref="J735" si="362">SUM(J736:J737)</f>
        <v>140</v>
      </c>
    </row>
    <row r="736" spans="1:10" s="37" customFormat="1" ht="25.5">
      <c r="A736" s="27"/>
      <c r="B736" s="70"/>
      <c r="C736" s="16" t="s">
        <v>156</v>
      </c>
      <c r="D736" s="16" t="s">
        <v>151</v>
      </c>
      <c r="E736" s="57" t="s">
        <v>573</v>
      </c>
      <c r="F736" s="85" t="s">
        <v>107</v>
      </c>
      <c r="G736" s="55" t="s">
        <v>182</v>
      </c>
      <c r="H736" s="41">
        <v>54</v>
      </c>
      <c r="I736" s="41">
        <v>54</v>
      </c>
      <c r="J736" s="41">
        <v>54</v>
      </c>
    </row>
    <row r="737" spans="1:10" s="37" customFormat="1" ht="38.25">
      <c r="A737" s="27"/>
      <c r="B737" s="70"/>
      <c r="C737" s="16" t="s">
        <v>156</v>
      </c>
      <c r="D737" s="16" t="s">
        <v>151</v>
      </c>
      <c r="E737" s="57" t="s">
        <v>573</v>
      </c>
      <c r="F737" s="21" t="s">
        <v>325</v>
      </c>
      <c r="G737" s="103" t="s">
        <v>326</v>
      </c>
      <c r="H737" s="41">
        <f>86-20</f>
        <v>66</v>
      </c>
      <c r="I737" s="41">
        <v>86</v>
      </c>
      <c r="J737" s="41">
        <v>86</v>
      </c>
    </row>
    <row r="738" spans="1:10" s="37" customFormat="1" ht="51">
      <c r="A738" s="27"/>
      <c r="B738" s="70"/>
      <c r="C738" s="16" t="s">
        <v>156</v>
      </c>
      <c r="D738" s="16" t="s">
        <v>151</v>
      </c>
      <c r="E738" s="21" t="s">
        <v>444</v>
      </c>
      <c r="F738" s="21"/>
      <c r="G738" s="102" t="s">
        <v>469</v>
      </c>
      <c r="H738" s="41">
        <f t="shared" ref="H738:I738" si="363">H739+H741+H743</f>
        <v>574</v>
      </c>
      <c r="I738" s="41">
        <f t="shared" si="363"/>
        <v>514.19999999999993</v>
      </c>
      <c r="J738" s="41">
        <f t="shared" ref="J738" si="364">J739+J741+J743</f>
        <v>514.19999999999993</v>
      </c>
    </row>
    <row r="739" spans="1:10" s="37" customFormat="1" ht="63.75">
      <c r="A739" s="27"/>
      <c r="B739" s="70"/>
      <c r="C739" s="16" t="s">
        <v>156</v>
      </c>
      <c r="D739" s="16" t="s">
        <v>151</v>
      </c>
      <c r="E739" s="57" t="s">
        <v>576</v>
      </c>
      <c r="F739" s="21"/>
      <c r="G739" s="103" t="s">
        <v>185</v>
      </c>
      <c r="H739" s="41">
        <f t="shared" ref="H739:J739" si="365">H740</f>
        <v>370.20000000000005</v>
      </c>
      <c r="I739" s="41">
        <f t="shared" si="365"/>
        <v>310.39999999999998</v>
      </c>
      <c r="J739" s="41">
        <f t="shared" si="365"/>
        <v>310.39999999999998</v>
      </c>
    </row>
    <row r="740" spans="1:10" s="37" customFormat="1" ht="38.25">
      <c r="A740" s="27"/>
      <c r="B740" s="70"/>
      <c r="C740" s="16" t="s">
        <v>156</v>
      </c>
      <c r="D740" s="16" t="s">
        <v>151</v>
      </c>
      <c r="E740" s="57" t="s">
        <v>576</v>
      </c>
      <c r="F740" s="85" t="s">
        <v>325</v>
      </c>
      <c r="G740" s="103" t="s">
        <v>326</v>
      </c>
      <c r="H740" s="41">
        <f>303.6+66.6</f>
        <v>370.20000000000005</v>
      </c>
      <c r="I740" s="41">
        <v>310.39999999999998</v>
      </c>
      <c r="J740" s="41">
        <v>310.39999999999998</v>
      </c>
    </row>
    <row r="741" spans="1:10" s="37" customFormat="1" ht="50.25" customHeight="1">
      <c r="A741" s="27"/>
      <c r="B741" s="70"/>
      <c r="C741" s="16" t="s">
        <v>156</v>
      </c>
      <c r="D741" s="16" t="s">
        <v>151</v>
      </c>
      <c r="E741" s="57" t="s">
        <v>617</v>
      </c>
      <c r="F741" s="21"/>
      <c r="G741" s="131" t="s">
        <v>618</v>
      </c>
      <c r="H741" s="41">
        <f t="shared" ref="H741:J741" si="366">H742</f>
        <v>20.399999999999999</v>
      </c>
      <c r="I741" s="41">
        <f t="shared" si="366"/>
        <v>20.399999999999999</v>
      </c>
      <c r="J741" s="41">
        <f t="shared" si="366"/>
        <v>20.399999999999999</v>
      </c>
    </row>
    <row r="742" spans="1:10" s="37" customFormat="1" ht="38.25">
      <c r="A742" s="27"/>
      <c r="B742" s="70"/>
      <c r="C742" s="16" t="s">
        <v>156</v>
      </c>
      <c r="D742" s="16" t="s">
        <v>151</v>
      </c>
      <c r="E742" s="57" t="s">
        <v>617</v>
      </c>
      <c r="F742" s="85" t="s">
        <v>325</v>
      </c>
      <c r="G742" s="103" t="s">
        <v>326</v>
      </c>
      <c r="H742" s="41">
        <v>20.399999999999999</v>
      </c>
      <c r="I742" s="41">
        <v>20.399999999999999</v>
      </c>
      <c r="J742" s="41">
        <v>20.399999999999999</v>
      </c>
    </row>
    <row r="743" spans="1:10" s="37" customFormat="1" ht="37.5" customHeight="1">
      <c r="A743" s="27"/>
      <c r="B743" s="70"/>
      <c r="C743" s="16" t="s">
        <v>156</v>
      </c>
      <c r="D743" s="16" t="s">
        <v>151</v>
      </c>
      <c r="E743" s="57" t="s">
        <v>619</v>
      </c>
      <c r="F743" s="21"/>
      <c r="G743" s="131" t="s">
        <v>620</v>
      </c>
      <c r="H743" s="99">
        <f t="shared" ref="H743:J743" si="367">H744</f>
        <v>183.4</v>
      </c>
      <c r="I743" s="99">
        <f t="shared" si="367"/>
        <v>183.4</v>
      </c>
      <c r="J743" s="99">
        <f t="shared" si="367"/>
        <v>183.4</v>
      </c>
    </row>
    <row r="744" spans="1:10" s="37" customFormat="1" ht="38.25">
      <c r="A744" s="27"/>
      <c r="B744" s="70"/>
      <c r="C744" s="16" t="s">
        <v>156</v>
      </c>
      <c r="D744" s="16" t="s">
        <v>151</v>
      </c>
      <c r="E744" s="57" t="s">
        <v>619</v>
      </c>
      <c r="F744" s="85" t="s">
        <v>325</v>
      </c>
      <c r="G744" s="103" t="s">
        <v>326</v>
      </c>
      <c r="H744" s="99">
        <v>183.4</v>
      </c>
      <c r="I744" s="99">
        <v>183.4</v>
      </c>
      <c r="J744" s="99">
        <v>183.4</v>
      </c>
    </row>
    <row r="745" spans="1:10" s="37" customFormat="1" ht="24" customHeight="1">
      <c r="A745" s="27"/>
      <c r="B745" s="70"/>
      <c r="C745" s="16" t="s">
        <v>156</v>
      </c>
      <c r="D745" s="16" t="s">
        <v>151</v>
      </c>
      <c r="E745" s="52" t="s">
        <v>123</v>
      </c>
      <c r="F745" s="16"/>
      <c r="G745" s="46" t="s">
        <v>128</v>
      </c>
      <c r="H745" s="98">
        <f>H746+H751</f>
        <v>340</v>
      </c>
      <c r="I745" s="98">
        <f t="shared" ref="I745:J745" si="368">I746+I751</f>
        <v>330.4</v>
      </c>
      <c r="J745" s="98">
        <f t="shared" si="368"/>
        <v>330.4</v>
      </c>
    </row>
    <row r="746" spans="1:10" s="37" customFormat="1" ht="38.25">
      <c r="A746" s="27"/>
      <c r="B746" s="70"/>
      <c r="C746" s="16" t="s">
        <v>156</v>
      </c>
      <c r="D746" s="16" t="s">
        <v>151</v>
      </c>
      <c r="E746" s="21" t="s">
        <v>446</v>
      </c>
      <c r="F746" s="16"/>
      <c r="G746" s="103" t="s">
        <v>447</v>
      </c>
      <c r="H746" s="41">
        <f>H747+H749</f>
        <v>290</v>
      </c>
      <c r="I746" s="41">
        <f t="shared" ref="I746:J746" si="369">I747+I749</f>
        <v>330.4</v>
      </c>
      <c r="J746" s="41">
        <f t="shared" si="369"/>
        <v>330.4</v>
      </c>
    </row>
    <row r="747" spans="1:10" s="37" customFormat="1" ht="51">
      <c r="A747" s="27"/>
      <c r="B747" s="70"/>
      <c r="C747" s="16" t="s">
        <v>156</v>
      </c>
      <c r="D747" s="16" t="s">
        <v>151</v>
      </c>
      <c r="E747" s="57" t="s">
        <v>579</v>
      </c>
      <c r="F747" s="16"/>
      <c r="G747" s="103" t="s">
        <v>71</v>
      </c>
      <c r="H747" s="41">
        <f t="shared" ref="H747:J747" si="370">H748</f>
        <v>161</v>
      </c>
      <c r="I747" s="41">
        <f t="shared" si="370"/>
        <v>244.5</v>
      </c>
      <c r="J747" s="41">
        <f t="shared" si="370"/>
        <v>244.5</v>
      </c>
    </row>
    <row r="748" spans="1:10" s="37" customFormat="1" ht="38.25">
      <c r="A748" s="27"/>
      <c r="B748" s="70"/>
      <c r="C748" s="16" t="s">
        <v>156</v>
      </c>
      <c r="D748" s="16" t="s">
        <v>151</v>
      </c>
      <c r="E748" s="57" t="s">
        <v>579</v>
      </c>
      <c r="F748" s="85" t="s">
        <v>325</v>
      </c>
      <c r="G748" s="103" t="s">
        <v>326</v>
      </c>
      <c r="H748" s="41">
        <f>244.5-83.5</f>
        <v>161</v>
      </c>
      <c r="I748" s="41">
        <v>244.5</v>
      </c>
      <c r="J748" s="41">
        <v>244.5</v>
      </c>
    </row>
    <row r="749" spans="1:10" s="37" customFormat="1" ht="38.25">
      <c r="A749" s="27"/>
      <c r="B749" s="70"/>
      <c r="C749" s="16" t="s">
        <v>156</v>
      </c>
      <c r="D749" s="16" t="s">
        <v>151</v>
      </c>
      <c r="E749" s="57" t="s">
        <v>125</v>
      </c>
      <c r="F749" s="16"/>
      <c r="G749" s="103" t="s">
        <v>187</v>
      </c>
      <c r="H749" s="41">
        <f t="shared" ref="H749:J749" si="371">H750</f>
        <v>129</v>
      </c>
      <c r="I749" s="41">
        <f t="shared" si="371"/>
        <v>85.9</v>
      </c>
      <c r="J749" s="41">
        <f t="shared" si="371"/>
        <v>85.9</v>
      </c>
    </row>
    <row r="750" spans="1:10" s="37" customFormat="1" ht="14.25">
      <c r="A750" s="27"/>
      <c r="B750" s="70"/>
      <c r="C750" s="16" t="s">
        <v>156</v>
      </c>
      <c r="D750" s="16" t="s">
        <v>151</v>
      </c>
      <c r="E750" s="57" t="s">
        <v>125</v>
      </c>
      <c r="F750" s="85" t="s">
        <v>640</v>
      </c>
      <c r="G750" s="103" t="s">
        <v>641</v>
      </c>
      <c r="H750" s="41">
        <f>129.1+39-39.1</f>
        <v>129</v>
      </c>
      <c r="I750" s="41">
        <v>85.9</v>
      </c>
      <c r="J750" s="41">
        <v>85.9</v>
      </c>
    </row>
    <row r="751" spans="1:10" s="37" customFormat="1" ht="36.75" customHeight="1">
      <c r="A751" s="27"/>
      <c r="B751" s="70"/>
      <c r="C751" s="16" t="s">
        <v>156</v>
      </c>
      <c r="D751" s="16" t="s">
        <v>151</v>
      </c>
      <c r="E751" s="57" t="s">
        <v>829</v>
      </c>
      <c r="F751" s="84"/>
      <c r="G751" s="184" t="s">
        <v>950</v>
      </c>
      <c r="H751" s="41">
        <f>H752</f>
        <v>50</v>
      </c>
      <c r="I751" s="41">
        <f t="shared" ref="I751:J752" si="372">I752</f>
        <v>0</v>
      </c>
      <c r="J751" s="41">
        <f t="shared" si="372"/>
        <v>0</v>
      </c>
    </row>
    <row r="752" spans="1:10" s="37" customFormat="1" ht="76.5">
      <c r="A752" s="27"/>
      <c r="B752" s="70"/>
      <c r="C752" s="16" t="s">
        <v>156</v>
      </c>
      <c r="D752" s="16" t="s">
        <v>151</v>
      </c>
      <c r="E752" s="57" t="s">
        <v>827</v>
      </c>
      <c r="F752" s="21"/>
      <c r="G752" s="183" t="s">
        <v>828</v>
      </c>
      <c r="H752" s="99">
        <f>H753</f>
        <v>50</v>
      </c>
      <c r="I752" s="99">
        <f t="shared" si="372"/>
        <v>0</v>
      </c>
      <c r="J752" s="99">
        <f t="shared" si="372"/>
        <v>0</v>
      </c>
    </row>
    <row r="753" spans="1:10" s="37" customFormat="1" ht="38.25">
      <c r="A753" s="27"/>
      <c r="B753" s="70"/>
      <c r="C753" s="16" t="s">
        <v>156</v>
      </c>
      <c r="D753" s="16" t="s">
        <v>151</v>
      </c>
      <c r="E753" s="57" t="s">
        <v>827</v>
      </c>
      <c r="F753" s="84" t="s">
        <v>325</v>
      </c>
      <c r="G753" s="184" t="s">
        <v>326</v>
      </c>
      <c r="H753" s="99">
        <v>50</v>
      </c>
      <c r="I753" s="99">
        <v>0</v>
      </c>
      <c r="J753" s="99">
        <v>0</v>
      </c>
    </row>
    <row r="754" spans="1:10" s="37" customFormat="1" ht="14.25">
      <c r="A754" s="27"/>
      <c r="B754" s="70"/>
      <c r="C754" s="16" t="s">
        <v>156</v>
      </c>
      <c r="D754" s="16" t="s">
        <v>151</v>
      </c>
      <c r="E754" s="52" t="s">
        <v>124</v>
      </c>
      <c r="F754" s="16"/>
      <c r="G754" s="66" t="s">
        <v>70</v>
      </c>
      <c r="H754" s="58">
        <f t="shared" ref="H754:J754" si="373">H755</f>
        <v>7039.7</v>
      </c>
      <c r="I754" s="58">
        <f t="shared" si="373"/>
        <v>7038.1</v>
      </c>
      <c r="J754" s="58">
        <f t="shared" si="373"/>
        <v>7038.1</v>
      </c>
    </row>
    <row r="755" spans="1:10" s="37" customFormat="1" ht="53.25" customHeight="1">
      <c r="A755" s="27"/>
      <c r="B755" s="70"/>
      <c r="C755" s="16" t="s">
        <v>156</v>
      </c>
      <c r="D755" s="16" t="s">
        <v>151</v>
      </c>
      <c r="E755" s="74" t="s">
        <v>126</v>
      </c>
      <c r="F755" s="16"/>
      <c r="G755" s="103" t="s">
        <v>448</v>
      </c>
      <c r="H755" s="41">
        <f t="shared" ref="H755:I755" si="374">SUM(H756:H758)</f>
        <v>7039.7</v>
      </c>
      <c r="I755" s="41">
        <f t="shared" si="374"/>
        <v>7038.1</v>
      </c>
      <c r="J755" s="41">
        <f t="shared" ref="J755" si="375">SUM(J756:J758)</f>
        <v>7038.1</v>
      </c>
    </row>
    <row r="756" spans="1:10" s="37" customFormat="1" ht="38.25">
      <c r="A756" s="27"/>
      <c r="B756" s="70"/>
      <c r="C756" s="16" t="s">
        <v>156</v>
      </c>
      <c r="D756" s="16" t="s">
        <v>151</v>
      </c>
      <c r="E756" s="74" t="s">
        <v>126</v>
      </c>
      <c r="F756" s="16" t="s">
        <v>105</v>
      </c>
      <c r="G756" s="55" t="s">
        <v>106</v>
      </c>
      <c r="H756" s="99">
        <v>6631.5</v>
      </c>
      <c r="I756" s="99">
        <v>6631.5</v>
      </c>
      <c r="J756" s="99">
        <v>6631.5</v>
      </c>
    </row>
    <row r="757" spans="1:10" s="37" customFormat="1" ht="38.25">
      <c r="A757" s="27"/>
      <c r="B757" s="70"/>
      <c r="C757" s="16" t="s">
        <v>156</v>
      </c>
      <c r="D757" s="16" t="s">
        <v>151</v>
      </c>
      <c r="E757" s="74" t="s">
        <v>126</v>
      </c>
      <c r="F757" s="85" t="s">
        <v>325</v>
      </c>
      <c r="G757" s="103" t="s">
        <v>326</v>
      </c>
      <c r="H757" s="41">
        <f>406.6+1.6</f>
        <v>408.20000000000005</v>
      </c>
      <c r="I757" s="41">
        <v>405.6</v>
      </c>
      <c r="J757" s="41">
        <v>405.6</v>
      </c>
    </row>
    <row r="758" spans="1:10" s="37" customFormat="1" ht="14.25">
      <c r="A758" s="27"/>
      <c r="B758" s="70"/>
      <c r="C758" s="16" t="s">
        <v>156</v>
      </c>
      <c r="D758" s="16" t="s">
        <v>151</v>
      </c>
      <c r="E758" s="74" t="s">
        <v>126</v>
      </c>
      <c r="F758" s="85" t="s">
        <v>183</v>
      </c>
      <c r="G758" s="103" t="s">
        <v>184</v>
      </c>
      <c r="H758" s="41">
        <v>0</v>
      </c>
      <c r="I758" s="41">
        <v>1</v>
      </c>
      <c r="J758" s="41">
        <v>1</v>
      </c>
    </row>
    <row r="759" spans="1:10" ht="15.75">
      <c r="A759" s="3"/>
      <c r="B759" s="96"/>
      <c r="C759" s="4" t="s">
        <v>162</v>
      </c>
      <c r="D759" s="3"/>
      <c r="E759" s="3"/>
      <c r="F759" s="3"/>
      <c r="G759" s="49" t="s">
        <v>163</v>
      </c>
      <c r="H759" s="97">
        <f t="shared" ref="H759:I759" si="376">H760+H766</f>
        <v>12541.4</v>
      </c>
      <c r="I759" s="97">
        <f t="shared" si="376"/>
        <v>12541.4</v>
      </c>
      <c r="J759" s="97">
        <f t="shared" ref="J759" si="377">J760+J766</f>
        <v>12541.4</v>
      </c>
    </row>
    <row r="760" spans="1:10" ht="15.75">
      <c r="A760" s="3"/>
      <c r="B760" s="96"/>
      <c r="C760" s="35" t="s">
        <v>162</v>
      </c>
      <c r="D760" s="35" t="s">
        <v>145</v>
      </c>
      <c r="E760" s="35"/>
      <c r="F760" s="35"/>
      <c r="G760" s="45" t="s">
        <v>168</v>
      </c>
      <c r="H760" s="98">
        <f t="shared" ref="H760:J764" si="378">H761</f>
        <v>1116</v>
      </c>
      <c r="I760" s="98">
        <f t="shared" si="378"/>
        <v>1116</v>
      </c>
      <c r="J760" s="98">
        <f t="shared" si="378"/>
        <v>1116</v>
      </c>
    </row>
    <row r="761" spans="1:10" ht="40.5" customHeight="1">
      <c r="A761" s="3"/>
      <c r="B761" s="96"/>
      <c r="C761" s="84" t="s">
        <v>162</v>
      </c>
      <c r="D761" s="84" t="s">
        <v>145</v>
      </c>
      <c r="E761" s="21" t="s">
        <v>121</v>
      </c>
      <c r="F761" s="35"/>
      <c r="G761" s="64" t="s">
        <v>552</v>
      </c>
      <c r="H761" s="101">
        <f t="shared" si="378"/>
        <v>1116</v>
      </c>
      <c r="I761" s="101">
        <f t="shared" si="378"/>
        <v>1116</v>
      </c>
      <c r="J761" s="101">
        <f t="shared" si="378"/>
        <v>1116</v>
      </c>
    </row>
    <row r="762" spans="1:10" ht="26.25">
      <c r="A762" s="3"/>
      <c r="B762" s="96"/>
      <c r="C762" s="47" t="s">
        <v>162</v>
      </c>
      <c r="D762" s="47" t="s">
        <v>145</v>
      </c>
      <c r="E762" s="52" t="s">
        <v>122</v>
      </c>
      <c r="F762" s="3"/>
      <c r="G762" s="46" t="s">
        <v>62</v>
      </c>
      <c r="H762" s="98">
        <f t="shared" si="378"/>
        <v>1116</v>
      </c>
      <c r="I762" s="98">
        <f t="shared" si="378"/>
        <v>1116</v>
      </c>
      <c r="J762" s="98">
        <f t="shared" si="378"/>
        <v>1116</v>
      </c>
    </row>
    <row r="763" spans="1:10" ht="26.25">
      <c r="A763" s="3"/>
      <c r="B763" s="96"/>
      <c r="C763" s="16" t="s">
        <v>162</v>
      </c>
      <c r="D763" s="16" t="s">
        <v>145</v>
      </c>
      <c r="E763" s="21" t="s">
        <v>427</v>
      </c>
      <c r="F763" s="35"/>
      <c r="G763" s="102" t="s">
        <v>429</v>
      </c>
      <c r="H763" s="104">
        <f t="shared" ref="H763:J763" si="379">H764</f>
        <v>1116</v>
      </c>
      <c r="I763" s="104">
        <f t="shared" si="379"/>
        <v>1116</v>
      </c>
      <c r="J763" s="104">
        <f t="shared" si="379"/>
        <v>1116</v>
      </c>
    </row>
    <row r="764" spans="1:10" ht="89.25">
      <c r="A764" s="3"/>
      <c r="B764" s="96"/>
      <c r="C764" s="16" t="s">
        <v>162</v>
      </c>
      <c r="D764" s="16" t="s">
        <v>145</v>
      </c>
      <c r="E764" s="21" t="s">
        <v>567</v>
      </c>
      <c r="F764" s="35"/>
      <c r="G764" s="103" t="s">
        <v>265</v>
      </c>
      <c r="H764" s="99">
        <f t="shared" si="378"/>
        <v>1116</v>
      </c>
      <c r="I764" s="99">
        <f t="shared" si="378"/>
        <v>1116</v>
      </c>
      <c r="J764" s="99">
        <f t="shared" si="378"/>
        <v>1116</v>
      </c>
    </row>
    <row r="765" spans="1:10" ht="25.5">
      <c r="A765" s="3"/>
      <c r="B765" s="96"/>
      <c r="C765" s="16" t="s">
        <v>162</v>
      </c>
      <c r="D765" s="16" t="s">
        <v>145</v>
      </c>
      <c r="E765" s="21" t="s">
        <v>567</v>
      </c>
      <c r="F765" s="84" t="s">
        <v>420</v>
      </c>
      <c r="G765" s="103" t="s">
        <v>421</v>
      </c>
      <c r="H765" s="99">
        <v>1116</v>
      </c>
      <c r="I765" s="99">
        <v>1116</v>
      </c>
      <c r="J765" s="99">
        <v>1116</v>
      </c>
    </row>
    <row r="766" spans="1:10" ht="14.25">
      <c r="A766" s="1"/>
      <c r="B766" s="25"/>
      <c r="C766" s="35" t="s">
        <v>162</v>
      </c>
      <c r="D766" s="35" t="s">
        <v>146</v>
      </c>
      <c r="E766" s="35"/>
      <c r="F766" s="38"/>
      <c r="G766" s="50" t="s">
        <v>16</v>
      </c>
      <c r="H766" s="42">
        <f t="shared" ref="H766:J769" si="380">H767</f>
        <v>11425.4</v>
      </c>
      <c r="I766" s="42">
        <f t="shared" si="380"/>
        <v>11425.4</v>
      </c>
      <c r="J766" s="42">
        <f t="shared" si="380"/>
        <v>11425.4</v>
      </c>
    </row>
    <row r="767" spans="1:10" ht="37.5" customHeight="1">
      <c r="A767" s="1"/>
      <c r="B767" s="25"/>
      <c r="C767" s="16" t="s">
        <v>162</v>
      </c>
      <c r="D767" s="16" t="s">
        <v>146</v>
      </c>
      <c r="E767" s="21" t="s">
        <v>121</v>
      </c>
      <c r="F767" s="35"/>
      <c r="G767" s="64" t="s">
        <v>552</v>
      </c>
      <c r="H767" s="101">
        <f t="shared" si="380"/>
        <v>11425.4</v>
      </c>
      <c r="I767" s="101">
        <f t="shared" si="380"/>
        <v>11425.4</v>
      </c>
      <c r="J767" s="101">
        <f t="shared" si="380"/>
        <v>11425.4</v>
      </c>
    </row>
    <row r="768" spans="1:10" ht="25.5">
      <c r="A768" s="1"/>
      <c r="B768" s="25"/>
      <c r="C768" s="16" t="s">
        <v>162</v>
      </c>
      <c r="D768" s="16" t="s">
        <v>146</v>
      </c>
      <c r="E768" s="52" t="s">
        <v>122</v>
      </c>
      <c r="F768" s="35"/>
      <c r="G768" s="46" t="s">
        <v>62</v>
      </c>
      <c r="H768" s="98">
        <f t="shared" si="380"/>
        <v>11425.4</v>
      </c>
      <c r="I768" s="98">
        <f t="shared" si="380"/>
        <v>11425.4</v>
      </c>
      <c r="J768" s="98">
        <f t="shared" si="380"/>
        <v>11425.4</v>
      </c>
    </row>
    <row r="769" spans="1:10" ht="25.5">
      <c r="A769" s="1"/>
      <c r="B769" s="25"/>
      <c r="C769" s="16" t="s">
        <v>162</v>
      </c>
      <c r="D769" s="16" t="s">
        <v>146</v>
      </c>
      <c r="E769" s="21" t="s">
        <v>427</v>
      </c>
      <c r="F769" s="35"/>
      <c r="G769" s="102" t="s">
        <v>429</v>
      </c>
      <c r="H769" s="104">
        <f t="shared" si="380"/>
        <v>11425.4</v>
      </c>
      <c r="I769" s="104">
        <f t="shared" si="380"/>
        <v>11425.4</v>
      </c>
      <c r="J769" s="104">
        <f t="shared" si="380"/>
        <v>11425.4</v>
      </c>
    </row>
    <row r="770" spans="1:10" ht="38.25">
      <c r="A770" s="1"/>
      <c r="B770" s="25"/>
      <c r="C770" s="16" t="s">
        <v>162</v>
      </c>
      <c r="D770" s="16" t="s">
        <v>146</v>
      </c>
      <c r="E770" s="84" t="s">
        <v>565</v>
      </c>
      <c r="F770" s="21"/>
      <c r="G770" s="103" t="s">
        <v>437</v>
      </c>
      <c r="H770" s="99">
        <f t="shared" ref="H770:I770" si="381">SUM(H771:H772)</f>
        <v>11425.4</v>
      </c>
      <c r="I770" s="99">
        <f t="shared" si="381"/>
        <v>11425.4</v>
      </c>
      <c r="J770" s="99">
        <f t="shared" ref="J770" si="382">SUM(J771:J772)</f>
        <v>11425.4</v>
      </c>
    </row>
    <row r="771" spans="1:10" ht="38.25">
      <c r="A771" s="1"/>
      <c r="B771" s="25"/>
      <c r="C771" s="16" t="s">
        <v>162</v>
      </c>
      <c r="D771" s="16" t="s">
        <v>146</v>
      </c>
      <c r="E771" s="84" t="s">
        <v>565</v>
      </c>
      <c r="F771" s="85" t="s">
        <v>325</v>
      </c>
      <c r="G771" s="103" t="s">
        <v>326</v>
      </c>
      <c r="H771" s="99">
        <v>260</v>
      </c>
      <c r="I771" s="99">
        <v>260</v>
      </c>
      <c r="J771" s="99">
        <v>260</v>
      </c>
    </row>
    <row r="772" spans="1:10" ht="38.25">
      <c r="A772" s="1"/>
      <c r="B772" s="25"/>
      <c r="C772" s="16" t="s">
        <v>162</v>
      </c>
      <c r="D772" s="16" t="s">
        <v>146</v>
      </c>
      <c r="E772" s="84" t="s">
        <v>565</v>
      </c>
      <c r="F772" s="85" t="s">
        <v>396</v>
      </c>
      <c r="G772" s="103" t="s">
        <v>383</v>
      </c>
      <c r="H772" s="99">
        <v>11165.4</v>
      </c>
      <c r="I772" s="99">
        <v>11165.4</v>
      </c>
      <c r="J772" s="99">
        <v>11165.4</v>
      </c>
    </row>
    <row r="773" spans="1:10" s="8" customFormat="1" ht="90">
      <c r="A773" s="3">
        <v>5</v>
      </c>
      <c r="B773" s="96">
        <v>938</v>
      </c>
      <c r="C773" s="13"/>
      <c r="D773" s="13"/>
      <c r="E773" s="13"/>
      <c r="F773" s="13"/>
      <c r="G773" s="14" t="s">
        <v>255</v>
      </c>
      <c r="H773" s="97">
        <f>H774+H787+H835+H880</f>
        <v>85415.2</v>
      </c>
      <c r="I773" s="97">
        <f>I774+I787+I835+I880</f>
        <v>73334.000000000015</v>
      </c>
      <c r="J773" s="97">
        <f>J774+J787+J835+J880</f>
        <v>73334.000000000015</v>
      </c>
    </row>
    <row r="774" spans="1:10" s="8" customFormat="1" ht="15.75">
      <c r="A774" s="3"/>
      <c r="B774" s="96"/>
      <c r="C774" s="4" t="s">
        <v>146</v>
      </c>
      <c r="D774" s="3"/>
      <c r="E774" s="3"/>
      <c r="F774" s="3"/>
      <c r="G774" s="49" t="s">
        <v>152</v>
      </c>
      <c r="H774" s="97">
        <f t="shared" ref="H774:I774" si="383">H775+H781</f>
        <v>486.8</v>
      </c>
      <c r="I774" s="97">
        <f t="shared" si="383"/>
        <v>240</v>
      </c>
      <c r="J774" s="97">
        <f t="shared" ref="J774" si="384">J775+J781</f>
        <v>240</v>
      </c>
    </row>
    <row r="775" spans="1:10" s="8" customFormat="1" ht="15.75">
      <c r="A775" s="3"/>
      <c r="B775" s="96"/>
      <c r="C775" s="47" t="s">
        <v>146</v>
      </c>
      <c r="D775" s="47" t="s">
        <v>140</v>
      </c>
      <c r="E775" s="30"/>
      <c r="F775" s="30"/>
      <c r="G775" s="45" t="s">
        <v>181</v>
      </c>
      <c r="H775" s="86">
        <f t="shared" ref="H775:J779" si="385">H776</f>
        <v>486.8</v>
      </c>
      <c r="I775" s="86">
        <f t="shared" si="385"/>
        <v>100</v>
      </c>
      <c r="J775" s="86">
        <f t="shared" si="385"/>
        <v>100</v>
      </c>
    </row>
    <row r="776" spans="1:10" s="8" customFormat="1" ht="51.75">
      <c r="A776" s="3"/>
      <c r="B776" s="96"/>
      <c r="C776" s="85" t="s">
        <v>146</v>
      </c>
      <c r="D776" s="85" t="s">
        <v>140</v>
      </c>
      <c r="E776" s="73" t="s">
        <v>101</v>
      </c>
      <c r="F776" s="35"/>
      <c r="G776" s="53" t="s">
        <v>556</v>
      </c>
      <c r="H776" s="97">
        <f t="shared" si="385"/>
        <v>486.8</v>
      </c>
      <c r="I776" s="97">
        <f t="shared" si="385"/>
        <v>100</v>
      </c>
      <c r="J776" s="97">
        <f t="shared" si="385"/>
        <v>100</v>
      </c>
    </row>
    <row r="777" spans="1:10" s="8" customFormat="1" ht="26.25">
      <c r="A777" s="3"/>
      <c r="B777" s="96"/>
      <c r="C777" s="85" t="s">
        <v>146</v>
      </c>
      <c r="D777" s="85" t="s">
        <v>140</v>
      </c>
      <c r="E777" s="52" t="s">
        <v>39</v>
      </c>
      <c r="F777" s="21"/>
      <c r="G777" s="48" t="s">
        <v>257</v>
      </c>
      <c r="H777" s="40">
        <f>H779</f>
        <v>486.8</v>
      </c>
      <c r="I777" s="40">
        <f>I779</f>
        <v>100</v>
      </c>
      <c r="J777" s="40">
        <f>J779</f>
        <v>100</v>
      </c>
    </row>
    <row r="778" spans="1:10" s="8" customFormat="1" ht="77.25">
      <c r="A778" s="3"/>
      <c r="B778" s="96"/>
      <c r="C778" s="85" t="s">
        <v>146</v>
      </c>
      <c r="D778" s="85" t="s">
        <v>140</v>
      </c>
      <c r="E778" s="21" t="s">
        <v>394</v>
      </c>
      <c r="F778" s="21"/>
      <c r="G778" s="105" t="s">
        <v>395</v>
      </c>
      <c r="H778" s="104">
        <f t="shared" ref="H778:J778" si="386">H779</f>
        <v>486.8</v>
      </c>
      <c r="I778" s="104">
        <f t="shared" si="386"/>
        <v>100</v>
      </c>
      <c r="J778" s="104">
        <f t="shared" si="386"/>
        <v>100</v>
      </c>
    </row>
    <row r="779" spans="1:10" s="8" customFormat="1" ht="63.75">
      <c r="A779" s="3"/>
      <c r="B779" s="96"/>
      <c r="C779" s="85" t="s">
        <v>146</v>
      </c>
      <c r="D779" s="85" t="s">
        <v>140</v>
      </c>
      <c r="E779" s="74" t="s">
        <v>328</v>
      </c>
      <c r="F779" s="16"/>
      <c r="G779" s="103" t="s">
        <v>259</v>
      </c>
      <c r="H779" s="41">
        <f t="shared" si="385"/>
        <v>486.8</v>
      </c>
      <c r="I779" s="41">
        <f t="shared" si="385"/>
        <v>100</v>
      </c>
      <c r="J779" s="41">
        <f t="shared" si="385"/>
        <v>100</v>
      </c>
    </row>
    <row r="780" spans="1:10" s="8" customFormat="1" ht="15.75">
      <c r="A780" s="3"/>
      <c r="B780" s="96"/>
      <c r="C780" s="85" t="s">
        <v>146</v>
      </c>
      <c r="D780" s="85" t="s">
        <v>140</v>
      </c>
      <c r="E780" s="74" t="s">
        <v>328</v>
      </c>
      <c r="F780" s="21" t="s">
        <v>344</v>
      </c>
      <c r="G780" s="103" t="s">
        <v>343</v>
      </c>
      <c r="H780" s="41">
        <f>486.8</f>
        <v>486.8</v>
      </c>
      <c r="I780" s="41">
        <v>100</v>
      </c>
      <c r="J780" s="41">
        <v>100</v>
      </c>
    </row>
    <row r="781" spans="1:10" s="8" customFormat="1" ht="26.25">
      <c r="A781" s="3"/>
      <c r="B781" s="96"/>
      <c r="C781" s="21" t="s">
        <v>146</v>
      </c>
      <c r="D781" s="21" t="s">
        <v>174</v>
      </c>
      <c r="E781" s="30"/>
      <c r="F781" s="30"/>
      <c r="G781" s="46" t="s">
        <v>4</v>
      </c>
      <c r="H781" s="98">
        <f t="shared" ref="H781:J781" si="387">H782</f>
        <v>0</v>
      </c>
      <c r="I781" s="98">
        <f t="shared" si="387"/>
        <v>140</v>
      </c>
      <c r="J781" s="98">
        <f t="shared" si="387"/>
        <v>140</v>
      </c>
    </row>
    <row r="782" spans="1:10" s="8" customFormat="1" ht="51.75">
      <c r="A782" s="3"/>
      <c r="B782" s="96"/>
      <c r="C782" s="5" t="s">
        <v>146</v>
      </c>
      <c r="D782" s="5" t="s">
        <v>174</v>
      </c>
      <c r="E782" s="73" t="s">
        <v>101</v>
      </c>
      <c r="F782" s="35"/>
      <c r="G782" s="53" t="s">
        <v>556</v>
      </c>
      <c r="H782" s="40">
        <f t="shared" ref="H782:J782" si="388">H783</f>
        <v>0</v>
      </c>
      <c r="I782" s="40">
        <f t="shared" si="388"/>
        <v>140</v>
      </c>
      <c r="J782" s="40">
        <f t="shared" si="388"/>
        <v>140</v>
      </c>
    </row>
    <row r="783" spans="1:10" s="8" customFormat="1" ht="26.25">
      <c r="A783" s="3"/>
      <c r="B783" s="96"/>
      <c r="C783" s="21" t="s">
        <v>146</v>
      </c>
      <c r="D783" s="21" t="s">
        <v>174</v>
      </c>
      <c r="E783" s="75">
        <v>250000000</v>
      </c>
      <c r="F783" s="85"/>
      <c r="G783" s="48" t="s">
        <v>457</v>
      </c>
      <c r="H783" s="98">
        <f t="shared" ref="H783:J784" si="389">H784</f>
        <v>0</v>
      </c>
      <c r="I783" s="98">
        <f t="shared" si="389"/>
        <v>140</v>
      </c>
      <c r="J783" s="98">
        <f t="shared" si="389"/>
        <v>140</v>
      </c>
    </row>
    <row r="784" spans="1:10" s="8" customFormat="1" ht="26.25">
      <c r="A784" s="3"/>
      <c r="B784" s="96"/>
      <c r="C784" s="21" t="s">
        <v>146</v>
      </c>
      <c r="D784" s="21" t="s">
        <v>174</v>
      </c>
      <c r="E784" s="74">
        <v>250100000</v>
      </c>
      <c r="F784" s="85"/>
      <c r="G784" s="112" t="s">
        <v>455</v>
      </c>
      <c r="H784" s="104">
        <f t="shared" si="389"/>
        <v>0</v>
      </c>
      <c r="I784" s="104">
        <f t="shared" si="389"/>
        <v>140</v>
      </c>
      <c r="J784" s="104">
        <f t="shared" si="389"/>
        <v>140</v>
      </c>
    </row>
    <row r="785" spans="1:10" s="8" customFormat="1" ht="38.25">
      <c r="A785" s="3"/>
      <c r="B785" s="96"/>
      <c r="C785" s="21" t="s">
        <v>146</v>
      </c>
      <c r="D785" s="21" t="s">
        <v>174</v>
      </c>
      <c r="E785" s="74" t="s">
        <v>261</v>
      </c>
      <c r="F785" s="85"/>
      <c r="G785" s="103" t="s">
        <v>456</v>
      </c>
      <c r="H785" s="41">
        <f t="shared" ref="H785:J785" si="390">H786</f>
        <v>0</v>
      </c>
      <c r="I785" s="41">
        <f t="shared" si="390"/>
        <v>140</v>
      </c>
      <c r="J785" s="41">
        <f t="shared" si="390"/>
        <v>140</v>
      </c>
    </row>
    <row r="786" spans="1:10" s="8" customFormat="1" ht="38.25">
      <c r="A786" s="3"/>
      <c r="B786" s="96"/>
      <c r="C786" s="21" t="s">
        <v>146</v>
      </c>
      <c r="D786" s="21" t="s">
        <v>174</v>
      </c>
      <c r="E786" s="74" t="s">
        <v>261</v>
      </c>
      <c r="F786" s="85" t="s">
        <v>325</v>
      </c>
      <c r="G786" s="103" t="s">
        <v>326</v>
      </c>
      <c r="H786" s="41">
        <f>90-90</f>
        <v>0</v>
      </c>
      <c r="I786" s="41">
        <v>140</v>
      </c>
      <c r="J786" s="41">
        <v>140</v>
      </c>
    </row>
    <row r="787" spans="1:10" ht="15.75">
      <c r="A787" s="3"/>
      <c r="B787" s="96"/>
      <c r="C787" s="4" t="s">
        <v>156</v>
      </c>
      <c r="D787" s="3"/>
      <c r="E787" s="3"/>
      <c r="F787" s="3"/>
      <c r="G787" s="49" t="s">
        <v>157</v>
      </c>
      <c r="H787" s="97">
        <f>H788+H810</f>
        <v>22390.1</v>
      </c>
      <c r="I787" s="97">
        <f>I788+I810</f>
        <v>18579.100000000002</v>
      </c>
      <c r="J787" s="97">
        <f>J788+J810</f>
        <v>18579.100000000002</v>
      </c>
    </row>
    <row r="788" spans="1:10" s="37" customFormat="1" ht="14.25">
      <c r="A788" s="27"/>
      <c r="B788" s="70"/>
      <c r="C788" s="35" t="s">
        <v>156</v>
      </c>
      <c r="D788" s="35" t="s">
        <v>145</v>
      </c>
      <c r="E788" s="35"/>
      <c r="F788" s="35"/>
      <c r="G788" s="45" t="s">
        <v>225</v>
      </c>
      <c r="H788" s="42">
        <f>H789+H806</f>
        <v>15205.4</v>
      </c>
      <c r="I788" s="42">
        <f>I789+I806</f>
        <v>12669.800000000001</v>
      </c>
      <c r="J788" s="42">
        <f>J789+J806</f>
        <v>12669.800000000001</v>
      </c>
    </row>
    <row r="789" spans="1:10" s="37" customFormat="1" ht="51.75">
      <c r="A789" s="27"/>
      <c r="B789" s="70"/>
      <c r="C789" s="16" t="s">
        <v>156</v>
      </c>
      <c r="D789" s="85" t="s">
        <v>145</v>
      </c>
      <c r="E789" s="73" t="s">
        <v>101</v>
      </c>
      <c r="F789" s="35"/>
      <c r="G789" s="53" t="s">
        <v>556</v>
      </c>
      <c r="H789" s="65">
        <f t="shared" ref="H789:J790" si="391">H790</f>
        <v>15105.4</v>
      </c>
      <c r="I789" s="65">
        <f t="shared" si="391"/>
        <v>12669.800000000001</v>
      </c>
      <c r="J789" s="65">
        <f t="shared" si="391"/>
        <v>12669.800000000001</v>
      </c>
    </row>
    <row r="790" spans="1:10" s="37" customFormat="1" ht="25.5">
      <c r="A790" s="27"/>
      <c r="B790" s="70"/>
      <c r="C790" s="16" t="s">
        <v>156</v>
      </c>
      <c r="D790" s="85" t="s">
        <v>145</v>
      </c>
      <c r="E790" s="52" t="s">
        <v>102</v>
      </c>
      <c r="F790" s="35"/>
      <c r="G790" s="48" t="s">
        <v>250</v>
      </c>
      <c r="H790" s="58">
        <f>H791+H798+H803</f>
        <v>15105.4</v>
      </c>
      <c r="I790" s="58">
        <f t="shared" si="391"/>
        <v>12669.800000000001</v>
      </c>
      <c r="J790" s="58">
        <f t="shared" si="391"/>
        <v>12669.800000000001</v>
      </c>
    </row>
    <row r="791" spans="1:10" s="37" customFormat="1" ht="38.25">
      <c r="A791" s="27"/>
      <c r="B791" s="70"/>
      <c r="C791" s="16" t="s">
        <v>156</v>
      </c>
      <c r="D791" s="85" t="s">
        <v>145</v>
      </c>
      <c r="E791" s="21" t="s">
        <v>314</v>
      </c>
      <c r="F791" s="35"/>
      <c r="G791" s="107" t="s">
        <v>327</v>
      </c>
      <c r="H791" s="58">
        <f>H792+H794+H796</f>
        <v>13464.9</v>
      </c>
      <c r="I791" s="58">
        <f t="shared" ref="I791:J791" si="392">I792+I794+I796</f>
        <v>12669.800000000001</v>
      </c>
      <c r="J791" s="58">
        <f t="shared" si="392"/>
        <v>12669.800000000001</v>
      </c>
    </row>
    <row r="792" spans="1:10" s="20" customFormat="1" ht="26.25">
      <c r="A792" s="18"/>
      <c r="B792" s="71"/>
      <c r="C792" s="16" t="s">
        <v>156</v>
      </c>
      <c r="D792" s="85" t="s">
        <v>145</v>
      </c>
      <c r="E792" s="74" t="s">
        <v>252</v>
      </c>
      <c r="F792" s="16"/>
      <c r="G792" s="134" t="s">
        <v>253</v>
      </c>
      <c r="H792" s="39">
        <f t="shared" ref="H792:J792" si="393">H793</f>
        <v>10863.599999999999</v>
      </c>
      <c r="I792" s="39">
        <f t="shared" si="393"/>
        <v>10325.5</v>
      </c>
      <c r="J792" s="39">
        <f t="shared" si="393"/>
        <v>10325.5</v>
      </c>
    </row>
    <row r="793" spans="1:10">
      <c r="A793" s="1"/>
      <c r="B793" s="25"/>
      <c r="C793" s="16" t="s">
        <v>156</v>
      </c>
      <c r="D793" s="85" t="s">
        <v>145</v>
      </c>
      <c r="E793" s="74" t="s">
        <v>252</v>
      </c>
      <c r="F793" s="21" t="s">
        <v>344</v>
      </c>
      <c r="G793" s="103" t="s">
        <v>343</v>
      </c>
      <c r="H793" s="158">
        <f>11066.8-0.7-255.5+55.5-2.5</f>
        <v>10863.599999999999</v>
      </c>
      <c r="I793" s="39">
        <f>10326.2-0.7</f>
        <v>10325.5</v>
      </c>
      <c r="J793" s="39">
        <f>10326.2-0.7</f>
        <v>10325.5</v>
      </c>
    </row>
    <row r="794" spans="1:10" ht="68.25" customHeight="1">
      <c r="A794" s="1"/>
      <c r="B794" s="25"/>
      <c r="C794" s="16" t="s">
        <v>156</v>
      </c>
      <c r="D794" s="85" t="s">
        <v>145</v>
      </c>
      <c r="E794" s="74">
        <v>210110690</v>
      </c>
      <c r="F794" s="21"/>
      <c r="G794" s="103" t="s">
        <v>499</v>
      </c>
      <c r="H794" s="39">
        <f t="shared" ref="H794:J794" si="394">H795</f>
        <v>2575.1</v>
      </c>
      <c r="I794" s="39">
        <f t="shared" si="394"/>
        <v>2320.6</v>
      </c>
      <c r="J794" s="39">
        <f t="shared" si="394"/>
        <v>2320.6</v>
      </c>
    </row>
    <row r="795" spans="1:10">
      <c r="A795" s="1"/>
      <c r="B795" s="25"/>
      <c r="C795" s="16" t="s">
        <v>156</v>
      </c>
      <c r="D795" s="85" t="s">
        <v>145</v>
      </c>
      <c r="E795" s="74">
        <v>210110690</v>
      </c>
      <c r="F795" s="21" t="s">
        <v>344</v>
      </c>
      <c r="G795" s="103" t="s">
        <v>343</v>
      </c>
      <c r="H795" s="39">
        <f>2320.6+254.5</f>
        <v>2575.1</v>
      </c>
      <c r="I795" s="39">
        <v>2320.6</v>
      </c>
      <c r="J795" s="39">
        <v>2320.6</v>
      </c>
    </row>
    <row r="796" spans="1:10" ht="52.5" customHeight="1">
      <c r="A796" s="1"/>
      <c r="B796" s="25"/>
      <c r="C796" s="16" t="s">
        <v>156</v>
      </c>
      <c r="D796" s="85" t="s">
        <v>145</v>
      </c>
      <c r="E796" s="74" t="s">
        <v>503</v>
      </c>
      <c r="F796" s="21"/>
      <c r="G796" s="103" t="s">
        <v>500</v>
      </c>
      <c r="H796" s="39">
        <f t="shared" ref="H796:J796" si="395">H797</f>
        <v>26.2</v>
      </c>
      <c r="I796" s="39">
        <f t="shared" si="395"/>
        <v>23.7</v>
      </c>
      <c r="J796" s="39">
        <f t="shared" si="395"/>
        <v>23.7</v>
      </c>
    </row>
    <row r="797" spans="1:10">
      <c r="A797" s="1"/>
      <c r="B797" s="25"/>
      <c r="C797" s="16" t="s">
        <v>156</v>
      </c>
      <c r="D797" s="85" t="s">
        <v>145</v>
      </c>
      <c r="E797" s="74" t="s">
        <v>503</v>
      </c>
      <c r="F797" s="21" t="s">
        <v>344</v>
      </c>
      <c r="G797" s="103" t="s">
        <v>343</v>
      </c>
      <c r="H797" s="39">
        <f>23+0.7+2.5</f>
        <v>26.2</v>
      </c>
      <c r="I797" s="39">
        <f t="shared" ref="I797:J797" si="396">23+0.7</f>
        <v>23.7</v>
      </c>
      <c r="J797" s="39">
        <f t="shared" si="396"/>
        <v>23.7</v>
      </c>
    </row>
    <row r="798" spans="1:10" ht="51">
      <c r="A798" s="158"/>
      <c r="B798" s="25"/>
      <c r="C798" s="16" t="s">
        <v>156</v>
      </c>
      <c r="D798" s="85" t="s">
        <v>145</v>
      </c>
      <c r="E798" s="21" t="s">
        <v>388</v>
      </c>
      <c r="F798" s="35"/>
      <c r="G798" s="103" t="s">
        <v>389</v>
      </c>
      <c r="H798" s="41">
        <f>H799+H801</f>
        <v>640.5</v>
      </c>
      <c r="I798" s="41">
        <f t="shared" ref="I798:J798" si="397">I799+I801</f>
        <v>0</v>
      </c>
      <c r="J798" s="41">
        <f t="shared" si="397"/>
        <v>0</v>
      </c>
    </row>
    <row r="799" spans="1:10" ht="51">
      <c r="A799" s="158"/>
      <c r="B799" s="25"/>
      <c r="C799" s="118" t="s">
        <v>156</v>
      </c>
      <c r="D799" s="180" t="s">
        <v>145</v>
      </c>
      <c r="E799" s="181" t="s">
        <v>790</v>
      </c>
      <c r="F799" s="72"/>
      <c r="G799" s="54" t="s">
        <v>792</v>
      </c>
      <c r="H799" s="182">
        <f>H800</f>
        <v>50.4</v>
      </c>
      <c r="I799" s="182">
        <f t="shared" ref="I799:J799" si="398">I800</f>
        <v>0</v>
      </c>
      <c r="J799" s="182">
        <f t="shared" si="398"/>
        <v>0</v>
      </c>
    </row>
    <row r="800" spans="1:10">
      <c r="A800" s="158"/>
      <c r="B800" s="25"/>
      <c r="C800" s="16" t="s">
        <v>156</v>
      </c>
      <c r="D800" s="85" t="s">
        <v>145</v>
      </c>
      <c r="E800" s="74" t="s">
        <v>790</v>
      </c>
      <c r="F800" s="21" t="s">
        <v>344</v>
      </c>
      <c r="G800" s="103" t="s">
        <v>343</v>
      </c>
      <c r="H800" s="39">
        <v>50.4</v>
      </c>
      <c r="I800" s="39">
        <v>0</v>
      </c>
      <c r="J800" s="39">
        <v>0</v>
      </c>
    </row>
    <row r="801" spans="1:10" ht="63.75">
      <c r="A801" s="158"/>
      <c r="B801" s="25"/>
      <c r="C801" s="16" t="s">
        <v>156</v>
      </c>
      <c r="D801" s="85" t="s">
        <v>145</v>
      </c>
      <c r="E801" s="74" t="s">
        <v>967</v>
      </c>
      <c r="F801" s="21"/>
      <c r="G801" s="54" t="s">
        <v>973</v>
      </c>
      <c r="H801" s="39">
        <f>H802</f>
        <v>590.1</v>
      </c>
      <c r="I801" s="39">
        <f t="shared" ref="I801:J801" si="399">I802</f>
        <v>0</v>
      </c>
      <c r="J801" s="39">
        <f t="shared" si="399"/>
        <v>0</v>
      </c>
    </row>
    <row r="802" spans="1:10">
      <c r="A802" s="158"/>
      <c r="B802" s="25"/>
      <c r="C802" s="16" t="s">
        <v>156</v>
      </c>
      <c r="D802" s="85" t="s">
        <v>145</v>
      </c>
      <c r="E802" s="74" t="s">
        <v>967</v>
      </c>
      <c r="F802" s="21" t="s">
        <v>344</v>
      </c>
      <c r="G802" s="103" t="s">
        <v>343</v>
      </c>
      <c r="H802" s="39">
        <v>590.1</v>
      </c>
      <c r="I802" s="39">
        <v>0</v>
      </c>
      <c r="J802" s="39">
        <v>0</v>
      </c>
    </row>
    <row r="803" spans="1:10" ht="37.5" customHeight="1">
      <c r="A803" s="158"/>
      <c r="B803" s="25"/>
      <c r="C803" s="16" t="s">
        <v>156</v>
      </c>
      <c r="D803" s="85" t="s">
        <v>145</v>
      </c>
      <c r="E803" s="74" t="s">
        <v>799</v>
      </c>
      <c r="F803" s="21"/>
      <c r="G803" s="103" t="s">
        <v>807</v>
      </c>
      <c r="H803" s="39">
        <f>H804</f>
        <v>1000</v>
      </c>
      <c r="I803" s="39">
        <f t="shared" ref="I803:J803" si="400">I804</f>
        <v>0</v>
      </c>
      <c r="J803" s="39">
        <f t="shared" si="400"/>
        <v>0</v>
      </c>
    </row>
    <row r="804" spans="1:10">
      <c r="A804" s="158"/>
      <c r="B804" s="25"/>
      <c r="C804" s="16" t="s">
        <v>156</v>
      </c>
      <c r="D804" s="85" t="s">
        <v>145</v>
      </c>
      <c r="E804" s="74" t="s">
        <v>800</v>
      </c>
      <c r="F804" s="21"/>
      <c r="G804" s="103" t="s">
        <v>801</v>
      </c>
      <c r="H804" s="39">
        <f>H805</f>
        <v>1000</v>
      </c>
      <c r="I804" s="39">
        <f t="shared" ref="I804:J804" si="401">I805</f>
        <v>0</v>
      </c>
      <c r="J804" s="39">
        <f t="shared" si="401"/>
        <v>0</v>
      </c>
    </row>
    <row r="805" spans="1:10">
      <c r="A805" s="158"/>
      <c r="B805" s="25"/>
      <c r="C805" s="16" t="s">
        <v>156</v>
      </c>
      <c r="D805" s="85" t="s">
        <v>145</v>
      </c>
      <c r="E805" s="74" t="s">
        <v>800</v>
      </c>
      <c r="F805" s="21" t="s">
        <v>344</v>
      </c>
      <c r="G805" s="103" t="s">
        <v>343</v>
      </c>
      <c r="H805" s="39">
        <v>1000</v>
      </c>
      <c r="I805" s="39">
        <v>0</v>
      </c>
      <c r="J805" s="39">
        <v>0</v>
      </c>
    </row>
    <row r="806" spans="1:10" ht="25.5">
      <c r="A806" s="1"/>
      <c r="B806" s="25"/>
      <c r="C806" s="5" t="s">
        <v>156</v>
      </c>
      <c r="D806" s="5" t="s">
        <v>145</v>
      </c>
      <c r="E806" s="87">
        <v>9900000000</v>
      </c>
      <c r="F806" s="73"/>
      <c r="G806" s="154" t="s">
        <v>202</v>
      </c>
      <c r="H806" s="101">
        <f t="shared" ref="H806:J806" si="402">H807</f>
        <v>100</v>
      </c>
      <c r="I806" s="101">
        <f t="shared" si="402"/>
        <v>0</v>
      </c>
      <c r="J806" s="101">
        <f t="shared" si="402"/>
        <v>0</v>
      </c>
    </row>
    <row r="807" spans="1:10" ht="25.5">
      <c r="A807" s="1"/>
      <c r="B807" s="25"/>
      <c r="C807" s="16" t="s">
        <v>156</v>
      </c>
      <c r="D807" s="85" t="s">
        <v>145</v>
      </c>
      <c r="E807" s="85" t="s">
        <v>32</v>
      </c>
      <c r="F807" s="85"/>
      <c r="G807" s="105" t="s">
        <v>56</v>
      </c>
      <c r="H807" s="104">
        <f>H808</f>
        <v>100</v>
      </c>
      <c r="I807" s="104">
        <f>I808</f>
        <v>0</v>
      </c>
      <c r="J807" s="104">
        <f>J808</f>
        <v>0</v>
      </c>
    </row>
    <row r="808" spans="1:10" ht="38.25">
      <c r="A808" s="1"/>
      <c r="B808" s="25"/>
      <c r="C808" s="16" t="s">
        <v>156</v>
      </c>
      <c r="D808" s="85" t="s">
        <v>145</v>
      </c>
      <c r="E808" s="85" t="s">
        <v>633</v>
      </c>
      <c r="F808" s="16"/>
      <c r="G808" s="54" t="s">
        <v>593</v>
      </c>
      <c r="H808" s="41">
        <f>SUM(H809:H809)</f>
        <v>100</v>
      </c>
      <c r="I808" s="41">
        <f>SUM(I809:I809)</f>
        <v>0</v>
      </c>
      <c r="J808" s="41">
        <f>SUM(J809:J809)</f>
        <v>0</v>
      </c>
    </row>
    <row r="809" spans="1:10">
      <c r="A809" s="1"/>
      <c r="B809" s="25"/>
      <c r="C809" s="16" t="s">
        <v>156</v>
      </c>
      <c r="D809" s="85" t="s">
        <v>145</v>
      </c>
      <c r="E809" s="85" t="s">
        <v>633</v>
      </c>
      <c r="F809" s="21" t="s">
        <v>344</v>
      </c>
      <c r="G809" s="103" t="s">
        <v>343</v>
      </c>
      <c r="H809" s="39">
        <v>100</v>
      </c>
      <c r="I809" s="39">
        <v>0</v>
      </c>
      <c r="J809" s="39">
        <v>0</v>
      </c>
    </row>
    <row r="810" spans="1:10" s="37" customFormat="1" ht="14.25">
      <c r="A810" s="27"/>
      <c r="B810" s="70"/>
      <c r="C810" s="35" t="s">
        <v>156</v>
      </c>
      <c r="D810" s="35" t="s">
        <v>156</v>
      </c>
      <c r="E810" s="35"/>
      <c r="F810" s="35"/>
      <c r="G810" s="46" t="s">
        <v>224</v>
      </c>
      <c r="H810" s="42">
        <f>H811+H831</f>
        <v>7184.7</v>
      </c>
      <c r="I810" s="42">
        <f>I811+I831</f>
        <v>5909.3</v>
      </c>
      <c r="J810" s="42">
        <f>J811+J831</f>
        <v>5909.3</v>
      </c>
    </row>
    <row r="811" spans="1:10" s="37" customFormat="1" ht="51.75">
      <c r="A811" s="27"/>
      <c r="B811" s="70"/>
      <c r="C811" s="16" t="s">
        <v>156</v>
      </c>
      <c r="D811" s="16" t="s">
        <v>156</v>
      </c>
      <c r="E811" s="73" t="s">
        <v>101</v>
      </c>
      <c r="F811" s="35"/>
      <c r="G811" s="53" t="s">
        <v>556</v>
      </c>
      <c r="H811" s="65">
        <f>H812+H825</f>
        <v>7134.7</v>
      </c>
      <c r="I811" s="65">
        <f>I812+I825</f>
        <v>5909.3</v>
      </c>
      <c r="J811" s="65">
        <f>J812+J825</f>
        <v>5909.3</v>
      </c>
    </row>
    <row r="812" spans="1:10" ht="25.5">
      <c r="A812" s="1"/>
      <c r="B812" s="25"/>
      <c r="C812" s="16" t="s">
        <v>156</v>
      </c>
      <c r="D812" s="16" t="s">
        <v>156</v>
      </c>
      <c r="E812" s="52" t="s">
        <v>39</v>
      </c>
      <c r="F812" s="21"/>
      <c r="G812" s="48" t="s">
        <v>257</v>
      </c>
      <c r="H812" s="41">
        <f t="shared" ref="H812:I812" si="403">H813+H820</f>
        <v>7084.7</v>
      </c>
      <c r="I812" s="41">
        <f t="shared" si="403"/>
        <v>5859.3</v>
      </c>
      <c r="J812" s="41">
        <f t="shared" ref="J812" si="404">J813+J820</f>
        <v>5859.3</v>
      </c>
    </row>
    <row r="813" spans="1:10" ht="42" customHeight="1">
      <c r="A813" s="1"/>
      <c r="B813" s="25"/>
      <c r="C813" s="16" t="s">
        <v>156</v>
      </c>
      <c r="D813" s="16" t="s">
        <v>156</v>
      </c>
      <c r="E813" s="21" t="s">
        <v>315</v>
      </c>
      <c r="F813" s="16"/>
      <c r="G813" s="107" t="s">
        <v>485</v>
      </c>
      <c r="H813" s="41">
        <f t="shared" ref="H813:J813" si="405">H814+H816+H818</f>
        <v>311.20000000000005</v>
      </c>
      <c r="I813" s="41">
        <f t="shared" si="405"/>
        <v>150</v>
      </c>
      <c r="J813" s="41">
        <f t="shared" si="405"/>
        <v>150</v>
      </c>
    </row>
    <row r="814" spans="1:10" ht="51">
      <c r="A814" s="1"/>
      <c r="B814" s="25"/>
      <c r="C814" s="16" t="s">
        <v>156</v>
      </c>
      <c r="D814" s="16" t="s">
        <v>156</v>
      </c>
      <c r="E814" s="81" t="s">
        <v>40</v>
      </c>
      <c r="F814" s="16"/>
      <c r="G814" s="106" t="s">
        <v>311</v>
      </c>
      <c r="H814" s="39">
        <f t="shared" ref="H814:J814" si="406">H815</f>
        <v>6.6</v>
      </c>
      <c r="I814" s="39">
        <f t="shared" si="406"/>
        <v>5</v>
      </c>
      <c r="J814" s="39">
        <f t="shared" si="406"/>
        <v>5</v>
      </c>
    </row>
    <row r="815" spans="1:10" ht="38.25">
      <c r="A815" s="1"/>
      <c r="B815" s="25"/>
      <c r="C815" s="16" t="s">
        <v>156</v>
      </c>
      <c r="D815" s="16" t="s">
        <v>156</v>
      </c>
      <c r="E815" s="81" t="s">
        <v>40</v>
      </c>
      <c r="F815" s="85" t="s">
        <v>325</v>
      </c>
      <c r="G815" s="103" t="s">
        <v>326</v>
      </c>
      <c r="H815" s="41">
        <v>6.6</v>
      </c>
      <c r="I815" s="41">
        <v>5</v>
      </c>
      <c r="J815" s="41">
        <v>5</v>
      </c>
    </row>
    <row r="816" spans="1:10" ht="25.5">
      <c r="A816" s="1"/>
      <c r="B816" s="25"/>
      <c r="C816" s="16" t="s">
        <v>156</v>
      </c>
      <c r="D816" s="16" t="s">
        <v>156</v>
      </c>
      <c r="E816" s="81" t="s">
        <v>41</v>
      </c>
      <c r="F816" s="16"/>
      <c r="G816" s="103" t="s">
        <v>258</v>
      </c>
      <c r="H816" s="41">
        <f t="shared" ref="H816:J816" si="407">H817</f>
        <v>289.60000000000002</v>
      </c>
      <c r="I816" s="41">
        <f t="shared" si="407"/>
        <v>130</v>
      </c>
      <c r="J816" s="41">
        <f t="shared" si="407"/>
        <v>130</v>
      </c>
    </row>
    <row r="817" spans="1:10" ht="38.25">
      <c r="A817" s="1"/>
      <c r="B817" s="25"/>
      <c r="C817" s="16" t="s">
        <v>156</v>
      </c>
      <c r="D817" s="16" t="s">
        <v>156</v>
      </c>
      <c r="E817" s="81" t="s">
        <v>41</v>
      </c>
      <c r="F817" s="85" t="s">
        <v>325</v>
      </c>
      <c r="G817" s="103" t="s">
        <v>326</v>
      </c>
      <c r="H817" s="41">
        <v>289.60000000000002</v>
      </c>
      <c r="I817" s="41">
        <v>130</v>
      </c>
      <c r="J817" s="41">
        <v>130</v>
      </c>
    </row>
    <row r="818" spans="1:10" ht="53.25" customHeight="1">
      <c r="A818" s="1"/>
      <c r="B818" s="25"/>
      <c r="C818" s="16" t="s">
        <v>156</v>
      </c>
      <c r="D818" s="16" t="s">
        <v>156</v>
      </c>
      <c r="E818" s="81" t="s">
        <v>42</v>
      </c>
      <c r="F818" s="16"/>
      <c r="G818" s="103" t="s">
        <v>129</v>
      </c>
      <c r="H818" s="41">
        <f t="shared" ref="H818:J818" si="408">H819</f>
        <v>15</v>
      </c>
      <c r="I818" s="41">
        <f t="shared" si="408"/>
        <v>15</v>
      </c>
      <c r="J818" s="41">
        <f t="shared" si="408"/>
        <v>15</v>
      </c>
    </row>
    <row r="819" spans="1:10" ht="38.25">
      <c r="A819" s="1"/>
      <c r="B819" s="25"/>
      <c r="C819" s="16" t="s">
        <v>156</v>
      </c>
      <c r="D819" s="16" t="s">
        <v>156</v>
      </c>
      <c r="E819" s="81" t="s">
        <v>42</v>
      </c>
      <c r="F819" s="85" t="s">
        <v>325</v>
      </c>
      <c r="G819" s="103" t="s">
        <v>326</v>
      </c>
      <c r="H819" s="41">
        <v>15</v>
      </c>
      <c r="I819" s="41">
        <v>15</v>
      </c>
      <c r="J819" s="41">
        <v>15</v>
      </c>
    </row>
    <row r="820" spans="1:10" ht="76.5">
      <c r="A820" s="1"/>
      <c r="B820" s="25"/>
      <c r="C820" s="16" t="s">
        <v>156</v>
      </c>
      <c r="D820" s="16" t="s">
        <v>156</v>
      </c>
      <c r="E820" s="21" t="s">
        <v>394</v>
      </c>
      <c r="F820" s="16"/>
      <c r="G820" s="107" t="s">
        <v>395</v>
      </c>
      <c r="H820" s="41">
        <f>H821+H823</f>
        <v>6773.5</v>
      </c>
      <c r="I820" s="41">
        <f t="shared" ref="I820:J820" si="409">I821+I823</f>
        <v>5709.3</v>
      </c>
      <c r="J820" s="41">
        <f t="shared" si="409"/>
        <v>5709.3</v>
      </c>
    </row>
    <row r="821" spans="1:10" ht="38.25">
      <c r="A821" s="1"/>
      <c r="B821" s="25"/>
      <c r="C821" s="16" t="s">
        <v>156</v>
      </c>
      <c r="D821" s="16" t="s">
        <v>156</v>
      </c>
      <c r="E821" s="74" t="s">
        <v>313</v>
      </c>
      <c r="F821" s="16"/>
      <c r="G821" s="103" t="s">
        <v>0</v>
      </c>
      <c r="H821" s="41">
        <f>H822</f>
        <v>6723.5</v>
      </c>
      <c r="I821" s="41">
        <f>I822</f>
        <v>5709.3</v>
      </c>
      <c r="J821" s="41">
        <f>J822</f>
        <v>5709.3</v>
      </c>
    </row>
    <row r="822" spans="1:10">
      <c r="A822" s="1"/>
      <c r="B822" s="25"/>
      <c r="C822" s="16" t="s">
        <v>156</v>
      </c>
      <c r="D822" s="16" t="s">
        <v>156</v>
      </c>
      <c r="E822" s="74" t="s">
        <v>313</v>
      </c>
      <c r="F822" s="85" t="s">
        <v>344</v>
      </c>
      <c r="G822" s="103" t="s">
        <v>343</v>
      </c>
      <c r="H822" s="41">
        <v>6723.5</v>
      </c>
      <c r="I822" s="41">
        <v>5709.3</v>
      </c>
      <c r="J822" s="41">
        <v>5709.3</v>
      </c>
    </row>
    <row r="823" spans="1:10">
      <c r="A823" s="158"/>
      <c r="B823" s="25"/>
      <c r="C823" s="16" t="s">
        <v>156</v>
      </c>
      <c r="D823" s="16" t="s">
        <v>156</v>
      </c>
      <c r="E823" s="74" t="s">
        <v>751</v>
      </c>
      <c r="F823" s="85"/>
      <c r="G823" s="103" t="s">
        <v>752</v>
      </c>
      <c r="H823" s="41">
        <f>H824</f>
        <v>50</v>
      </c>
      <c r="I823" s="41">
        <f t="shared" ref="I823:J823" si="410">I824</f>
        <v>0</v>
      </c>
      <c r="J823" s="41">
        <f t="shared" si="410"/>
        <v>0</v>
      </c>
    </row>
    <row r="824" spans="1:10" ht="38.25">
      <c r="A824" s="158"/>
      <c r="B824" s="25"/>
      <c r="C824" s="16" t="s">
        <v>156</v>
      </c>
      <c r="D824" s="16" t="s">
        <v>156</v>
      </c>
      <c r="E824" s="74" t="s">
        <v>751</v>
      </c>
      <c r="F824" s="85" t="s">
        <v>325</v>
      </c>
      <c r="G824" s="103" t="s">
        <v>326</v>
      </c>
      <c r="H824" s="41">
        <v>50</v>
      </c>
      <c r="I824" s="41">
        <v>0</v>
      </c>
      <c r="J824" s="41">
        <v>0</v>
      </c>
    </row>
    <row r="825" spans="1:10" ht="62.25" customHeight="1">
      <c r="A825" s="1"/>
      <c r="B825" s="25"/>
      <c r="C825" s="16" t="s">
        <v>156</v>
      </c>
      <c r="D825" s="16" t="s">
        <v>156</v>
      </c>
      <c r="E825" s="75">
        <v>240000000</v>
      </c>
      <c r="F825" s="16"/>
      <c r="G825" s="48" t="s">
        <v>260</v>
      </c>
      <c r="H825" s="98">
        <f t="shared" ref="H825:J825" si="411">H826</f>
        <v>50</v>
      </c>
      <c r="I825" s="98">
        <f t="shared" si="411"/>
        <v>50</v>
      </c>
      <c r="J825" s="98">
        <f t="shared" si="411"/>
        <v>50</v>
      </c>
    </row>
    <row r="826" spans="1:10" ht="51">
      <c r="A826" s="1"/>
      <c r="B826" s="25"/>
      <c r="C826" s="16" t="s">
        <v>156</v>
      </c>
      <c r="D826" s="16" t="s">
        <v>156</v>
      </c>
      <c r="E826" s="74">
        <v>240100000</v>
      </c>
      <c r="F826" s="16"/>
      <c r="G826" s="112" t="s">
        <v>495</v>
      </c>
      <c r="H826" s="104">
        <f t="shared" ref="H826:I826" si="412">H827+H829</f>
        <v>50</v>
      </c>
      <c r="I826" s="104">
        <f t="shared" si="412"/>
        <v>50</v>
      </c>
      <c r="J826" s="104">
        <f t="shared" ref="J826" si="413">J827+J829</f>
        <v>50</v>
      </c>
    </row>
    <row r="827" spans="1:10" ht="87.75" customHeight="1">
      <c r="A827" s="1"/>
      <c r="B827" s="25"/>
      <c r="C827" s="16" t="s">
        <v>156</v>
      </c>
      <c r="D827" s="16" t="s">
        <v>156</v>
      </c>
      <c r="E827" s="74" t="s">
        <v>590</v>
      </c>
      <c r="F827" s="16"/>
      <c r="G827" s="103" t="s">
        <v>262</v>
      </c>
      <c r="H827" s="41">
        <f t="shared" ref="H827:J827" si="414">H828</f>
        <v>5</v>
      </c>
      <c r="I827" s="41">
        <f t="shared" si="414"/>
        <v>5</v>
      </c>
      <c r="J827" s="41">
        <f t="shared" si="414"/>
        <v>5</v>
      </c>
    </row>
    <row r="828" spans="1:10" ht="38.25">
      <c r="A828" s="1"/>
      <c r="B828" s="25"/>
      <c r="C828" s="16" t="s">
        <v>156</v>
      </c>
      <c r="D828" s="16" t="s">
        <v>156</v>
      </c>
      <c r="E828" s="74" t="s">
        <v>590</v>
      </c>
      <c r="F828" s="85" t="s">
        <v>325</v>
      </c>
      <c r="G828" s="103" t="s">
        <v>326</v>
      </c>
      <c r="H828" s="41">
        <v>5</v>
      </c>
      <c r="I828" s="41">
        <v>5</v>
      </c>
      <c r="J828" s="41">
        <v>5</v>
      </c>
    </row>
    <row r="829" spans="1:10">
      <c r="A829" s="1"/>
      <c r="B829" s="25"/>
      <c r="C829" s="16" t="s">
        <v>156</v>
      </c>
      <c r="D829" s="16" t="s">
        <v>156</v>
      </c>
      <c r="E829" s="74" t="s">
        <v>591</v>
      </c>
      <c r="F829" s="16"/>
      <c r="G829" s="103" t="s">
        <v>264</v>
      </c>
      <c r="H829" s="41">
        <f t="shared" ref="H829:J829" si="415">H830</f>
        <v>45</v>
      </c>
      <c r="I829" s="41">
        <f t="shared" si="415"/>
        <v>45</v>
      </c>
      <c r="J829" s="41">
        <f t="shared" si="415"/>
        <v>45</v>
      </c>
    </row>
    <row r="830" spans="1:10" ht="38.25">
      <c r="A830" s="1"/>
      <c r="B830" s="25"/>
      <c r="C830" s="16" t="s">
        <v>156</v>
      </c>
      <c r="D830" s="16" t="s">
        <v>156</v>
      </c>
      <c r="E830" s="74" t="s">
        <v>591</v>
      </c>
      <c r="F830" s="85" t="s">
        <v>325</v>
      </c>
      <c r="G830" s="103" t="s">
        <v>326</v>
      </c>
      <c r="H830" s="41">
        <v>45</v>
      </c>
      <c r="I830" s="41">
        <v>45</v>
      </c>
      <c r="J830" s="41">
        <v>45</v>
      </c>
    </row>
    <row r="831" spans="1:10" ht="25.5">
      <c r="A831" s="158"/>
      <c r="B831" s="25"/>
      <c r="C831" s="5" t="s">
        <v>156</v>
      </c>
      <c r="D831" s="5" t="s">
        <v>156</v>
      </c>
      <c r="E831" s="87">
        <v>9900000000</v>
      </c>
      <c r="F831" s="73"/>
      <c r="G831" s="154" t="s">
        <v>202</v>
      </c>
      <c r="H831" s="101">
        <f t="shared" ref="H831:J832" si="416">H832</f>
        <v>50</v>
      </c>
      <c r="I831" s="101">
        <f t="shared" si="416"/>
        <v>0</v>
      </c>
      <c r="J831" s="101">
        <f t="shared" si="416"/>
        <v>0</v>
      </c>
    </row>
    <row r="832" spans="1:10" ht="25.5">
      <c r="A832" s="158"/>
      <c r="B832" s="25"/>
      <c r="C832" s="16" t="s">
        <v>156</v>
      </c>
      <c r="D832" s="85" t="s">
        <v>156</v>
      </c>
      <c r="E832" s="85" t="s">
        <v>32</v>
      </c>
      <c r="F832" s="85"/>
      <c r="G832" s="105" t="s">
        <v>56</v>
      </c>
      <c r="H832" s="104">
        <f t="shared" si="416"/>
        <v>50</v>
      </c>
      <c r="I832" s="104">
        <f t="shared" si="416"/>
        <v>0</v>
      </c>
      <c r="J832" s="104">
        <f t="shared" si="416"/>
        <v>0</v>
      </c>
    </row>
    <row r="833" spans="1:10" ht="38.25">
      <c r="A833" s="158"/>
      <c r="B833" s="25"/>
      <c r="C833" s="16" t="s">
        <v>156</v>
      </c>
      <c r="D833" s="85" t="s">
        <v>156</v>
      </c>
      <c r="E833" s="85" t="s">
        <v>633</v>
      </c>
      <c r="F833" s="16"/>
      <c r="G833" s="54" t="s">
        <v>593</v>
      </c>
      <c r="H833" s="41">
        <f>SUM(H834:H834)</f>
        <v>50</v>
      </c>
      <c r="I833" s="41">
        <f>SUM(I834:I834)</f>
        <v>0</v>
      </c>
      <c r="J833" s="41">
        <f>SUM(J834:J834)</f>
        <v>0</v>
      </c>
    </row>
    <row r="834" spans="1:10">
      <c r="A834" s="158"/>
      <c r="B834" s="25"/>
      <c r="C834" s="16" t="s">
        <v>156</v>
      </c>
      <c r="D834" s="85" t="s">
        <v>156</v>
      </c>
      <c r="E834" s="85" t="s">
        <v>633</v>
      </c>
      <c r="F834" s="85" t="s">
        <v>344</v>
      </c>
      <c r="G834" s="103" t="s">
        <v>343</v>
      </c>
      <c r="H834" s="39">
        <v>50</v>
      </c>
      <c r="I834" s="39">
        <v>0</v>
      </c>
      <c r="J834" s="39"/>
    </row>
    <row r="835" spans="1:10" ht="15.75">
      <c r="A835" s="3"/>
      <c r="B835" s="96"/>
      <c r="C835" s="4" t="s">
        <v>153</v>
      </c>
      <c r="D835" s="3"/>
      <c r="E835" s="3"/>
      <c r="F835" s="3"/>
      <c r="G835" s="49" t="s">
        <v>25</v>
      </c>
      <c r="H835" s="97">
        <f>H836+H868</f>
        <v>61619.600000000006</v>
      </c>
      <c r="I835" s="97">
        <f>I836+I868</f>
        <v>53848.800000000003</v>
      </c>
      <c r="J835" s="97">
        <f>J836+J868</f>
        <v>53848.800000000003</v>
      </c>
    </row>
    <row r="836" spans="1:10" s="37" customFormat="1" ht="14.25">
      <c r="A836" s="27"/>
      <c r="B836" s="70"/>
      <c r="C836" s="35" t="s">
        <v>153</v>
      </c>
      <c r="D836" s="35" t="s">
        <v>140</v>
      </c>
      <c r="E836" s="35"/>
      <c r="F836" s="35"/>
      <c r="G836" s="45" t="s">
        <v>158</v>
      </c>
      <c r="H836" s="42">
        <f>H837+H862</f>
        <v>58232.800000000003</v>
      </c>
      <c r="I836" s="42">
        <f>I837+I862</f>
        <v>51217.5</v>
      </c>
      <c r="J836" s="42">
        <f>J837+J862</f>
        <v>51217.5</v>
      </c>
    </row>
    <row r="837" spans="1:10" s="37" customFormat="1" ht="51.75">
      <c r="A837" s="27"/>
      <c r="B837" s="70"/>
      <c r="C837" s="16" t="s">
        <v>153</v>
      </c>
      <c r="D837" s="16" t="s">
        <v>140</v>
      </c>
      <c r="E837" s="73" t="s">
        <v>101</v>
      </c>
      <c r="F837" s="35"/>
      <c r="G837" s="53" t="s">
        <v>556</v>
      </c>
      <c r="H837" s="65">
        <f t="shared" ref="H837:J837" si="417">H838</f>
        <v>58032.800000000003</v>
      </c>
      <c r="I837" s="65">
        <f t="shared" si="417"/>
        <v>51217.5</v>
      </c>
      <c r="J837" s="65">
        <f t="shared" si="417"/>
        <v>51217.5</v>
      </c>
    </row>
    <row r="838" spans="1:10" s="37" customFormat="1" ht="25.5">
      <c r="A838" s="27"/>
      <c r="B838" s="70"/>
      <c r="C838" s="16" t="s">
        <v>153</v>
      </c>
      <c r="D838" s="16" t="s">
        <v>140</v>
      </c>
      <c r="E838" s="21" t="s">
        <v>102</v>
      </c>
      <c r="F838" s="35"/>
      <c r="G838" s="48" t="s">
        <v>250</v>
      </c>
      <c r="H838" s="58">
        <f>H839+H852+H859</f>
        <v>58032.800000000003</v>
      </c>
      <c r="I838" s="58">
        <f t="shared" ref="I838:J838" si="418">I839+I852+I859</f>
        <v>51217.5</v>
      </c>
      <c r="J838" s="58">
        <f t="shared" si="418"/>
        <v>51217.5</v>
      </c>
    </row>
    <row r="839" spans="1:10" s="37" customFormat="1" ht="38.25">
      <c r="A839" s="27"/>
      <c r="B839" s="70"/>
      <c r="C839" s="16" t="s">
        <v>153</v>
      </c>
      <c r="D839" s="16" t="s">
        <v>140</v>
      </c>
      <c r="E839" s="21" t="s">
        <v>314</v>
      </c>
      <c r="F839" s="35"/>
      <c r="G839" s="107" t="s">
        <v>327</v>
      </c>
      <c r="H839" s="58">
        <f>H840+H844+H846+H849</f>
        <v>55272.700000000004</v>
      </c>
      <c r="I839" s="58">
        <f t="shared" ref="I839:J839" si="419">I840+I844+I846+I849</f>
        <v>50917.5</v>
      </c>
      <c r="J839" s="58">
        <f t="shared" si="419"/>
        <v>50917.5</v>
      </c>
    </row>
    <row r="840" spans="1:10" ht="25.5">
      <c r="A840" s="1"/>
      <c r="B840" s="25"/>
      <c r="C840" s="16" t="s">
        <v>153</v>
      </c>
      <c r="D840" s="16" t="s">
        <v>140</v>
      </c>
      <c r="E840" s="74" t="s">
        <v>103</v>
      </c>
      <c r="F840" s="16"/>
      <c r="G840" s="195" t="s">
        <v>249</v>
      </c>
      <c r="H840" s="39">
        <f>SUM(H841:H843)</f>
        <v>10581.7</v>
      </c>
      <c r="I840" s="39">
        <f t="shared" ref="I840:J840" si="420">SUM(I841:I843)</f>
        <v>9905.6</v>
      </c>
      <c r="J840" s="39">
        <f t="shared" si="420"/>
        <v>9905.6</v>
      </c>
    </row>
    <row r="841" spans="1:10" ht="25.5">
      <c r="A841" s="1"/>
      <c r="B841" s="25"/>
      <c r="C841" s="16" t="s">
        <v>153</v>
      </c>
      <c r="D841" s="16" t="s">
        <v>140</v>
      </c>
      <c r="E841" s="74" t="s">
        <v>103</v>
      </c>
      <c r="F841" s="85" t="s">
        <v>107</v>
      </c>
      <c r="G841" s="55" t="s">
        <v>182</v>
      </c>
      <c r="H841" s="39">
        <v>5635.6</v>
      </c>
      <c r="I841" s="39">
        <f>5969.1-282.1</f>
        <v>5687</v>
      </c>
      <c r="J841" s="39">
        <f>5969.1-282.1</f>
        <v>5687</v>
      </c>
    </row>
    <row r="842" spans="1:10" ht="38.25">
      <c r="A842" s="1"/>
      <c r="B842" s="25"/>
      <c r="C842" s="16" t="s">
        <v>153</v>
      </c>
      <c r="D842" s="16" t="s">
        <v>140</v>
      </c>
      <c r="E842" s="74" t="s">
        <v>103</v>
      </c>
      <c r="F842" s="85" t="s">
        <v>325</v>
      </c>
      <c r="G842" s="103" t="s">
        <v>326</v>
      </c>
      <c r="H842" s="39">
        <f>5463.6+2.1-137.1-18.8-382.5</f>
        <v>4927.3</v>
      </c>
      <c r="I842" s="39">
        <f>4324.1-105.5</f>
        <v>4218.6000000000004</v>
      </c>
      <c r="J842" s="39">
        <f>4324.1-105.5</f>
        <v>4218.6000000000004</v>
      </c>
    </row>
    <row r="843" spans="1:10">
      <c r="A843" s="158"/>
      <c r="B843" s="25"/>
      <c r="C843" s="16" t="s">
        <v>153</v>
      </c>
      <c r="D843" s="16" t="s">
        <v>140</v>
      </c>
      <c r="E843" s="74" t="s">
        <v>103</v>
      </c>
      <c r="F843" s="85" t="s">
        <v>183</v>
      </c>
      <c r="G843" s="103" t="s">
        <v>184</v>
      </c>
      <c r="H843" s="39">
        <v>18.8</v>
      </c>
      <c r="I843" s="39">
        <v>0</v>
      </c>
      <c r="J843" s="39">
        <v>0</v>
      </c>
    </row>
    <row r="844" spans="1:10" ht="51">
      <c r="A844" s="1"/>
      <c r="B844" s="25"/>
      <c r="C844" s="16" t="s">
        <v>153</v>
      </c>
      <c r="D844" s="16" t="s">
        <v>140</v>
      </c>
      <c r="E844" s="74" t="s">
        <v>63</v>
      </c>
      <c r="F844" s="16"/>
      <c r="G844" s="134" t="s">
        <v>251</v>
      </c>
      <c r="H844" s="39">
        <f t="shared" ref="H844:J844" si="421">H845</f>
        <v>30125.599999999999</v>
      </c>
      <c r="I844" s="39">
        <f t="shared" si="421"/>
        <v>26446.5</v>
      </c>
      <c r="J844" s="39">
        <f t="shared" si="421"/>
        <v>26446.5</v>
      </c>
    </row>
    <row r="845" spans="1:10">
      <c r="A845" s="1"/>
      <c r="B845" s="25"/>
      <c r="C845" s="16" t="s">
        <v>153</v>
      </c>
      <c r="D845" s="16" t="s">
        <v>140</v>
      </c>
      <c r="E845" s="74" t="s">
        <v>63</v>
      </c>
      <c r="F845" s="21" t="s">
        <v>344</v>
      </c>
      <c r="G845" s="103" t="s">
        <v>343</v>
      </c>
      <c r="H845" s="158">
        <f>30425.6-300</f>
        <v>30125.599999999999</v>
      </c>
      <c r="I845" s="158">
        <v>26446.5</v>
      </c>
      <c r="J845" s="158">
        <v>26446.5</v>
      </c>
    </row>
    <row r="846" spans="1:10" ht="43.5" customHeight="1">
      <c r="A846" s="1"/>
      <c r="B846" s="25"/>
      <c r="C846" s="16" t="s">
        <v>153</v>
      </c>
      <c r="D846" s="16" t="s">
        <v>140</v>
      </c>
      <c r="E846" s="74" t="s">
        <v>504</v>
      </c>
      <c r="F846" s="85"/>
      <c r="G846" s="103" t="s">
        <v>498</v>
      </c>
      <c r="H846" s="39">
        <f t="shared" ref="H846:I846" si="422">SUM(H847:H848)</f>
        <v>200</v>
      </c>
      <c r="I846" s="39">
        <f t="shared" si="422"/>
        <v>200</v>
      </c>
      <c r="J846" s="39">
        <f t="shared" ref="J846" si="423">SUM(J847:J848)</f>
        <v>200</v>
      </c>
    </row>
    <row r="847" spans="1:10" ht="25.5">
      <c r="A847" s="1"/>
      <c r="B847" s="25"/>
      <c r="C847" s="16" t="s">
        <v>153</v>
      </c>
      <c r="D847" s="16" t="s">
        <v>140</v>
      </c>
      <c r="E847" s="74" t="s">
        <v>504</v>
      </c>
      <c r="F847" s="85" t="s">
        <v>107</v>
      </c>
      <c r="G847" s="55" t="s">
        <v>182</v>
      </c>
      <c r="H847" s="39">
        <v>50</v>
      </c>
      <c r="I847" s="39">
        <v>50</v>
      </c>
      <c r="J847" s="39">
        <v>50</v>
      </c>
    </row>
    <row r="848" spans="1:10">
      <c r="A848" s="1"/>
      <c r="B848" s="25"/>
      <c r="C848" s="16" t="s">
        <v>153</v>
      </c>
      <c r="D848" s="16" t="s">
        <v>140</v>
      </c>
      <c r="E848" s="74" t="s">
        <v>504</v>
      </c>
      <c r="F848" s="21" t="s">
        <v>344</v>
      </c>
      <c r="G848" s="103" t="s">
        <v>343</v>
      </c>
      <c r="H848" s="39">
        <v>150</v>
      </c>
      <c r="I848" s="39">
        <v>150</v>
      </c>
      <c r="J848" s="39">
        <v>150</v>
      </c>
    </row>
    <row r="849" spans="1:10" ht="51">
      <c r="A849" s="158"/>
      <c r="B849" s="25"/>
      <c r="C849" s="16" t="s">
        <v>153</v>
      </c>
      <c r="D849" s="16" t="s">
        <v>140</v>
      </c>
      <c r="E849" s="74">
        <v>210110680</v>
      </c>
      <c r="F849" s="85"/>
      <c r="G849" s="103" t="s">
        <v>634</v>
      </c>
      <c r="H849" s="39">
        <f t="shared" ref="H849:I849" si="424">SUM(H850:H851)</f>
        <v>14365.4</v>
      </c>
      <c r="I849" s="39">
        <f t="shared" si="424"/>
        <v>14365.4</v>
      </c>
      <c r="J849" s="39">
        <f t="shared" ref="J849" si="425">SUM(J850:J851)</f>
        <v>14365.4</v>
      </c>
    </row>
    <row r="850" spans="1:10" ht="25.5">
      <c r="A850" s="158"/>
      <c r="B850" s="25"/>
      <c r="C850" s="16" t="s">
        <v>153</v>
      </c>
      <c r="D850" s="16" t="s">
        <v>140</v>
      </c>
      <c r="E850" s="74">
        <v>210110680</v>
      </c>
      <c r="F850" s="85" t="s">
        <v>107</v>
      </c>
      <c r="G850" s="55" t="s">
        <v>182</v>
      </c>
      <c r="H850" s="39">
        <v>4287.3999999999996</v>
      </c>
      <c r="I850" s="39">
        <v>4287.3999999999996</v>
      </c>
      <c r="J850" s="39">
        <v>4287.3999999999996</v>
      </c>
    </row>
    <row r="851" spans="1:10">
      <c r="A851" s="158"/>
      <c r="B851" s="25"/>
      <c r="C851" s="16" t="s">
        <v>153</v>
      </c>
      <c r="D851" s="16" t="s">
        <v>140</v>
      </c>
      <c r="E851" s="74">
        <v>210110680</v>
      </c>
      <c r="F851" s="21" t="s">
        <v>344</v>
      </c>
      <c r="G851" s="103" t="s">
        <v>343</v>
      </c>
      <c r="H851" s="39">
        <v>10078</v>
      </c>
      <c r="I851" s="39">
        <v>10078</v>
      </c>
      <c r="J851" s="39">
        <v>10078</v>
      </c>
    </row>
    <row r="852" spans="1:10" ht="51">
      <c r="A852" s="1"/>
      <c r="B852" s="25"/>
      <c r="C852" s="16" t="s">
        <v>153</v>
      </c>
      <c r="D852" s="16" t="s">
        <v>140</v>
      </c>
      <c r="E852" s="21" t="s">
        <v>388</v>
      </c>
      <c r="F852" s="35"/>
      <c r="G852" s="107" t="s">
        <v>389</v>
      </c>
      <c r="H852" s="41">
        <f>H853+H855+H857</f>
        <v>2659.1000000000004</v>
      </c>
      <c r="I852" s="41">
        <f t="shared" ref="I852:J852" si="426">I853+I855+I857</f>
        <v>300</v>
      </c>
      <c r="J852" s="41">
        <f t="shared" si="426"/>
        <v>300</v>
      </c>
    </row>
    <row r="853" spans="1:10" ht="38.25">
      <c r="A853" s="158"/>
      <c r="B853" s="25"/>
      <c r="C853" s="16" t="s">
        <v>153</v>
      </c>
      <c r="D853" s="16" t="s">
        <v>140</v>
      </c>
      <c r="E853" s="74" t="s">
        <v>652</v>
      </c>
      <c r="F853" s="72"/>
      <c r="G853" s="103" t="s">
        <v>653</v>
      </c>
      <c r="H853" s="39">
        <f t="shared" ref="H853" si="427">H854</f>
        <v>0</v>
      </c>
      <c r="I853" s="39">
        <f>194.5+105.5</f>
        <v>300</v>
      </c>
      <c r="J853" s="39">
        <f>194.5+105.5</f>
        <v>300</v>
      </c>
    </row>
    <row r="854" spans="1:10" ht="38.25">
      <c r="A854" s="158"/>
      <c r="B854" s="25"/>
      <c r="C854" s="16" t="s">
        <v>153</v>
      </c>
      <c r="D854" s="16" t="s">
        <v>140</v>
      </c>
      <c r="E854" s="74" t="s">
        <v>652</v>
      </c>
      <c r="F854" s="85" t="s">
        <v>325</v>
      </c>
      <c r="G854" s="103" t="s">
        <v>326</v>
      </c>
      <c r="H854" s="39">
        <v>0</v>
      </c>
      <c r="I854" s="39">
        <v>194.5</v>
      </c>
      <c r="J854" s="39">
        <v>194.5</v>
      </c>
    </row>
    <row r="855" spans="1:10" ht="25.5">
      <c r="A855" s="158"/>
      <c r="B855" s="25"/>
      <c r="C855" s="16" t="s">
        <v>153</v>
      </c>
      <c r="D855" s="16" t="s">
        <v>140</v>
      </c>
      <c r="E855" s="74" t="s">
        <v>788</v>
      </c>
      <c r="F855" s="85"/>
      <c r="G855" s="165" t="s">
        <v>789</v>
      </c>
      <c r="H855" s="39">
        <f>H856</f>
        <v>1145.9000000000001</v>
      </c>
      <c r="I855" s="39">
        <f>I856</f>
        <v>0</v>
      </c>
      <c r="J855" s="39">
        <f>J856</f>
        <v>0</v>
      </c>
    </row>
    <row r="856" spans="1:10">
      <c r="A856" s="158"/>
      <c r="B856" s="25"/>
      <c r="C856" s="16" t="s">
        <v>153</v>
      </c>
      <c r="D856" s="16" t="s">
        <v>140</v>
      </c>
      <c r="E856" s="74" t="s">
        <v>788</v>
      </c>
      <c r="F856" s="21" t="s">
        <v>344</v>
      </c>
      <c r="G856" s="103" t="s">
        <v>343</v>
      </c>
      <c r="H856" s="39">
        <f>845.9+300</f>
        <v>1145.9000000000001</v>
      </c>
      <c r="I856" s="39">
        <v>0</v>
      </c>
      <c r="J856" s="39">
        <v>0</v>
      </c>
    </row>
    <row r="857" spans="1:10" ht="51">
      <c r="A857" s="158"/>
      <c r="B857" s="25"/>
      <c r="C857" s="16" t="s">
        <v>153</v>
      </c>
      <c r="D857" s="16" t="s">
        <v>140</v>
      </c>
      <c r="E857" s="164" t="s">
        <v>667</v>
      </c>
      <c r="F857" s="21"/>
      <c r="G857" s="165" t="s">
        <v>668</v>
      </c>
      <c r="H857" s="39">
        <f>H858</f>
        <v>1513.2</v>
      </c>
      <c r="I857" s="39">
        <f t="shared" ref="I857:J857" si="428">I858</f>
        <v>0</v>
      </c>
      <c r="J857" s="39">
        <f t="shared" si="428"/>
        <v>0</v>
      </c>
    </row>
    <row r="858" spans="1:10">
      <c r="A858" s="158"/>
      <c r="B858" s="25"/>
      <c r="C858" s="16" t="s">
        <v>153</v>
      </c>
      <c r="D858" s="16" t="s">
        <v>140</v>
      </c>
      <c r="E858" s="166" t="s">
        <v>667</v>
      </c>
      <c r="F858" s="21" t="s">
        <v>344</v>
      </c>
      <c r="G858" s="103" t="s">
        <v>343</v>
      </c>
      <c r="H858" s="39">
        <f>36+1483.2-6</f>
        <v>1513.2</v>
      </c>
      <c r="I858" s="39">
        <v>0</v>
      </c>
      <c r="J858" s="39">
        <v>0</v>
      </c>
    </row>
    <row r="859" spans="1:10" ht="42.75" customHeight="1">
      <c r="A859" s="158"/>
      <c r="B859" s="25"/>
      <c r="C859" s="16" t="s">
        <v>156</v>
      </c>
      <c r="D859" s="85" t="s">
        <v>145</v>
      </c>
      <c r="E859" s="74" t="s">
        <v>805</v>
      </c>
      <c r="F859" s="21"/>
      <c r="G859" s="103" t="s">
        <v>808</v>
      </c>
      <c r="H859" s="39">
        <f>H860</f>
        <v>101</v>
      </c>
      <c r="I859" s="39">
        <f t="shared" ref="I859:J859" si="429">I860</f>
        <v>0</v>
      </c>
      <c r="J859" s="39">
        <f t="shared" si="429"/>
        <v>0</v>
      </c>
    </row>
    <row r="860" spans="1:10" ht="51">
      <c r="A860" s="158"/>
      <c r="B860" s="25"/>
      <c r="C860" s="16" t="s">
        <v>153</v>
      </c>
      <c r="D860" s="16" t="s">
        <v>140</v>
      </c>
      <c r="E860" s="166" t="s">
        <v>806</v>
      </c>
      <c r="F860" s="85"/>
      <c r="G860" s="165" t="s">
        <v>959</v>
      </c>
      <c r="H860" s="39">
        <f>H861</f>
        <v>101</v>
      </c>
      <c r="I860" s="39">
        <f>I861</f>
        <v>0</v>
      </c>
      <c r="J860" s="39">
        <f>J861</f>
        <v>0</v>
      </c>
    </row>
    <row r="861" spans="1:10">
      <c r="A861" s="158"/>
      <c r="B861" s="25"/>
      <c r="C861" s="16" t="s">
        <v>153</v>
      </c>
      <c r="D861" s="16" t="s">
        <v>140</v>
      </c>
      <c r="E861" s="166" t="s">
        <v>806</v>
      </c>
      <c r="F861" s="21" t="s">
        <v>344</v>
      </c>
      <c r="G861" s="103" t="s">
        <v>343</v>
      </c>
      <c r="H861" s="39">
        <f>1+100</f>
        <v>101</v>
      </c>
      <c r="I861" s="39">
        <v>0</v>
      </c>
      <c r="J861" s="39">
        <v>0</v>
      </c>
    </row>
    <row r="862" spans="1:10" ht="25.5">
      <c r="A862" s="1"/>
      <c r="B862" s="25"/>
      <c r="C862" s="5" t="s">
        <v>153</v>
      </c>
      <c r="D862" s="5" t="s">
        <v>140</v>
      </c>
      <c r="E862" s="87">
        <v>9900000000</v>
      </c>
      <c r="F862" s="73"/>
      <c r="G862" s="154" t="s">
        <v>202</v>
      </c>
      <c r="H862" s="101">
        <f t="shared" ref="H862:J862" si="430">H863</f>
        <v>200</v>
      </c>
      <c r="I862" s="101">
        <f t="shared" si="430"/>
        <v>0</v>
      </c>
      <c r="J862" s="101">
        <f t="shared" si="430"/>
        <v>0</v>
      </c>
    </row>
    <row r="863" spans="1:10" ht="25.5">
      <c r="A863" s="1"/>
      <c r="B863" s="25"/>
      <c r="C863" s="16" t="s">
        <v>153</v>
      </c>
      <c r="D863" s="16" t="s">
        <v>140</v>
      </c>
      <c r="E863" s="85" t="s">
        <v>32</v>
      </c>
      <c r="F863" s="85"/>
      <c r="G863" s="105" t="s">
        <v>56</v>
      </c>
      <c r="H863" s="104">
        <f>H864+H866</f>
        <v>200</v>
      </c>
      <c r="I863" s="104">
        <f t="shared" ref="I863:J863" si="431">I864+I866</f>
        <v>0</v>
      </c>
      <c r="J863" s="104">
        <f t="shared" si="431"/>
        <v>0</v>
      </c>
    </row>
    <row r="864" spans="1:10" ht="38.25">
      <c r="A864" s="1"/>
      <c r="B864" s="25"/>
      <c r="C864" s="16" t="s">
        <v>153</v>
      </c>
      <c r="D864" s="16" t="s">
        <v>140</v>
      </c>
      <c r="E864" s="85" t="s">
        <v>592</v>
      </c>
      <c r="F864" s="16"/>
      <c r="G864" s="54" t="s">
        <v>593</v>
      </c>
      <c r="H864" s="41">
        <f t="shared" ref="H864:J864" si="432">H865</f>
        <v>75</v>
      </c>
      <c r="I864" s="41">
        <f t="shared" si="432"/>
        <v>0</v>
      </c>
      <c r="J864" s="41">
        <f t="shared" si="432"/>
        <v>0</v>
      </c>
    </row>
    <row r="865" spans="1:10" ht="38.25">
      <c r="A865" s="1"/>
      <c r="B865" s="25"/>
      <c r="C865" s="16" t="s">
        <v>153</v>
      </c>
      <c r="D865" s="16" t="s">
        <v>140</v>
      </c>
      <c r="E865" s="85" t="s">
        <v>592</v>
      </c>
      <c r="F865" s="85" t="s">
        <v>325</v>
      </c>
      <c r="G865" s="103" t="s">
        <v>326</v>
      </c>
      <c r="H865" s="99">
        <v>75</v>
      </c>
      <c r="I865" s="99">
        <v>0</v>
      </c>
      <c r="J865" s="99">
        <v>0</v>
      </c>
    </row>
    <row r="866" spans="1:10" ht="38.25">
      <c r="A866" s="158"/>
      <c r="B866" s="25"/>
      <c r="C866" s="16" t="s">
        <v>153</v>
      </c>
      <c r="D866" s="16" t="s">
        <v>140</v>
      </c>
      <c r="E866" s="85" t="s">
        <v>633</v>
      </c>
      <c r="F866" s="85"/>
      <c r="G866" s="54" t="s">
        <v>593</v>
      </c>
      <c r="H866" s="99">
        <f>H867</f>
        <v>125</v>
      </c>
      <c r="I866" s="99">
        <f t="shared" ref="I866:J866" si="433">I867</f>
        <v>0</v>
      </c>
      <c r="J866" s="99">
        <f t="shared" si="433"/>
        <v>0</v>
      </c>
    </row>
    <row r="867" spans="1:10">
      <c r="A867" s="1"/>
      <c r="B867" s="25"/>
      <c r="C867" s="16" t="s">
        <v>153</v>
      </c>
      <c r="D867" s="16" t="s">
        <v>140</v>
      </c>
      <c r="E867" s="85" t="s">
        <v>633</v>
      </c>
      <c r="F867" s="21" t="s">
        <v>344</v>
      </c>
      <c r="G867" s="103" t="s">
        <v>343</v>
      </c>
      <c r="H867" s="99">
        <v>125</v>
      </c>
      <c r="I867" s="99">
        <v>0</v>
      </c>
      <c r="J867" s="99">
        <v>0</v>
      </c>
    </row>
    <row r="868" spans="1:10" s="37" customFormat="1" ht="25.5">
      <c r="A868" s="27"/>
      <c r="B868" s="70"/>
      <c r="C868" s="35" t="s">
        <v>153</v>
      </c>
      <c r="D868" s="35" t="s">
        <v>146</v>
      </c>
      <c r="E868" s="35"/>
      <c r="F868" s="35"/>
      <c r="G868" s="46" t="s">
        <v>7</v>
      </c>
      <c r="H868" s="42">
        <f>H869</f>
        <v>3386.8</v>
      </c>
      <c r="I868" s="42">
        <f t="shared" ref="I868:J868" si="434">I869</f>
        <v>2631.3</v>
      </c>
      <c r="J868" s="42">
        <f t="shared" si="434"/>
        <v>2631.3</v>
      </c>
    </row>
    <row r="869" spans="1:10" s="37" customFormat="1" ht="51.75">
      <c r="A869" s="27"/>
      <c r="B869" s="70"/>
      <c r="C869" s="5" t="s">
        <v>153</v>
      </c>
      <c r="D869" s="5" t="s">
        <v>146</v>
      </c>
      <c r="E869" s="73" t="s">
        <v>101</v>
      </c>
      <c r="F869" s="35"/>
      <c r="G869" s="53" t="s">
        <v>556</v>
      </c>
      <c r="H869" s="65">
        <f>H870+H876</f>
        <v>3386.8</v>
      </c>
      <c r="I869" s="65">
        <f>I870+I876</f>
        <v>2631.3</v>
      </c>
      <c r="J869" s="65">
        <f>J870+J876</f>
        <v>2631.3</v>
      </c>
    </row>
    <row r="870" spans="1:10" s="37" customFormat="1" ht="25.5">
      <c r="A870" s="27"/>
      <c r="B870" s="70"/>
      <c r="C870" s="16" t="s">
        <v>153</v>
      </c>
      <c r="D870" s="16" t="s">
        <v>146</v>
      </c>
      <c r="E870" s="21" t="s">
        <v>102</v>
      </c>
      <c r="F870" s="35"/>
      <c r="G870" s="48" t="s">
        <v>250</v>
      </c>
      <c r="H870" s="42">
        <f t="shared" ref="H870:J870" si="435">H871</f>
        <v>590</v>
      </c>
      <c r="I870" s="42">
        <f t="shared" si="435"/>
        <v>140</v>
      </c>
      <c r="J870" s="42">
        <f t="shared" si="435"/>
        <v>140</v>
      </c>
    </row>
    <row r="871" spans="1:10" s="37" customFormat="1" ht="38.25">
      <c r="A871" s="27"/>
      <c r="B871" s="70"/>
      <c r="C871" s="16" t="s">
        <v>153</v>
      </c>
      <c r="D871" s="16" t="s">
        <v>146</v>
      </c>
      <c r="E871" s="21" t="s">
        <v>390</v>
      </c>
      <c r="F871" s="35"/>
      <c r="G871" s="107" t="s">
        <v>391</v>
      </c>
      <c r="H871" s="41">
        <f>H872+H874</f>
        <v>590</v>
      </c>
      <c r="I871" s="41">
        <f t="shared" ref="I871:J871" si="436">I872+I874</f>
        <v>140</v>
      </c>
      <c r="J871" s="41">
        <f t="shared" si="436"/>
        <v>140</v>
      </c>
    </row>
    <row r="872" spans="1:10" s="37" customFormat="1" ht="51">
      <c r="A872" s="27"/>
      <c r="B872" s="70"/>
      <c r="C872" s="16" t="s">
        <v>153</v>
      </c>
      <c r="D872" s="16" t="s">
        <v>146</v>
      </c>
      <c r="E872" s="21" t="s">
        <v>334</v>
      </c>
      <c r="F872" s="16"/>
      <c r="G872" s="103" t="s">
        <v>254</v>
      </c>
      <c r="H872" s="41">
        <f t="shared" ref="H872:J872" si="437">H873</f>
        <v>490</v>
      </c>
      <c r="I872" s="41">
        <f t="shared" si="437"/>
        <v>140</v>
      </c>
      <c r="J872" s="41">
        <f t="shared" si="437"/>
        <v>140</v>
      </c>
    </row>
    <row r="873" spans="1:10" s="37" customFormat="1" ht="38.25">
      <c r="A873" s="27"/>
      <c r="B873" s="70"/>
      <c r="C873" s="16" t="s">
        <v>153</v>
      </c>
      <c r="D873" s="16" t="s">
        <v>146</v>
      </c>
      <c r="E873" s="21" t="s">
        <v>334</v>
      </c>
      <c r="F873" s="85" t="s">
        <v>325</v>
      </c>
      <c r="G873" s="103" t="s">
        <v>326</v>
      </c>
      <c r="H873" s="41">
        <f>200+90+200</f>
        <v>490</v>
      </c>
      <c r="I873" s="41">
        <v>140</v>
      </c>
      <c r="J873" s="41">
        <v>140</v>
      </c>
    </row>
    <row r="874" spans="1:10" s="37" customFormat="1" ht="38.25">
      <c r="A874" s="27"/>
      <c r="B874" s="70"/>
      <c r="C874" s="16" t="s">
        <v>153</v>
      </c>
      <c r="D874" s="16" t="s">
        <v>146</v>
      </c>
      <c r="E874" s="21" t="s">
        <v>830</v>
      </c>
      <c r="F874" s="85"/>
      <c r="G874" s="103" t="s">
        <v>831</v>
      </c>
      <c r="H874" s="41">
        <v>100</v>
      </c>
      <c r="I874" s="41">
        <v>0</v>
      </c>
      <c r="J874" s="41">
        <v>0</v>
      </c>
    </row>
    <row r="875" spans="1:10" s="37" customFormat="1" ht="38.25">
      <c r="A875" s="27"/>
      <c r="B875" s="70"/>
      <c r="C875" s="16" t="s">
        <v>153</v>
      </c>
      <c r="D875" s="16" t="s">
        <v>146</v>
      </c>
      <c r="E875" s="21" t="s">
        <v>830</v>
      </c>
      <c r="F875" s="85" t="s">
        <v>325</v>
      </c>
      <c r="G875" s="103" t="s">
        <v>326</v>
      </c>
      <c r="H875" s="41">
        <v>100</v>
      </c>
      <c r="I875" s="41">
        <v>0</v>
      </c>
      <c r="J875" s="41">
        <v>0</v>
      </c>
    </row>
    <row r="876" spans="1:10" s="37" customFormat="1" ht="14.25">
      <c r="A876" s="27"/>
      <c r="B876" s="70"/>
      <c r="C876" s="16" t="s">
        <v>153</v>
      </c>
      <c r="D876" s="16" t="s">
        <v>146</v>
      </c>
      <c r="E876" s="52" t="s">
        <v>43</v>
      </c>
      <c r="F876" s="21"/>
      <c r="G876" s="66" t="s">
        <v>70</v>
      </c>
      <c r="H876" s="58">
        <f t="shared" ref="H876:J876" si="438">H877</f>
        <v>2796.8</v>
      </c>
      <c r="I876" s="58">
        <f t="shared" si="438"/>
        <v>2491.3000000000002</v>
      </c>
      <c r="J876" s="58">
        <f t="shared" si="438"/>
        <v>2491.3000000000002</v>
      </c>
    </row>
    <row r="877" spans="1:10" s="37" customFormat="1" ht="63.75">
      <c r="A877" s="27"/>
      <c r="B877" s="70"/>
      <c r="C877" s="16" t="s">
        <v>153</v>
      </c>
      <c r="D877" s="16" t="s">
        <v>146</v>
      </c>
      <c r="E877" s="82" t="s">
        <v>263</v>
      </c>
      <c r="F877" s="21"/>
      <c r="G877" s="103" t="s">
        <v>397</v>
      </c>
      <c r="H877" s="99">
        <f>SUM(H878:H879)</f>
        <v>2796.8</v>
      </c>
      <c r="I877" s="99">
        <f>SUM(I878:I879)</f>
        <v>2491.3000000000002</v>
      </c>
      <c r="J877" s="99">
        <f>SUM(J878:J879)</f>
        <v>2491.3000000000002</v>
      </c>
    </row>
    <row r="878" spans="1:10" s="37" customFormat="1" ht="38.25">
      <c r="A878" s="27"/>
      <c r="B878" s="70"/>
      <c r="C878" s="16" t="s">
        <v>153</v>
      </c>
      <c r="D878" s="16" t="s">
        <v>146</v>
      </c>
      <c r="E878" s="82" t="s">
        <v>263</v>
      </c>
      <c r="F878" s="16" t="s">
        <v>105</v>
      </c>
      <c r="G878" s="55" t="s">
        <v>106</v>
      </c>
      <c r="H878" s="99">
        <v>2762.5</v>
      </c>
      <c r="I878" s="99">
        <v>2463.5</v>
      </c>
      <c r="J878" s="99">
        <v>2463.5</v>
      </c>
    </row>
    <row r="879" spans="1:10" s="37" customFormat="1" ht="38.25">
      <c r="A879" s="27"/>
      <c r="B879" s="70"/>
      <c r="C879" s="16" t="s">
        <v>153</v>
      </c>
      <c r="D879" s="16" t="s">
        <v>146</v>
      </c>
      <c r="E879" s="82" t="s">
        <v>263</v>
      </c>
      <c r="F879" s="85" t="s">
        <v>325</v>
      </c>
      <c r="G879" s="103" t="s">
        <v>326</v>
      </c>
      <c r="H879" s="41">
        <v>34.299999999999997</v>
      </c>
      <c r="I879" s="41">
        <v>27.8</v>
      </c>
      <c r="J879" s="41">
        <v>27.8</v>
      </c>
    </row>
    <row r="880" spans="1:10" ht="15.75">
      <c r="A880" s="1"/>
      <c r="B880" s="25"/>
      <c r="C880" s="4" t="s">
        <v>154</v>
      </c>
      <c r="D880" s="3"/>
      <c r="E880" s="3"/>
      <c r="F880" s="3"/>
      <c r="G880" s="49" t="s">
        <v>175</v>
      </c>
      <c r="H880" s="97">
        <f t="shared" ref="H880:J883" si="439">H881</f>
        <v>918.7</v>
      </c>
      <c r="I880" s="97">
        <f t="shared" si="439"/>
        <v>666.09999999999991</v>
      </c>
      <c r="J880" s="97">
        <f t="shared" si="439"/>
        <v>666.09999999999991</v>
      </c>
    </row>
    <row r="881" spans="1:10" ht="14.25">
      <c r="A881" s="1"/>
      <c r="B881" s="25"/>
      <c r="C881" s="35" t="s">
        <v>154</v>
      </c>
      <c r="D881" s="35" t="s">
        <v>141</v>
      </c>
      <c r="E881" s="35"/>
      <c r="F881" s="35"/>
      <c r="G881" s="46" t="s">
        <v>6</v>
      </c>
      <c r="H881" s="42">
        <f t="shared" si="439"/>
        <v>918.7</v>
      </c>
      <c r="I881" s="42">
        <f t="shared" si="439"/>
        <v>666.09999999999991</v>
      </c>
      <c r="J881" s="42">
        <f t="shared" si="439"/>
        <v>666.09999999999991</v>
      </c>
    </row>
    <row r="882" spans="1:10" ht="51">
      <c r="A882" s="1"/>
      <c r="B882" s="25"/>
      <c r="C882" s="16" t="s">
        <v>154</v>
      </c>
      <c r="D882" s="16" t="s">
        <v>141</v>
      </c>
      <c r="E882" s="73" t="s">
        <v>101</v>
      </c>
      <c r="F882" s="35"/>
      <c r="G882" s="53" t="s">
        <v>556</v>
      </c>
      <c r="H882" s="62">
        <f t="shared" si="439"/>
        <v>918.7</v>
      </c>
      <c r="I882" s="62">
        <f t="shared" si="439"/>
        <v>666.09999999999991</v>
      </c>
      <c r="J882" s="62">
        <f t="shared" si="439"/>
        <v>666.09999999999991</v>
      </c>
    </row>
    <row r="883" spans="1:10" ht="26.25" customHeight="1">
      <c r="A883" s="1"/>
      <c r="B883" s="25"/>
      <c r="C883" s="47" t="s">
        <v>154</v>
      </c>
      <c r="D883" s="47" t="s">
        <v>141</v>
      </c>
      <c r="E883" s="52" t="s">
        <v>65</v>
      </c>
      <c r="F883" s="35"/>
      <c r="G883" s="48" t="s">
        <v>303</v>
      </c>
      <c r="H883" s="58">
        <f t="shared" si="439"/>
        <v>918.7</v>
      </c>
      <c r="I883" s="58">
        <f t="shared" si="439"/>
        <v>666.09999999999991</v>
      </c>
      <c r="J883" s="58">
        <f t="shared" si="439"/>
        <v>666.09999999999991</v>
      </c>
    </row>
    <row r="884" spans="1:10" ht="89.25">
      <c r="A884" s="1"/>
      <c r="B884" s="25"/>
      <c r="C884" s="16" t="s">
        <v>154</v>
      </c>
      <c r="D884" s="16" t="s">
        <v>141</v>
      </c>
      <c r="E884" s="21" t="s">
        <v>392</v>
      </c>
      <c r="F884" s="35"/>
      <c r="G884" s="105" t="s">
        <v>393</v>
      </c>
      <c r="H884" s="58">
        <f>H885+H887+H890</f>
        <v>918.7</v>
      </c>
      <c r="I884" s="58">
        <f>I885+I887+I890</f>
        <v>666.09999999999991</v>
      </c>
      <c r="J884" s="58">
        <f>J885+J887+J890</f>
        <v>666.09999999999991</v>
      </c>
    </row>
    <row r="885" spans="1:10" ht="77.25" customHeight="1">
      <c r="A885" s="1"/>
      <c r="B885" s="25"/>
      <c r="C885" s="16" t="s">
        <v>154</v>
      </c>
      <c r="D885" s="16" t="s">
        <v>141</v>
      </c>
      <c r="E885" s="21" t="s">
        <v>66</v>
      </c>
      <c r="F885" s="21"/>
      <c r="G885" s="105" t="s">
        <v>256</v>
      </c>
      <c r="H885" s="39">
        <f t="shared" ref="H885:J885" si="440">H886</f>
        <v>282.2</v>
      </c>
      <c r="I885" s="39">
        <f t="shared" si="440"/>
        <v>282.2</v>
      </c>
      <c r="J885" s="39">
        <f t="shared" si="440"/>
        <v>282.2</v>
      </c>
    </row>
    <row r="886" spans="1:10" ht="38.25">
      <c r="A886" s="1"/>
      <c r="B886" s="25"/>
      <c r="C886" s="16" t="s">
        <v>154</v>
      </c>
      <c r="D886" s="16" t="s">
        <v>141</v>
      </c>
      <c r="E886" s="21" t="s">
        <v>66</v>
      </c>
      <c r="F886" s="85" t="s">
        <v>325</v>
      </c>
      <c r="G886" s="103" t="s">
        <v>326</v>
      </c>
      <c r="H886" s="39">
        <v>282.2</v>
      </c>
      <c r="I886" s="39">
        <v>282.2</v>
      </c>
      <c r="J886" s="39">
        <v>282.2</v>
      </c>
    </row>
    <row r="887" spans="1:10" ht="48.75" customHeight="1">
      <c r="A887" s="1"/>
      <c r="B887" s="25"/>
      <c r="C887" s="16" t="s">
        <v>154</v>
      </c>
      <c r="D887" s="16" t="s">
        <v>141</v>
      </c>
      <c r="E887" s="21" t="s">
        <v>67</v>
      </c>
      <c r="F887" s="21"/>
      <c r="G887" s="105" t="s">
        <v>104</v>
      </c>
      <c r="H887" s="39">
        <f t="shared" ref="H887:I887" si="441">SUM(H888:H889)</f>
        <v>52.4</v>
      </c>
      <c r="I887" s="39">
        <f t="shared" si="441"/>
        <v>383.9</v>
      </c>
      <c r="J887" s="39">
        <f t="shared" ref="J887" si="442">SUM(J888:J889)</f>
        <v>383.9</v>
      </c>
    </row>
    <row r="888" spans="1:10" ht="25.5">
      <c r="A888" s="1"/>
      <c r="B888" s="25"/>
      <c r="C888" s="16" t="s">
        <v>154</v>
      </c>
      <c r="D888" s="16" t="s">
        <v>141</v>
      </c>
      <c r="E888" s="21" t="s">
        <v>67</v>
      </c>
      <c r="F888" s="85" t="s">
        <v>107</v>
      </c>
      <c r="G888" s="55" t="s">
        <v>182</v>
      </c>
      <c r="H888" s="39">
        <v>27.4</v>
      </c>
      <c r="I888" s="39">
        <v>283.89999999999998</v>
      </c>
      <c r="J888" s="39">
        <v>283.89999999999998</v>
      </c>
    </row>
    <row r="889" spans="1:10" ht="38.25">
      <c r="A889" s="1"/>
      <c r="B889" s="25"/>
      <c r="C889" s="16" t="s">
        <v>154</v>
      </c>
      <c r="D889" s="16" t="s">
        <v>141</v>
      </c>
      <c r="E889" s="21" t="s">
        <v>67</v>
      </c>
      <c r="F889" s="85" t="s">
        <v>325</v>
      </c>
      <c r="G889" s="103" t="s">
        <v>326</v>
      </c>
      <c r="H889" s="39">
        <v>25</v>
      </c>
      <c r="I889" s="39">
        <v>100</v>
      </c>
      <c r="J889" s="39">
        <v>100</v>
      </c>
    </row>
    <row r="890" spans="1:10" ht="25.5">
      <c r="A890" s="158"/>
      <c r="B890" s="25"/>
      <c r="C890" s="16" t="s">
        <v>154</v>
      </c>
      <c r="D890" s="16" t="s">
        <v>141</v>
      </c>
      <c r="E890" s="21" t="s">
        <v>911</v>
      </c>
      <c r="F890" s="85"/>
      <c r="G890" s="103" t="s">
        <v>912</v>
      </c>
      <c r="H890" s="39">
        <f>H891</f>
        <v>584.1</v>
      </c>
      <c r="I890" s="39">
        <f t="shared" ref="I890:J890" si="443">I891</f>
        <v>0</v>
      </c>
      <c r="J890" s="39">
        <f t="shared" si="443"/>
        <v>0</v>
      </c>
    </row>
    <row r="891" spans="1:10" ht="38.25">
      <c r="A891" s="158"/>
      <c r="B891" s="25"/>
      <c r="C891" s="16" t="s">
        <v>154</v>
      </c>
      <c r="D891" s="16" t="s">
        <v>141</v>
      </c>
      <c r="E891" s="21" t="s">
        <v>911</v>
      </c>
      <c r="F891" s="85" t="s">
        <v>325</v>
      </c>
      <c r="G891" s="103" t="s">
        <v>326</v>
      </c>
      <c r="H891" s="39">
        <v>584.1</v>
      </c>
      <c r="I891" s="39">
        <v>0</v>
      </c>
      <c r="J891" s="39">
        <v>0</v>
      </c>
    </row>
    <row r="892" spans="1:10" s="8" customFormat="1" ht="72">
      <c r="A892" s="3">
        <v>6</v>
      </c>
      <c r="B892" s="96">
        <v>902</v>
      </c>
      <c r="C892" s="13"/>
      <c r="D892" s="13"/>
      <c r="E892" s="13"/>
      <c r="F892" s="13"/>
      <c r="G892" s="14" t="s">
        <v>297</v>
      </c>
      <c r="H892" s="97">
        <f>H893+H905</f>
        <v>9424.1999999999989</v>
      </c>
      <c r="I892" s="97">
        <f>I893+I905</f>
        <v>9486.1999999999989</v>
      </c>
      <c r="J892" s="97">
        <f>J893+J905</f>
        <v>9486.1999999999989</v>
      </c>
    </row>
    <row r="893" spans="1:10" ht="15.75">
      <c r="A893" s="3"/>
      <c r="B893" s="96"/>
      <c r="C893" s="4" t="s">
        <v>140</v>
      </c>
      <c r="D893" s="11"/>
      <c r="E893" s="11"/>
      <c r="F893" s="11"/>
      <c r="G893" s="15" t="s">
        <v>143</v>
      </c>
      <c r="H893" s="97">
        <f>H894+H901</f>
        <v>9389.1999999999989</v>
      </c>
      <c r="I893" s="97">
        <f>I894+I901</f>
        <v>9486.1999999999989</v>
      </c>
      <c r="J893" s="97">
        <f>J894+J901</f>
        <v>9486.1999999999989</v>
      </c>
    </row>
    <row r="894" spans="1:10" s="37" customFormat="1" ht="51">
      <c r="A894" s="27"/>
      <c r="B894" s="70"/>
      <c r="C894" s="35" t="s">
        <v>140</v>
      </c>
      <c r="D894" s="35" t="s">
        <v>148</v>
      </c>
      <c r="E894" s="35"/>
      <c r="F894" s="35"/>
      <c r="G894" s="46" t="s">
        <v>177</v>
      </c>
      <c r="H894" s="42">
        <f t="shared" ref="H894:J895" si="444">SUM(H895)</f>
        <v>9239.1999999999989</v>
      </c>
      <c r="I894" s="42">
        <f t="shared" si="444"/>
        <v>9236.1999999999989</v>
      </c>
      <c r="J894" s="42">
        <f t="shared" si="444"/>
        <v>9236.1999999999989</v>
      </c>
    </row>
    <row r="895" spans="1:10" ht="25.5">
      <c r="A895" s="1"/>
      <c r="B895" s="25"/>
      <c r="C895" s="16" t="s">
        <v>140</v>
      </c>
      <c r="D895" s="16" t="s">
        <v>148</v>
      </c>
      <c r="E895" s="80">
        <v>9900000000</v>
      </c>
      <c r="F895" s="16"/>
      <c r="G895" s="55" t="s">
        <v>201</v>
      </c>
      <c r="H895" s="39">
        <f t="shared" si="444"/>
        <v>9239.1999999999989</v>
      </c>
      <c r="I895" s="39">
        <f t="shared" si="444"/>
        <v>9236.1999999999989</v>
      </c>
      <c r="J895" s="39">
        <f t="shared" si="444"/>
        <v>9236.1999999999989</v>
      </c>
    </row>
    <row r="896" spans="1:10" ht="38.25">
      <c r="A896" s="1"/>
      <c r="B896" s="25"/>
      <c r="C896" s="16" t="s">
        <v>140</v>
      </c>
      <c r="D896" s="16" t="s">
        <v>148</v>
      </c>
      <c r="E896" s="80">
        <v>9980000000</v>
      </c>
      <c r="F896" s="16"/>
      <c r="G896" s="54" t="s">
        <v>38</v>
      </c>
      <c r="H896" s="39">
        <f t="shared" ref="H896:J896" si="445">H897</f>
        <v>9239.1999999999989</v>
      </c>
      <c r="I896" s="39">
        <f t="shared" si="445"/>
        <v>9236.1999999999989</v>
      </c>
      <c r="J896" s="39">
        <f t="shared" si="445"/>
        <v>9236.1999999999989</v>
      </c>
    </row>
    <row r="897" spans="1:12">
      <c r="A897" s="1"/>
      <c r="B897" s="25"/>
      <c r="C897" s="16" t="s">
        <v>140</v>
      </c>
      <c r="D897" s="16" t="s">
        <v>148</v>
      </c>
      <c r="E897" s="80" t="s">
        <v>53</v>
      </c>
      <c r="F897" s="21"/>
      <c r="G897" s="105" t="s">
        <v>167</v>
      </c>
      <c r="H897" s="39">
        <f>SUM(H898:H900)</f>
        <v>9239.1999999999989</v>
      </c>
      <c r="I897" s="39">
        <f t="shared" ref="I897:J897" si="446">SUM(I898:I900)</f>
        <v>9236.1999999999989</v>
      </c>
      <c r="J897" s="39">
        <f t="shared" si="446"/>
        <v>9236.1999999999989</v>
      </c>
    </row>
    <row r="898" spans="1:12" ht="38.25">
      <c r="A898" s="1"/>
      <c r="B898" s="25"/>
      <c r="C898" s="16" t="s">
        <v>140</v>
      </c>
      <c r="D898" s="16" t="s">
        <v>148</v>
      </c>
      <c r="E898" s="80" t="s">
        <v>53</v>
      </c>
      <c r="F898" s="16" t="s">
        <v>105</v>
      </c>
      <c r="G898" s="108" t="s">
        <v>106</v>
      </c>
      <c r="H898" s="39">
        <v>8788.2999999999993</v>
      </c>
      <c r="I898" s="39">
        <v>8788.2999999999993</v>
      </c>
      <c r="J898" s="39">
        <v>8788.2999999999993</v>
      </c>
    </row>
    <row r="899" spans="1:12" ht="38.25">
      <c r="A899" s="1"/>
      <c r="B899" s="25"/>
      <c r="C899" s="16" t="s">
        <v>140</v>
      </c>
      <c r="D899" s="16" t="s">
        <v>148</v>
      </c>
      <c r="E899" s="80" t="s">
        <v>53</v>
      </c>
      <c r="F899" s="85" t="s">
        <v>325</v>
      </c>
      <c r="G899" s="103" t="s">
        <v>326</v>
      </c>
      <c r="H899" s="39">
        <f>447.9</f>
        <v>447.9</v>
      </c>
      <c r="I899" s="39">
        <v>447.9</v>
      </c>
      <c r="J899" s="39">
        <v>447.9</v>
      </c>
    </row>
    <row r="900" spans="1:12">
      <c r="A900" s="1"/>
      <c r="B900" s="25"/>
      <c r="C900" s="16" t="s">
        <v>140</v>
      </c>
      <c r="D900" s="16" t="s">
        <v>148</v>
      </c>
      <c r="E900" s="80" t="s">
        <v>53</v>
      </c>
      <c r="F900" s="85" t="s">
        <v>475</v>
      </c>
      <c r="G900" s="103" t="s">
        <v>476</v>
      </c>
      <c r="H900" s="39">
        <v>3</v>
      </c>
      <c r="I900" s="39">
        <v>0</v>
      </c>
      <c r="J900" s="39">
        <v>0</v>
      </c>
    </row>
    <row r="901" spans="1:12" ht="14.25">
      <c r="A901" s="1"/>
      <c r="B901" s="25"/>
      <c r="C901" s="35" t="s">
        <v>140</v>
      </c>
      <c r="D901" s="35" t="s">
        <v>154</v>
      </c>
      <c r="E901" s="35"/>
      <c r="F901" s="35"/>
      <c r="G901" s="27" t="s">
        <v>5</v>
      </c>
      <c r="H901" s="42">
        <f t="shared" ref="H901:J903" si="447">H902</f>
        <v>150</v>
      </c>
      <c r="I901" s="42">
        <f t="shared" si="447"/>
        <v>250</v>
      </c>
      <c r="J901" s="42">
        <f t="shared" si="447"/>
        <v>250</v>
      </c>
    </row>
    <row r="902" spans="1:12" ht="14.25">
      <c r="A902" s="1"/>
      <c r="B902" s="25"/>
      <c r="C902" s="16" t="s">
        <v>140</v>
      </c>
      <c r="D902" s="16" t="s">
        <v>154</v>
      </c>
      <c r="E902" s="80">
        <v>9920000000</v>
      </c>
      <c r="F902" s="35"/>
      <c r="G902" s="168" t="s">
        <v>5</v>
      </c>
      <c r="H902" s="42">
        <f t="shared" si="447"/>
        <v>150</v>
      </c>
      <c r="I902" s="42">
        <f t="shared" si="447"/>
        <v>250</v>
      </c>
      <c r="J902" s="42">
        <f t="shared" si="447"/>
        <v>250</v>
      </c>
    </row>
    <row r="903" spans="1:12" ht="25.5">
      <c r="A903" s="1"/>
      <c r="B903" s="25"/>
      <c r="C903" s="16" t="s">
        <v>140</v>
      </c>
      <c r="D903" s="16" t="s">
        <v>154</v>
      </c>
      <c r="E903" s="80" t="s">
        <v>54</v>
      </c>
      <c r="F903" s="21"/>
      <c r="G903" s="105" t="s">
        <v>13</v>
      </c>
      <c r="H903" s="39">
        <f t="shared" si="447"/>
        <v>150</v>
      </c>
      <c r="I903" s="39">
        <f t="shared" si="447"/>
        <v>250</v>
      </c>
      <c r="J903" s="39">
        <f t="shared" si="447"/>
        <v>250</v>
      </c>
    </row>
    <row r="904" spans="1:12">
      <c r="A904" s="1"/>
      <c r="B904" s="25"/>
      <c r="C904" s="16" t="s">
        <v>140</v>
      </c>
      <c r="D904" s="16" t="s">
        <v>154</v>
      </c>
      <c r="E904" s="80" t="s">
        <v>54</v>
      </c>
      <c r="F904" s="16" t="s">
        <v>136</v>
      </c>
      <c r="G904" s="103" t="s">
        <v>137</v>
      </c>
      <c r="H904" s="39">
        <f>250-50-50</f>
        <v>150</v>
      </c>
      <c r="I904" s="39">
        <v>250</v>
      </c>
      <c r="J904" s="39">
        <v>250</v>
      </c>
    </row>
    <row r="905" spans="1:12" ht="30">
      <c r="A905" s="1"/>
      <c r="B905" s="25"/>
      <c r="C905" s="4" t="s">
        <v>9</v>
      </c>
      <c r="D905" s="3"/>
      <c r="E905" s="10"/>
      <c r="F905" s="16"/>
      <c r="G905" s="49" t="s">
        <v>11</v>
      </c>
      <c r="H905" s="97">
        <f t="shared" ref="H905:J909" si="448">H906</f>
        <v>35</v>
      </c>
      <c r="I905" s="97">
        <f t="shared" si="448"/>
        <v>0</v>
      </c>
      <c r="J905" s="97">
        <f t="shared" si="448"/>
        <v>0</v>
      </c>
    </row>
    <row r="906" spans="1:12" ht="25.5">
      <c r="A906" s="1"/>
      <c r="B906" s="25"/>
      <c r="C906" s="47" t="s">
        <v>9</v>
      </c>
      <c r="D906" s="47" t="s">
        <v>140</v>
      </c>
      <c r="E906" s="48"/>
      <c r="F906" s="47"/>
      <c r="G906" s="48" t="s">
        <v>295</v>
      </c>
      <c r="H906" s="98">
        <f t="shared" si="448"/>
        <v>35</v>
      </c>
      <c r="I906" s="98">
        <f t="shared" si="448"/>
        <v>0</v>
      </c>
      <c r="J906" s="98">
        <f t="shared" si="448"/>
        <v>0</v>
      </c>
    </row>
    <row r="907" spans="1:12" ht="25.5">
      <c r="A907" s="1"/>
      <c r="B907" s="25"/>
      <c r="C907" s="16" t="s">
        <v>9</v>
      </c>
      <c r="D907" s="16" t="s">
        <v>140</v>
      </c>
      <c r="E907" s="80">
        <v>9900000000</v>
      </c>
      <c r="F907" s="35"/>
      <c r="G907" s="55" t="s">
        <v>202</v>
      </c>
      <c r="H907" s="39">
        <f t="shared" si="448"/>
        <v>35</v>
      </c>
      <c r="I907" s="39">
        <f t="shared" si="448"/>
        <v>0</v>
      </c>
      <c r="J907" s="39">
        <f t="shared" si="448"/>
        <v>0</v>
      </c>
    </row>
    <row r="908" spans="1:12" ht="25.5">
      <c r="A908" s="1"/>
      <c r="B908" s="25"/>
      <c r="C908" s="16" t="s">
        <v>9</v>
      </c>
      <c r="D908" s="16" t="s">
        <v>140</v>
      </c>
      <c r="E908" s="80">
        <v>9940000000</v>
      </c>
      <c r="F908" s="16"/>
      <c r="G908" s="22" t="s">
        <v>56</v>
      </c>
      <c r="H908" s="39">
        <f t="shared" si="448"/>
        <v>35</v>
      </c>
      <c r="I908" s="39">
        <f t="shared" si="448"/>
        <v>0</v>
      </c>
      <c r="J908" s="39">
        <f t="shared" si="448"/>
        <v>0</v>
      </c>
    </row>
    <row r="909" spans="1:12" ht="25.5">
      <c r="A909" s="1"/>
      <c r="B909" s="25"/>
      <c r="C909" s="16" t="s">
        <v>9</v>
      </c>
      <c r="D909" s="16" t="s">
        <v>140</v>
      </c>
      <c r="E909" s="80" t="s">
        <v>432</v>
      </c>
      <c r="F909" s="16"/>
      <c r="G909" s="134" t="s">
        <v>12</v>
      </c>
      <c r="H909" s="39">
        <f t="shared" si="448"/>
        <v>35</v>
      </c>
      <c r="I909" s="39">
        <f t="shared" si="448"/>
        <v>0</v>
      </c>
      <c r="J909" s="39">
        <f t="shared" si="448"/>
        <v>0</v>
      </c>
      <c r="L909" s="109"/>
    </row>
    <row r="910" spans="1:12">
      <c r="A910" s="1"/>
      <c r="B910" s="25"/>
      <c r="C910" s="16" t="s">
        <v>9</v>
      </c>
      <c r="D910" s="16" t="s">
        <v>140</v>
      </c>
      <c r="E910" s="80" t="s">
        <v>432</v>
      </c>
      <c r="F910" s="16" t="s">
        <v>17</v>
      </c>
      <c r="G910" s="103" t="s">
        <v>18</v>
      </c>
      <c r="H910" s="39">
        <v>35</v>
      </c>
      <c r="I910" s="39">
        <v>0</v>
      </c>
      <c r="J910" s="39"/>
      <c r="L910" s="109"/>
    </row>
    <row r="911" spans="1:12">
      <c r="L911" s="109"/>
    </row>
    <row r="912" spans="1:12">
      <c r="K912" s="159"/>
    </row>
  </sheetData>
  <mergeCells count="14">
    <mergeCell ref="B9:C9"/>
    <mergeCell ref="B10:C10"/>
    <mergeCell ref="B11:C11"/>
    <mergeCell ref="A19:A20"/>
    <mergeCell ref="A16:J16"/>
    <mergeCell ref="E18:E20"/>
    <mergeCell ref="F18:F20"/>
    <mergeCell ref="G18:G20"/>
    <mergeCell ref="H18:J18"/>
    <mergeCell ref="I19:J19"/>
    <mergeCell ref="C18:C20"/>
    <mergeCell ref="B18:B20"/>
    <mergeCell ref="H19:H20"/>
    <mergeCell ref="D18:D20"/>
  </mergeCells>
  <phoneticPr fontId="2" type="noConversion"/>
  <pageMargins left="0.75" right="0.75" top="0.9" bottom="1" header="0.5" footer="0.5"/>
  <pageSetup paperSize="9" scale="94" fitToHeight="0" orientation="portrait" r:id="rId1"/>
  <headerFooter alignWithMargins="0">
    <oddFooter>&amp;R&amp;P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codeName="Лист4">
    <pageSetUpPr fitToPage="1"/>
  </sheetPr>
  <dimension ref="A1:G740"/>
  <sheetViews>
    <sheetView view="pageBreakPreview" zoomScale="60" zoomScaleNormal="100" workbookViewId="0">
      <selection activeCell="D5" sqref="D5"/>
    </sheetView>
  </sheetViews>
  <sheetFormatPr defaultColWidth="9.140625" defaultRowHeight="12.75"/>
  <cols>
    <col min="1" max="1" width="11.85546875" style="95" customWidth="1"/>
    <col min="2" max="2" width="3.28515625" style="95" customWidth="1"/>
    <col min="3" max="3" width="39.7109375" style="95" customWidth="1"/>
    <col min="4" max="4" width="11.85546875" style="95" customWidth="1"/>
    <col min="5" max="6" width="10.7109375" style="95" customWidth="1"/>
    <col min="7" max="7" width="9.5703125" style="95" bestFit="1" customWidth="1"/>
    <col min="8" max="16384" width="9.140625" style="95"/>
  </cols>
  <sheetData>
    <row r="1" spans="1:7">
      <c r="C1" s="170" t="s">
        <v>497</v>
      </c>
    </row>
    <row r="2" spans="1:7">
      <c r="C2" s="170" t="s">
        <v>196</v>
      </c>
    </row>
    <row r="3" spans="1:7">
      <c r="C3" s="170" t="s">
        <v>1004</v>
      </c>
    </row>
    <row r="4" spans="1:7">
      <c r="C4" s="170" t="s">
        <v>773</v>
      </c>
    </row>
    <row r="5" spans="1:7">
      <c r="C5" s="170" t="s">
        <v>774</v>
      </c>
    </row>
    <row r="6" spans="1:7">
      <c r="C6" s="170" t="s">
        <v>200</v>
      </c>
    </row>
    <row r="7" spans="1:7">
      <c r="C7" s="170" t="s">
        <v>711</v>
      </c>
    </row>
    <row r="10" spans="1:7">
      <c r="C10" s="170" t="s">
        <v>190</v>
      </c>
      <c r="D10" s="92"/>
      <c r="E10" s="93"/>
      <c r="F10" s="93"/>
    </row>
    <row r="11" spans="1:7">
      <c r="C11" s="170" t="s">
        <v>690</v>
      </c>
      <c r="D11" s="92"/>
      <c r="E11" s="93"/>
      <c r="F11" s="93"/>
    </row>
    <row r="12" spans="1:7">
      <c r="C12" s="170" t="s">
        <v>761</v>
      </c>
      <c r="D12" s="92"/>
      <c r="E12" s="93"/>
      <c r="F12" s="93"/>
    </row>
    <row r="13" spans="1:7">
      <c r="C13" s="170" t="s">
        <v>200</v>
      </c>
      <c r="D13" s="92"/>
      <c r="E13" s="93"/>
      <c r="F13" s="93"/>
    </row>
    <row r="14" spans="1:7">
      <c r="C14" s="170" t="s">
        <v>711</v>
      </c>
      <c r="D14" s="44"/>
    </row>
    <row r="15" spans="1:7">
      <c r="C15" s="89"/>
      <c r="D15" s="44"/>
    </row>
    <row r="16" spans="1:7" ht="64.5" customHeight="1">
      <c r="A16" s="216" t="s">
        <v>722</v>
      </c>
      <c r="B16" s="235"/>
      <c r="C16" s="235"/>
      <c r="D16" s="235"/>
      <c r="E16" s="235"/>
      <c r="F16" s="235"/>
      <c r="G16" s="137"/>
    </row>
    <row r="17" spans="1:7" ht="15">
      <c r="A17" s="133"/>
      <c r="B17" s="136"/>
      <c r="C17" s="136"/>
      <c r="D17" s="136"/>
      <c r="E17" s="136"/>
      <c r="F17" s="136"/>
      <c r="G17" s="137"/>
    </row>
    <row r="18" spans="1:7">
      <c r="D18" s="6"/>
    </row>
    <row r="19" spans="1:7">
      <c r="A19" s="222" t="s">
        <v>171</v>
      </c>
      <c r="B19" s="222" t="s">
        <v>165</v>
      </c>
      <c r="C19" s="232" t="s">
        <v>408</v>
      </c>
      <c r="D19" s="228" t="s">
        <v>951</v>
      </c>
      <c r="E19" s="215"/>
      <c r="F19" s="215"/>
    </row>
    <row r="20" spans="1:7">
      <c r="A20" s="223"/>
      <c r="B20" s="223"/>
      <c r="C20" s="233"/>
      <c r="D20" s="232" t="s">
        <v>525</v>
      </c>
      <c r="E20" s="215" t="s">
        <v>197</v>
      </c>
      <c r="F20" s="215"/>
    </row>
    <row r="21" spans="1:7">
      <c r="A21" s="224"/>
      <c r="B21" s="224"/>
      <c r="C21" s="234"/>
      <c r="D21" s="234"/>
      <c r="E21" s="1" t="s">
        <v>719</v>
      </c>
      <c r="F21" s="1" t="s">
        <v>713</v>
      </c>
    </row>
    <row r="22" spans="1:7">
      <c r="A22" s="2">
        <v>3</v>
      </c>
      <c r="B22" s="2">
        <v>4</v>
      </c>
      <c r="C22" s="2">
        <v>5</v>
      </c>
      <c r="D22" s="2">
        <v>6</v>
      </c>
      <c r="E22" s="2">
        <v>7</v>
      </c>
      <c r="F22" s="2">
        <v>8</v>
      </c>
    </row>
    <row r="23" spans="1:7" ht="18">
      <c r="A23" s="2"/>
      <c r="B23" s="2"/>
      <c r="C23" s="9" t="s">
        <v>144</v>
      </c>
      <c r="D23" s="161">
        <f>D24+D672</f>
        <v>1188431.3999999997</v>
      </c>
      <c r="E23" s="161">
        <f>E24+E672</f>
        <v>895629.59999999986</v>
      </c>
      <c r="F23" s="161">
        <f>F24+F672</f>
        <v>892250.29999999993</v>
      </c>
    </row>
    <row r="24" spans="1:7" ht="15.75">
      <c r="A24" s="2"/>
      <c r="B24" s="2"/>
      <c r="C24" s="3" t="s">
        <v>651</v>
      </c>
      <c r="D24" s="161">
        <f>D25+D127+D208+D232+D276+D302+D307+D362+D382+D417+D424+D449+D608+D633+D652</f>
        <v>1075663.4999999998</v>
      </c>
      <c r="E24" s="161">
        <f>E25+E127+E208+E232+E276+E302+E307+E362+E382+E417+E424+E449+E608+E633+E652</f>
        <v>793913.99999999988</v>
      </c>
      <c r="F24" s="161">
        <f>F25+F127+F208+F232+F276+F302+F307+F362+F382+F417+F424+F449+F608+F633+F652</f>
        <v>790659.2</v>
      </c>
    </row>
    <row r="25" spans="1:7" ht="38.25">
      <c r="A25" s="73" t="s">
        <v>121</v>
      </c>
      <c r="B25" s="35"/>
      <c r="C25" s="64" t="s">
        <v>552</v>
      </c>
      <c r="D25" s="62">
        <f>D26+D111+D122</f>
        <v>607232.69999999984</v>
      </c>
      <c r="E25" s="62">
        <f>E26+E111+E122</f>
        <v>514293.89999999991</v>
      </c>
      <c r="F25" s="62">
        <f>F26+F111+F122</f>
        <v>516045.09999999986</v>
      </c>
      <c r="G25" s="109"/>
    </row>
    <row r="26" spans="1:7" ht="25.5">
      <c r="A26" s="52" t="s">
        <v>122</v>
      </c>
      <c r="B26" s="35"/>
      <c r="C26" s="46" t="s">
        <v>62</v>
      </c>
      <c r="D26" s="99">
        <f>D27+D32+D76+D79+D94</f>
        <v>599802.99999999988</v>
      </c>
      <c r="E26" s="99">
        <f>E27+E32+E76+E79+E94</f>
        <v>506925.39999999991</v>
      </c>
      <c r="F26" s="99">
        <f>F27+F32+F76+F79+F94</f>
        <v>508676.59999999986</v>
      </c>
      <c r="G26" s="109"/>
    </row>
    <row r="27" spans="1:7" ht="25.5">
      <c r="A27" s="21" t="s">
        <v>558</v>
      </c>
      <c r="B27" s="35"/>
      <c r="C27" s="102" t="s">
        <v>426</v>
      </c>
      <c r="D27" s="99">
        <f>D28+D30</f>
        <v>16190.7</v>
      </c>
      <c r="E27" s="99">
        <f>E28+E30</f>
        <v>16140.6</v>
      </c>
      <c r="F27" s="99">
        <f>F28+F30</f>
        <v>16140.6</v>
      </c>
      <c r="G27" s="109"/>
    </row>
    <row r="28" spans="1:7" ht="38.25">
      <c r="A28" s="21" t="s">
        <v>559</v>
      </c>
      <c r="B28" s="21"/>
      <c r="C28" s="103" t="s">
        <v>74</v>
      </c>
      <c r="D28" s="99">
        <f>D29</f>
        <v>176.1</v>
      </c>
      <c r="E28" s="99">
        <f>E29</f>
        <v>126</v>
      </c>
      <c r="F28" s="99">
        <f>F29</f>
        <v>126</v>
      </c>
      <c r="G28" s="109"/>
    </row>
    <row r="29" spans="1:7" ht="38.25">
      <c r="A29" s="21" t="s">
        <v>559</v>
      </c>
      <c r="B29" s="85" t="s">
        <v>325</v>
      </c>
      <c r="C29" s="103" t="s">
        <v>326</v>
      </c>
      <c r="D29" s="99">
        <v>176.1</v>
      </c>
      <c r="E29" s="99">
        <v>126</v>
      </c>
      <c r="F29" s="99">
        <v>126</v>
      </c>
      <c r="G29" s="109"/>
    </row>
    <row r="30" spans="1:7" ht="51">
      <c r="A30" s="57" t="s">
        <v>709</v>
      </c>
      <c r="B30" s="21"/>
      <c r="C30" s="103" t="s">
        <v>710</v>
      </c>
      <c r="D30" s="99">
        <f>D31</f>
        <v>16014.6</v>
      </c>
      <c r="E30" s="99">
        <f>E31</f>
        <v>16014.6</v>
      </c>
      <c r="F30" s="99">
        <f>F31</f>
        <v>16014.6</v>
      </c>
      <c r="G30" s="109"/>
    </row>
    <row r="31" spans="1:7">
      <c r="A31" s="57" t="s">
        <v>709</v>
      </c>
      <c r="B31" s="21" t="s">
        <v>344</v>
      </c>
      <c r="C31" s="103" t="s">
        <v>343</v>
      </c>
      <c r="D31" s="99">
        <v>16014.6</v>
      </c>
      <c r="E31" s="99">
        <v>16014.6</v>
      </c>
      <c r="F31" s="99">
        <v>16014.6</v>
      </c>
      <c r="G31" s="109"/>
    </row>
    <row r="32" spans="1:7" ht="25.5">
      <c r="A32" s="21" t="s">
        <v>427</v>
      </c>
      <c r="B32" s="35"/>
      <c r="C32" s="102" t="s">
        <v>429</v>
      </c>
      <c r="D32" s="99">
        <f>D33+D35+D37+D39+D41+D43+D46+D48+D50+D52+D54+Z46+D56+D58+D60+D62+D64+D66+D68+D70+D72+D74</f>
        <v>521342.69999999995</v>
      </c>
      <c r="E32" s="99">
        <f t="shared" ref="E32:F32" si="0">E33+E35+E37+E39+E41+E43+E46+E48+E50+E52+E54+AA46+E56+E58+E60+E62+E64+E66+E68+E70+E72+E74</f>
        <v>431650.89999999997</v>
      </c>
      <c r="F32" s="99">
        <f t="shared" si="0"/>
        <v>433573.09999999992</v>
      </c>
      <c r="G32" s="109"/>
    </row>
    <row r="33" spans="1:7" ht="63.75">
      <c r="A33" s="21" t="s">
        <v>560</v>
      </c>
      <c r="B33" s="35"/>
      <c r="C33" s="120" t="s">
        <v>430</v>
      </c>
      <c r="D33" s="99">
        <f>D34</f>
        <v>198.79999999999995</v>
      </c>
      <c r="E33" s="99">
        <f>E34</f>
        <v>0</v>
      </c>
      <c r="F33" s="99">
        <f>F34</f>
        <v>0</v>
      </c>
      <c r="G33" s="109"/>
    </row>
    <row r="34" spans="1:7">
      <c r="A34" s="21" t="s">
        <v>560</v>
      </c>
      <c r="B34" s="85" t="s">
        <v>344</v>
      </c>
      <c r="C34" s="103" t="s">
        <v>343</v>
      </c>
      <c r="D34" s="99">
        <f>1676.5-113.2-1364.5</f>
        <v>198.79999999999995</v>
      </c>
      <c r="E34" s="99">
        <v>0</v>
      </c>
      <c r="F34" s="99">
        <v>0</v>
      </c>
      <c r="G34" s="109"/>
    </row>
    <row r="35" spans="1:7" ht="51">
      <c r="A35" s="21" t="s">
        <v>671</v>
      </c>
      <c r="B35" s="57"/>
      <c r="C35" s="120" t="s">
        <v>672</v>
      </c>
      <c r="D35" s="99">
        <f t="shared" ref="D35:F35" si="1">D36</f>
        <v>794.39999999999986</v>
      </c>
      <c r="E35" s="99">
        <f t="shared" si="1"/>
        <v>0</v>
      </c>
      <c r="F35" s="99">
        <f t="shared" si="1"/>
        <v>0</v>
      </c>
      <c r="G35" s="109"/>
    </row>
    <row r="36" spans="1:7">
      <c r="A36" s="21" t="s">
        <v>671</v>
      </c>
      <c r="B36" s="21" t="s">
        <v>344</v>
      </c>
      <c r="C36" s="103" t="s">
        <v>343</v>
      </c>
      <c r="D36" s="99">
        <f>1247.1-452.7</f>
        <v>794.39999999999986</v>
      </c>
      <c r="E36" s="99">
        <v>0</v>
      </c>
      <c r="F36" s="99">
        <v>0</v>
      </c>
      <c r="G36" s="109"/>
    </row>
    <row r="37" spans="1:7" ht="63.75">
      <c r="A37" s="57" t="s">
        <v>561</v>
      </c>
      <c r="B37" s="21"/>
      <c r="C37" s="103" t="s">
        <v>188</v>
      </c>
      <c r="D37" s="99">
        <f t="shared" ref="D37:F37" si="2">D38</f>
        <v>15127.4</v>
      </c>
      <c r="E37" s="99">
        <f t="shared" si="2"/>
        <v>15703.5</v>
      </c>
      <c r="F37" s="99">
        <f t="shared" si="2"/>
        <v>15703.5</v>
      </c>
      <c r="G37" s="109"/>
    </row>
    <row r="38" spans="1:7">
      <c r="A38" s="57" t="s">
        <v>561</v>
      </c>
      <c r="B38" s="21" t="s">
        <v>344</v>
      </c>
      <c r="C38" s="103" t="s">
        <v>343</v>
      </c>
      <c r="D38" s="99">
        <v>15127.4</v>
      </c>
      <c r="E38" s="99">
        <v>15703.5</v>
      </c>
      <c r="F38" s="99">
        <v>15703.5</v>
      </c>
      <c r="G38" s="174"/>
    </row>
    <row r="39" spans="1:7" ht="63.75">
      <c r="A39" s="57" t="s">
        <v>563</v>
      </c>
      <c r="B39" s="21"/>
      <c r="C39" s="103" t="s">
        <v>431</v>
      </c>
      <c r="D39" s="99">
        <f t="shared" ref="D39:F39" si="3">D40</f>
        <v>59767.5</v>
      </c>
      <c r="E39" s="99">
        <f t="shared" si="3"/>
        <v>58978.8</v>
      </c>
      <c r="F39" s="99">
        <f t="shared" si="3"/>
        <v>58978.8</v>
      </c>
      <c r="G39" s="109"/>
    </row>
    <row r="40" spans="1:7">
      <c r="A40" s="57" t="s">
        <v>563</v>
      </c>
      <c r="B40" s="21" t="s">
        <v>344</v>
      </c>
      <c r="C40" s="103" t="s">
        <v>343</v>
      </c>
      <c r="D40" s="99">
        <f>58939.1+25+717.4+86</f>
        <v>59767.5</v>
      </c>
      <c r="E40" s="99">
        <v>58978.8</v>
      </c>
      <c r="F40" s="99">
        <v>58978.8</v>
      </c>
      <c r="G40" s="109"/>
    </row>
    <row r="41" spans="1:7" ht="63.75">
      <c r="A41" s="57" t="s">
        <v>564</v>
      </c>
      <c r="B41" s="57"/>
      <c r="C41" s="103" t="s">
        <v>61</v>
      </c>
      <c r="D41" s="99">
        <f t="shared" ref="D41:F41" si="4">D42</f>
        <v>78093.799999999988</v>
      </c>
      <c r="E41" s="99">
        <f t="shared" si="4"/>
        <v>75533.399999999994</v>
      </c>
      <c r="F41" s="99">
        <f t="shared" si="4"/>
        <v>75533.399999999994</v>
      </c>
      <c r="G41" s="109"/>
    </row>
    <row r="42" spans="1:7">
      <c r="A42" s="57" t="s">
        <v>564</v>
      </c>
      <c r="B42" s="85" t="s">
        <v>344</v>
      </c>
      <c r="C42" s="103" t="s">
        <v>343</v>
      </c>
      <c r="D42" s="99">
        <f>75533.4+2560.4</f>
        <v>78093.799999999988</v>
      </c>
      <c r="E42" s="99">
        <v>75533.399999999994</v>
      </c>
      <c r="F42" s="99">
        <v>75533.399999999994</v>
      </c>
      <c r="G42" s="109"/>
    </row>
    <row r="43" spans="1:7" ht="38.25">
      <c r="A43" s="84" t="s">
        <v>565</v>
      </c>
      <c r="B43" s="21"/>
      <c r="C43" s="103" t="s">
        <v>437</v>
      </c>
      <c r="D43" s="99">
        <f t="shared" ref="D43:E43" si="5">SUM(D44:D45)</f>
        <v>11425.4</v>
      </c>
      <c r="E43" s="99">
        <f t="shared" si="5"/>
        <v>11425.4</v>
      </c>
      <c r="F43" s="99">
        <f t="shared" ref="F43" si="6">SUM(F44:F45)</f>
        <v>11425.4</v>
      </c>
      <c r="G43" s="109"/>
    </row>
    <row r="44" spans="1:7" ht="38.25">
      <c r="A44" s="84" t="s">
        <v>565</v>
      </c>
      <c r="B44" s="85" t="s">
        <v>325</v>
      </c>
      <c r="C44" s="103" t="s">
        <v>326</v>
      </c>
      <c r="D44" s="99">
        <v>260</v>
      </c>
      <c r="E44" s="99">
        <v>260</v>
      </c>
      <c r="F44" s="99">
        <v>260</v>
      </c>
      <c r="G44" s="109"/>
    </row>
    <row r="45" spans="1:7" ht="27.75" customHeight="1">
      <c r="A45" s="84" t="s">
        <v>565</v>
      </c>
      <c r="B45" s="85" t="s">
        <v>396</v>
      </c>
      <c r="C45" s="103" t="s">
        <v>383</v>
      </c>
      <c r="D45" s="99">
        <v>11165.4</v>
      </c>
      <c r="E45" s="99">
        <v>11165.4</v>
      </c>
      <c r="F45" s="99">
        <v>11165.4</v>
      </c>
      <c r="G45" s="109"/>
    </row>
    <row r="46" spans="1:7" ht="63.75">
      <c r="A46" s="57" t="s">
        <v>562</v>
      </c>
      <c r="B46" s="21"/>
      <c r="C46" s="103" t="s">
        <v>438</v>
      </c>
      <c r="D46" s="99">
        <f t="shared" ref="D46:F46" si="7">D47</f>
        <v>73784.5</v>
      </c>
      <c r="E46" s="99">
        <f t="shared" si="7"/>
        <v>68841.600000000006</v>
      </c>
      <c r="F46" s="99">
        <f t="shared" si="7"/>
        <v>70746.7</v>
      </c>
      <c r="G46" s="109"/>
    </row>
    <row r="47" spans="1:7">
      <c r="A47" s="57" t="s">
        <v>562</v>
      </c>
      <c r="B47" s="21" t="s">
        <v>344</v>
      </c>
      <c r="C47" s="103" t="s">
        <v>343</v>
      </c>
      <c r="D47" s="99">
        <f>74196.9+368-1468.4+627.1+18.4+35+7.5</f>
        <v>73784.5</v>
      </c>
      <c r="E47" s="99">
        <v>68841.600000000006</v>
      </c>
      <c r="F47" s="99">
        <v>70746.7</v>
      </c>
      <c r="G47" s="109"/>
    </row>
    <row r="48" spans="1:7" ht="63.75">
      <c r="A48" s="57" t="s">
        <v>566</v>
      </c>
      <c r="B48" s="21"/>
      <c r="C48" s="103" t="s">
        <v>439</v>
      </c>
      <c r="D48" s="99">
        <f t="shared" ref="D48:F48" si="8">D49</f>
        <v>211989.7</v>
      </c>
      <c r="E48" s="99">
        <f t="shared" si="8"/>
        <v>193610.4</v>
      </c>
      <c r="F48" s="99">
        <f t="shared" si="8"/>
        <v>193610.4</v>
      </c>
      <c r="G48" s="109"/>
    </row>
    <row r="49" spans="1:7">
      <c r="A49" s="57" t="s">
        <v>566</v>
      </c>
      <c r="B49" s="21" t="s">
        <v>344</v>
      </c>
      <c r="C49" s="103" t="s">
        <v>343</v>
      </c>
      <c r="D49" s="99">
        <f>193610.4+12075.7+6303.6</f>
        <v>211989.7</v>
      </c>
      <c r="E49" s="99">
        <v>193610.4</v>
      </c>
      <c r="F49" s="99">
        <v>193610.4</v>
      </c>
      <c r="G49" s="109"/>
    </row>
    <row r="50" spans="1:7" ht="89.25">
      <c r="A50" s="21" t="s">
        <v>567</v>
      </c>
      <c r="B50" s="35"/>
      <c r="C50" s="103" t="s">
        <v>265</v>
      </c>
      <c r="D50" s="99">
        <f t="shared" ref="D50:F50" si="9">D51</f>
        <v>1116</v>
      </c>
      <c r="E50" s="99">
        <f t="shared" si="9"/>
        <v>1116</v>
      </c>
      <c r="F50" s="99">
        <f t="shared" si="9"/>
        <v>1116</v>
      </c>
      <c r="G50" s="109"/>
    </row>
    <row r="51" spans="1:7" ht="25.5">
      <c r="A51" s="21" t="s">
        <v>567</v>
      </c>
      <c r="B51" s="84" t="s">
        <v>420</v>
      </c>
      <c r="C51" s="103" t="s">
        <v>421</v>
      </c>
      <c r="D51" s="99">
        <v>1116</v>
      </c>
      <c r="E51" s="99">
        <v>1116</v>
      </c>
      <c r="F51" s="99">
        <v>1116</v>
      </c>
      <c r="G51" s="109"/>
    </row>
    <row r="52" spans="1:7" ht="25.5">
      <c r="A52" s="21" t="s">
        <v>568</v>
      </c>
      <c r="B52" s="16"/>
      <c r="C52" s="103" t="s">
        <v>440</v>
      </c>
      <c r="D52" s="99">
        <f t="shared" ref="D52:F52" si="10">D53</f>
        <v>25.799999999999997</v>
      </c>
      <c r="E52" s="99">
        <f t="shared" si="10"/>
        <v>79.099999999999994</v>
      </c>
      <c r="F52" s="99">
        <f t="shared" si="10"/>
        <v>79.099999999999994</v>
      </c>
      <c r="G52" s="109"/>
    </row>
    <row r="53" spans="1:7" ht="25.5">
      <c r="A53" s="21" t="s">
        <v>568</v>
      </c>
      <c r="B53" s="85" t="s">
        <v>107</v>
      </c>
      <c r="C53" s="55" t="s">
        <v>182</v>
      </c>
      <c r="D53" s="99">
        <f>68.3-42.5</f>
        <v>25.799999999999997</v>
      </c>
      <c r="E53" s="99">
        <v>79.099999999999994</v>
      </c>
      <c r="F53" s="99">
        <v>79.099999999999994</v>
      </c>
      <c r="G53" s="109"/>
    </row>
    <row r="54" spans="1:7" ht="38.25">
      <c r="A54" s="57" t="s">
        <v>569</v>
      </c>
      <c r="B54" s="21"/>
      <c r="C54" s="103" t="s">
        <v>483</v>
      </c>
      <c r="D54" s="99">
        <f t="shared" ref="D54:F54" si="11">D55</f>
        <v>4827.3</v>
      </c>
      <c r="E54" s="99">
        <f t="shared" si="11"/>
        <v>4827.3</v>
      </c>
      <c r="F54" s="99">
        <f t="shared" si="11"/>
        <v>4827.3</v>
      </c>
      <c r="G54" s="109"/>
    </row>
    <row r="55" spans="1:7">
      <c r="A55" s="57" t="s">
        <v>569</v>
      </c>
      <c r="B55" s="21" t="s">
        <v>344</v>
      </c>
      <c r="C55" s="103" t="s">
        <v>343</v>
      </c>
      <c r="D55" s="99">
        <v>4827.3</v>
      </c>
      <c r="E55" s="99">
        <v>4827.3</v>
      </c>
      <c r="F55" s="99">
        <v>4827.3</v>
      </c>
      <c r="G55" s="109"/>
    </row>
    <row r="56" spans="1:7" ht="48.75" customHeight="1">
      <c r="A56" s="57" t="s">
        <v>688</v>
      </c>
      <c r="B56" s="57"/>
      <c r="C56" s="165" t="s">
        <v>689</v>
      </c>
      <c r="D56" s="99">
        <f t="shared" ref="D56:F56" si="12">D57</f>
        <v>1699</v>
      </c>
      <c r="E56" s="99">
        <f t="shared" si="12"/>
        <v>1000</v>
      </c>
      <c r="F56" s="99">
        <f t="shared" si="12"/>
        <v>1000</v>
      </c>
      <c r="G56" s="109"/>
    </row>
    <row r="57" spans="1:7">
      <c r="A57" s="57" t="s">
        <v>688</v>
      </c>
      <c r="B57" s="21" t="s">
        <v>344</v>
      </c>
      <c r="C57" s="103" t="s">
        <v>343</v>
      </c>
      <c r="D57" s="99">
        <f>2030-331</f>
        <v>1699</v>
      </c>
      <c r="E57" s="99">
        <v>1000</v>
      </c>
      <c r="F57" s="99">
        <v>1000</v>
      </c>
      <c r="G57" s="109"/>
    </row>
    <row r="58" spans="1:7" ht="63.75">
      <c r="A58" s="57" t="s">
        <v>971</v>
      </c>
      <c r="B58" s="57"/>
      <c r="C58" s="103" t="s">
        <v>972</v>
      </c>
      <c r="D58" s="99">
        <f>D59</f>
        <v>44.5</v>
      </c>
      <c r="E58" s="99">
        <f t="shared" ref="E58:F58" si="13">E59</f>
        <v>0</v>
      </c>
      <c r="F58" s="99">
        <f t="shared" si="13"/>
        <v>0</v>
      </c>
      <c r="G58" s="109"/>
    </row>
    <row r="59" spans="1:7">
      <c r="A59" s="57" t="s">
        <v>971</v>
      </c>
      <c r="B59" s="21" t="s">
        <v>344</v>
      </c>
      <c r="C59" s="103" t="s">
        <v>343</v>
      </c>
      <c r="D59" s="99">
        <v>44.5</v>
      </c>
      <c r="E59" s="99">
        <v>0</v>
      </c>
      <c r="F59" s="99">
        <v>0</v>
      </c>
      <c r="G59" s="109"/>
    </row>
    <row r="60" spans="1:7" ht="48.75" customHeight="1">
      <c r="A60" s="57" t="s">
        <v>686</v>
      </c>
      <c r="B60" s="21"/>
      <c r="C60" s="165" t="s">
        <v>687</v>
      </c>
      <c r="D60" s="99">
        <f t="shared" ref="D60:F60" si="14">D61</f>
        <v>925.19999999999993</v>
      </c>
      <c r="E60" s="99">
        <f t="shared" si="14"/>
        <v>535.4</v>
      </c>
      <c r="F60" s="99">
        <f t="shared" si="14"/>
        <v>552.5</v>
      </c>
      <c r="G60" s="109"/>
    </row>
    <row r="61" spans="1:7">
      <c r="A61" s="57" t="s">
        <v>686</v>
      </c>
      <c r="B61" s="21" t="s">
        <v>344</v>
      </c>
      <c r="C61" s="103" t="s">
        <v>343</v>
      </c>
      <c r="D61" s="99">
        <f>1020-104.7+9.9</f>
        <v>925.19999999999993</v>
      </c>
      <c r="E61" s="99">
        <v>535.4</v>
      </c>
      <c r="F61" s="99">
        <v>552.5</v>
      </c>
      <c r="G61" s="109"/>
    </row>
    <row r="62" spans="1:7" ht="38.25">
      <c r="A62" s="21" t="s">
        <v>698</v>
      </c>
      <c r="B62" s="35"/>
      <c r="C62" s="120" t="s">
        <v>699</v>
      </c>
      <c r="D62" s="99">
        <f>D63</f>
        <v>503.5</v>
      </c>
      <c r="E62" s="99">
        <f>E63</f>
        <v>0</v>
      </c>
      <c r="F62" s="99">
        <f>F63</f>
        <v>0</v>
      </c>
      <c r="G62" s="109"/>
    </row>
    <row r="63" spans="1:7">
      <c r="A63" s="21" t="s">
        <v>698</v>
      </c>
      <c r="B63" s="21" t="s">
        <v>344</v>
      </c>
      <c r="C63" s="103" t="s">
        <v>343</v>
      </c>
      <c r="D63" s="99">
        <f>830-326.5</f>
        <v>503.5</v>
      </c>
      <c r="E63" s="99">
        <v>0</v>
      </c>
      <c r="F63" s="99"/>
      <c r="G63" s="109"/>
    </row>
    <row r="64" spans="1:7" ht="51">
      <c r="A64" s="21" t="s">
        <v>704</v>
      </c>
      <c r="B64" s="21"/>
      <c r="C64" s="165" t="s">
        <v>705</v>
      </c>
      <c r="D64" s="99">
        <f>D65</f>
        <v>2010.6000000000001</v>
      </c>
      <c r="E64" s="99">
        <f>E65</f>
        <v>0</v>
      </c>
      <c r="F64" s="99">
        <f>F65</f>
        <v>0</v>
      </c>
      <c r="G64" s="109"/>
    </row>
    <row r="65" spans="1:7">
      <c r="A65" s="21" t="s">
        <v>704</v>
      </c>
      <c r="B65" s="21" t="s">
        <v>344</v>
      </c>
      <c r="C65" s="103" t="s">
        <v>343</v>
      </c>
      <c r="D65" s="99">
        <f>3317.3-1306.7</f>
        <v>2010.6000000000001</v>
      </c>
      <c r="E65" s="99">
        <v>0</v>
      </c>
      <c r="F65" s="99"/>
      <c r="G65" s="109"/>
    </row>
    <row r="66" spans="1:7" ht="51">
      <c r="A66" s="57" t="s">
        <v>896</v>
      </c>
      <c r="B66" s="21"/>
      <c r="C66" s="102" t="s">
        <v>897</v>
      </c>
      <c r="D66" s="99">
        <f>D67</f>
        <v>87</v>
      </c>
      <c r="E66" s="99">
        <f t="shared" ref="E66:F66" si="15">E67</f>
        <v>0</v>
      </c>
      <c r="F66" s="99">
        <f t="shared" si="15"/>
        <v>0</v>
      </c>
      <c r="G66" s="109"/>
    </row>
    <row r="67" spans="1:7">
      <c r="A67" s="57" t="s">
        <v>896</v>
      </c>
      <c r="B67" s="21" t="s">
        <v>344</v>
      </c>
      <c r="C67" s="184" t="s">
        <v>343</v>
      </c>
      <c r="D67" s="99">
        <f>326.5-239.5</f>
        <v>87</v>
      </c>
      <c r="E67" s="99">
        <v>0</v>
      </c>
      <c r="F67" s="99">
        <v>0</v>
      </c>
      <c r="G67" s="109"/>
    </row>
    <row r="68" spans="1:7" ht="51">
      <c r="A68" s="57" t="s">
        <v>745</v>
      </c>
      <c r="B68" s="21"/>
      <c r="C68" s="103" t="s">
        <v>765</v>
      </c>
      <c r="D68" s="99">
        <f>D69</f>
        <v>493.8</v>
      </c>
      <c r="E68" s="99">
        <f t="shared" ref="E68:F68" si="16">E69</f>
        <v>0</v>
      </c>
      <c r="F68" s="99">
        <f t="shared" si="16"/>
        <v>0</v>
      </c>
      <c r="G68" s="109"/>
    </row>
    <row r="69" spans="1:7">
      <c r="A69" s="57" t="s">
        <v>745</v>
      </c>
      <c r="B69" s="21" t="s">
        <v>344</v>
      </c>
      <c r="C69" s="103" t="s">
        <v>343</v>
      </c>
      <c r="D69" s="99">
        <f>508.8-15</f>
        <v>493.8</v>
      </c>
      <c r="E69" s="99">
        <v>0</v>
      </c>
      <c r="F69" s="99">
        <v>0</v>
      </c>
      <c r="G69" s="109"/>
    </row>
    <row r="70" spans="1:7" ht="51">
      <c r="A70" s="57" t="s">
        <v>746</v>
      </c>
      <c r="B70" s="21"/>
      <c r="C70" s="103" t="s">
        <v>766</v>
      </c>
      <c r="D70" s="99">
        <f>D71</f>
        <v>331.8</v>
      </c>
      <c r="E70" s="99">
        <f t="shared" ref="E70:F70" si="17">E71</f>
        <v>0</v>
      </c>
      <c r="F70" s="99">
        <f t="shared" si="17"/>
        <v>0</v>
      </c>
      <c r="G70" s="109"/>
    </row>
    <row r="71" spans="1:7">
      <c r="A71" s="57" t="s">
        <v>746</v>
      </c>
      <c r="B71" s="21" t="s">
        <v>344</v>
      </c>
      <c r="C71" s="103" t="s">
        <v>343</v>
      </c>
      <c r="D71" s="99">
        <f>341.7-9.9</f>
        <v>331.8</v>
      </c>
      <c r="E71" s="99">
        <v>0</v>
      </c>
      <c r="F71" s="99">
        <v>0</v>
      </c>
      <c r="G71" s="109"/>
    </row>
    <row r="72" spans="1:7" ht="51">
      <c r="A72" s="57" t="s">
        <v>787</v>
      </c>
      <c r="B72" s="21"/>
      <c r="C72" s="165" t="s">
        <v>786</v>
      </c>
      <c r="D72" s="99">
        <f>D73</f>
        <v>33612.400000000001</v>
      </c>
      <c r="E72" s="99">
        <f t="shared" ref="E72:F72" si="18">E73</f>
        <v>0</v>
      </c>
      <c r="F72" s="99">
        <f t="shared" si="18"/>
        <v>0</v>
      </c>
      <c r="G72" s="109"/>
    </row>
    <row r="73" spans="1:7">
      <c r="A73" s="57" t="s">
        <v>787</v>
      </c>
      <c r="B73" s="21" t="s">
        <v>344</v>
      </c>
      <c r="C73" s="103" t="s">
        <v>343</v>
      </c>
      <c r="D73" s="99">
        <f>4500-393+113.2-408.8+29600+186+15</f>
        <v>33612.400000000001</v>
      </c>
      <c r="E73" s="99">
        <v>0</v>
      </c>
      <c r="F73" s="99">
        <v>0</v>
      </c>
      <c r="G73" s="109"/>
    </row>
    <row r="74" spans="1:7" ht="63.75">
      <c r="A74" s="57" t="s">
        <v>961</v>
      </c>
      <c r="B74" s="57"/>
      <c r="C74" s="165" t="s">
        <v>960</v>
      </c>
      <c r="D74" s="99">
        <f>D75</f>
        <v>24484.3</v>
      </c>
      <c r="E74" s="99">
        <f t="shared" ref="E74:F74" si="19">E75</f>
        <v>0</v>
      </c>
      <c r="F74" s="99">
        <f t="shared" si="19"/>
        <v>0</v>
      </c>
      <c r="G74" s="109"/>
    </row>
    <row r="75" spans="1:7">
      <c r="A75" s="57" t="s">
        <v>961</v>
      </c>
      <c r="B75" s="21" t="s">
        <v>344</v>
      </c>
      <c r="C75" s="103" t="s">
        <v>343</v>
      </c>
      <c r="D75" s="99">
        <f>2448.5+22035.8</f>
        <v>24484.3</v>
      </c>
      <c r="E75" s="99">
        <v>0</v>
      </c>
      <c r="F75" s="99">
        <v>0</v>
      </c>
      <c r="G75" s="109"/>
    </row>
    <row r="76" spans="1:7" ht="25.5">
      <c r="A76" s="21" t="s">
        <v>428</v>
      </c>
      <c r="B76" s="16"/>
      <c r="C76" s="102" t="s">
        <v>441</v>
      </c>
      <c r="D76" s="41">
        <f t="shared" ref="D76:F76" si="20">D77</f>
        <v>110</v>
      </c>
      <c r="E76" s="41">
        <f t="shared" si="20"/>
        <v>250</v>
      </c>
      <c r="F76" s="41">
        <f t="shared" si="20"/>
        <v>250</v>
      </c>
      <c r="G76" s="109"/>
    </row>
    <row r="77" spans="1:7" ht="38.25">
      <c r="A77" s="21" t="s">
        <v>570</v>
      </c>
      <c r="B77" s="35"/>
      <c r="C77" s="103" t="s">
        <v>68</v>
      </c>
      <c r="D77" s="41">
        <f>SUM(D78:D78)</f>
        <v>110</v>
      </c>
      <c r="E77" s="41">
        <f>SUM(E78:E78)</f>
        <v>250</v>
      </c>
      <c r="F77" s="41">
        <f>SUM(F78:F78)</f>
        <v>250</v>
      </c>
      <c r="G77" s="109"/>
    </row>
    <row r="78" spans="1:7" ht="25.5">
      <c r="A78" s="21" t="s">
        <v>570</v>
      </c>
      <c r="B78" s="85" t="s">
        <v>107</v>
      </c>
      <c r="C78" s="55" t="s">
        <v>182</v>
      </c>
      <c r="D78" s="41">
        <f>250-140</f>
        <v>110</v>
      </c>
      <c r="E78" s="41">
        <v>250</v>
      </c>
      <c r="F78" s="41">
        <v>250</v>
      </c>
      <c r="G78" s="109"/>
    </row>
    <row r="79" spans="1:7" ht="51">
      <c r="A79" s="21" t="s">
        <v>443</v>
      </c>
      <c r="B79" s="16"/>
      <c r="C79" s="102" t="s">
        <v>442</v>
      </c>
      <c r="D79" s="41">
        <f>D80+D82+D85+D87+D90+D92</f>
        <v>22245.599999999999</v>
      </c>
      <c r="E79" s="41">
        <f t="shared" ref="E79:F79" si="21">E80+E82+E85+E87+E90+E92</f>
        <v>22388.799999999999</v>
      </c>
      <c r="F79" s="41">
        <f t="shared" si="21"/>
        <v>22217.8</v>
      </c>
      <c r="G79" s="109"/>
    </row>
    <row r="80" spans="1:7">
      <c r="A80" s="57" t="s">
        <v>571</v>
      </c>
      <c r="B80" s="21"/>
      <c r="C80" s="103" t="s">
        <v>69</v>
      </c>
      <c r="D80" s="41">
        <f t="shared" ref="D80:F80" si="22">D81</f>
        <v>1200.2</v>
      </c>
      <c r="E80" s="41">
        <f t="shared" si="22"/>
        <v>1000</v>
      </c>
      <c r="F80" s="41">
        <f t="shared" si="22"/>
        <v>1000</v>
      </c>
      <c r="G80" s="109"/>
    </row>
    <row r="81" spans="1:7">
      <c r="A81" s="57" t="s">
        <v>571</v>
      </c>
      <c r="B81" s="21" t="s">
        <v>344</v>
      </c>
      <c r="C81" s="103" t="s">
        <v>343</v>
      </c>
      <c r="D81" s="41">
        <v>1200.2</v>
      </c>
      <c r="E81" s="41">
        <v>1000</v>
      </c>
      <c r="F81" s="41">
        <v>1000</v>
      </c>
      <c r="G81" s="109"/>
    </row>
    <row r="82" spans="1:7" ht="25.5">
      <c r="A82" s="57" t="s">
        <v>573</v>
      </c>
      <c r="B82" s="21"/>
      <c r="C82" s="103" t="s">
        <v>186</v>
      </c>
      <c r="D82" s="41">
        <f t="shared" ref="D82:E82" si="23">SUM(D83:D84)</f>
        <v>120</v>
      </c>
      <c r="E82" s="41">
        <f t="shared" si="23"/>
        <v>140</v>
      </c>
      <c r="F82" s="41">
        <f t="shared" ref="F82" si="24">SUM(F83:F84)</f>
        <v>140</v>
      </c>
      <c r="G82" s="109"/>
    </row>
    <row r="83" spans="1:7" ht="25.5">
      <c r="A83" s="57" t="s">
        <v>573</v>
      </c>
      <c r="B83" s="85" t="s">
        <v>107</v>
      </c>
      <c r="C83" s="55" t="s">
        <v>182</v>
      </c>
      <c r="D83" s="41">
        <v>54</v>
      </c>
      <c r="E83" s="41">
        <v>54</v>
      </c>
      <c r="F83" s="41">
        <v>54</v>
      </c>
      <c r="G83" s="109"/>
    </row>
    <row r="84" spans="1:7" ht="38.25">
      <c r="A84" s="57" t="s">
        <v>573</v>
      </c>
      <c r="B84" s="21" t="s">
        <v>325</v>
      </c>
      <c r="C84" s="103" t="s">
        <v>326</v>
      </c>
      <c r="D84" s="41">
        <f>86-20</f>
        <v>66</v>
      </c>
      <c r="E84" s="41">
        <v>86</v>
      </c>
      <c r="F84" s="41">
        <v>86</v>
      </c>
      <c r="G84" s="109"/>
    </row>
    <row r="85" spans="1:7" ht="25.5">
      <c r="A85" s="57" t="s">
        <v>574</v>
      </c>
      <c r="B85" s="57"/>
      <c r="C85" s="103" t="s">
        <v>266</v>
      </c>
      <c r="D85" s="41">
        <f t="shared" ref="D85:F85" si="25">D86</f>
        <v>250</v>
      </c>
      <c r="E85" s="41">
        <f t="shared" si="25"/>
        <v>250</v>
      </c>
      <c r="F85" s="41">
        <f t="shared" si="25"/>
        <v>250</v>
      </c>
      <c r="G85" s="109"/>
    </row>
    <row r="86" spans="1:7">
      <c r="A86" s="57" t="s">
        <v>574</v>
      </c>
      <c r="B86" s="21" t="s">
        <v>344</v>
      </c>
      <c r="C86" s="103" t="s">
        <v>343</v>
      </c>
      <c r="D86" s="41">
        <v>250</v>
      </c>
      <c r="E86" s="41">
        <v>250</v>
      </c>
      <c r="F86" s="41">
        <v>250</v>
      </c>
      <c r="G86" s="109"/>
    </row>
    <row r="87" spans="1:7" ht="51">
      <c r="A87" s="57" t="s">
        <v>572</v>
      </c>
      <c r="B87" s="35"/>
      <c r="C87" s="131" t="s">
        <v>501</v>
      </c>
      <c r="D87" s="99">
        <f t="shared" ref="D87:E87" si="26">SUM(D88:D89)</f>
        <v>2564.9</v>
      </c>
      <c r="E87" s="99">
        <f t="shared" si="26"/>
        <v>2564.9</v>
      </c>
      <c r="F87" s="99">
        <f t="shared" ref="F87" si="27">SUM(F88:F89)</f>
        <v>2564.9</v>
      </c>
      <c r="G87" s="109"/>
    </row>
    <row r="88" spans="1:7">
      <c r="A88" s="57" t="s">
        <v>572</v>
      </c>
      <c r="B88" s="21" t="s">
        <v>344</v>
      </c>
      <c r="C88" s="103" t="s">
        <v>343</v>
      </c>
      <c r="D88" s="41">
        <v>1844.4</v>
      </c>
      <c r="E88" s="41">
        <v>1844.4</v>
      </c>
      <c r="F88" s="41">
        <v>1844.4</v>
      </c>
      <c r="G88" s="109"/>
    </row>
    <row r="89" spans="1:7" ht="63.75">
      <c r="A89" s="57" t="s">
        <v>572</v>
      </c>
      <c r="B89" s="16" t="s">
        <v>15</v>
      </c>
      <c r="C89" s="103" t="s">
        <v>508</v>
      </c>
      <c r="D89" s="99">
        <v>720.5</v>
      </c>
      <c r="E89" s="99">
        <v>720.5</v>
      </c>
      <c r="F89" s="99">
        <v>720.5</v>
      </c>
      <c r="G89" s="109"/>
    </row>
    <row r="90" spans="1:7" ht="38.25">
      <c r="A90" s="57" t="s">
        <v>650</v>
      </c>
      <c r="B90" s="21"/>
      <c r="C90" s="54" t="s">
        <v>665</v>
      </c>
      <c r="D90" s="99">
        <f t="shared" ref="D90:F90" si="28">D91</f>
        <v>530</v>
      </c>
      <c r="E90" s="99">
        <f t="shared" si="28"/>
        <v>0</v>
      </c>
      <c r="F90" s="99">
        <f t="shared" si="28"/>
        <v>0</v>
      </c>
      <c r="G90" s="109"/>
    </row>
    <row r="91" spans="1:7">
      <c r="A91" s="57" t="s">
        <v>650</v>
      </c>
      <c r="B91" s="21" t="s">
        <v>344</v>
      </c>
      <c r="C91" s="103" t="s">
        <v>343</v>
      </c>
      <c r="D91" s="99">
        <v>530</v>
      </c>
      <c r="E91" s="99">
        <v>0</v>
      </c>
      <c r="F91" s="99">
        <v>0</v>
      </c>
      <c r="G91" s="109"/>
    </row>
    <row r="92" spans="1:7" ht="51">
      <c r="A92" s="57" t="s">
        <v>707</v>
      </c>
      <c r="B92" s="57"/>
      <c r="C92" s="103" t="s">
        <v>708</v>
      </c>
      <c r="D92" s="104">
        <f t="shared" ref="D92:F92" si="29">D93</f>
        <v>17580.5</v>
      </c>
      <c r="E92" s="104">
        <f t="shared" si="29"/>
        <v>18433.899999999998</v>
      </c>
      <c r="F92" s="104">
        <f t="shared" si="29"/>
        <v>18262.899999999998</v>
      </c>
      <c r="G92" s="109"/>
    </row>
    <row r="93" spans="1:7">
      <c r="A93" s="57" t="s">
        <v>707</v>
      </c>
      <c r="B93" s="57" t="s">
        <v>344</v>
      </c>
      <c r="C93" s="103" t="s">
        <v>343</v>
      </c>
      <c r="D93" s="104">
        <f>1530.1+15822.5+227.9</f>
        <v>17580.5</v>
      </c>
      <c r="E93" s="104">
        <f>1578.8+16590.5+264.6</f>
        <v>18433.899999999998</v>
      </c>
      <c r="F93" s="104">
        <f>1578.8+16436.6+247.5</f>
        <v>18262.899999999998</v>
      </c>
      <c r="G93" s="109"/>
    </row>
    <row r="94" spans="1:7" ht="38.25">
      <c r="A94" s="21" t="s">
        <v>444</v>
      </c>
      <c r="B94" s="16"/>
      <c r="C94" s="102" t="s">
        <v>469</v>
      </c>
      <c r="D94" s="41">
        <f>D95+D105+D97+D99+D101+D103+D107+D109</f>
        <v>39914</v>
      </c>
      <c r="E94" s="41">
        <f t="shared" ref="E94:F94" si="30">E95+E105+E97+E99+E101+E103+E107+E109</f>
        <v>36495.100000000006</v>
      </c>
      <c r="F94" s="41">
        <f t="shared" si="30"/>
        <v>36495.100000000006</v>
      </c>
      <c r="G94" s="109"/>
    </row>
    <row r="95" spans="1:7" ht="63.75">
      <c r="A95" s="57" t="s">
        <v>575</v>
      </c>
      <c r="B95" s="35"/>
      <c r="C95" s="103" t="s">
        <v>445</v>
      </c>
      <c r="D95" s="41">
        <f t="shared" ref="D95:F95" si="31">D96</f>
        <v>33556.400000000001</v>
      </c>
      <c r="E95" s="41">
        <f t="shared" si="31"/>
        <v>31118.2</v>
      </c>
      <c r="F95" s="41">
        <f t="shared" si="31"/>
        <v>31118.2</v>
      </c>
      <c r="G95" s="109"/>
    </row>
    <row r="96" spans="1:7">
      <c r="A96" s="57" t="s">
        <v>575</v>
      </c>
      <c r="B96" s="21" t="s">
        <v>344</v>
      </c>
      <c r="C96" s="103" t="s">
        <v>343</v>
      </c>
      <c r="D96" s="41">
        <f>33248.3-1.1-50+476.2-109.5-7.5</f>
        <v>33556.400000000001</v>
      </c>
      <c r="E96" s="41">
        <f>31119.3-1.1</f>
        <v>31118.2</v>
      </c>
      <c r="F96" s="41">
        <f>31119.3-1.1</f>
        <v>31118.2</v>
      </c>
      <c r="G96" s="109"/>
    </row>
    <row r="97" spans="1:7" ht="63.75">
      <c r="A97" s="57" t="s">
        <v>576</v>
      </c>
      <c r="B97" s="21"/>
      <c r="C97" s="103" t="s">
        <v>185</v>
      </c>
      <c r="D97" s="41">
        <f t="shared" ref="D97:F97" si="32">D98</f>
        <v>370.20000000000005</v>
      </c>
      <c r="E97" s="41">
        <f t="shared" si="32"/>
        <v>310.39999999999998</v>
      </c>
      <c r="F97" s="41">
        <f t="shared" si="32"/>
        <v>310.39999999999998</v>
      </c>
      <c r="G97" s="109"/>
    </row>
    <row r="98" spans="1:7" ht="38.25">
      <c r="A98" s="57" t="s">
        <v>576</v>
      </c>
      <c r="B98" s="85" t="s">
        <v>325</v>
      </c>
      <c r="C98" s="103" t="s">
        <v>326</v>
      </c>
      <c r="D98" s="41">
        <f>303.6+66.6</f>
        <v>370.20000000000005</v>
      </c>
      <c r="E98" s="41">
        <v>310.39999999999998</v>
      </c>
      <c r="F98" s="41">
        <v>310.39999999999998</v>
      </c>
      <c r="G98" s="109"/>
    </row>
    <row r="99" spans="1:7" ht="51">
      <c r="A99" s="57" t="s">
        <v>617</v>
      </c>
      <c r="B99" s="21"/>
      <c r="C99" s="131" t="s">
        <v>618</v>
      </c>
      <c r="D99" s="41">
        <f t="shared" ref="D99:F99" si="33">D100</f>
        <v>20.399999999999999</v>
      </c>
      <c r="E99" s="41">
        <f t="shared" si="33"/>
        <v>20.399999999999999</v>
      </c>
      <c r="F99" s="41">
        <f t="shared" si="33"/>
        <v>20.399999999999999</v>
      </c>
      <c r="G99" s="109"/>
    </row>
    <row r="100" spans="1:7" ht="38.25">
      <c r="A100" s="57" t="s">
        <v>617</v>
      </c>
      <c r="B100" s="85" t="s">
        <v>325</v>
      </c>
      <c r="C100" s="103" t="s">
        <v>326</v>
      </c>
      <c r="D100" s="41">
        <v>20.399999999999999</v>
      </c>
      <c r="E100" s="41">
        <v>20.399999999999999</v>
      </c>
      <c r="F100" s="41">
        <v>20.399999999999999</v>
      </c>
      <c r="G100" s="109"/>
    </row>
    <row r="101" spans="1:7" ht="28.5" customHeight="1">
      <c r="A101" s="57" t="s">
        <v>619</v>
      </c>
      <c r="B101" s="21"/>
      <c r="C101" s="131" t="s">
        <v>620</v>
      </c>
      <c r="D101" s="99">
        <f t="shared" ref="D101:F101" si="34">D102</f>
        <v>183.4</v>
      </c>
      <c r="E101" s="99">
        <f t="shared" si="34"/>
        <v>183.4</v>
      </c>
      <c r="F101" s="99">
        <f t="shared" si="34"/>
        <v>183.4</v>
      </c>
      <c r="G101" s="109"/>
    </row>
    <row r="102" spans="1:7" ht="38.25">
      <c r="A102" s="57" t="s">
        <v>619</v>
      </c>
      <c r="B102" s="85" t="s">
        <v>325</v>
      </c>
      <c r="C102" s="103" t="s">
        <v>326</v>
      </c>
      <c r="D102" s="99">
        <v>183.4</v>
      </c>
      <c r="E102" s="99">
        <v>183.4</v>
      </c>
      <c r="F102" s="99">
        <v>183.4</v>
      </c>
      <c r="G102" s="109"/>
    </row>
    <row r="103" spans="1:7" ht="76.5">
      <c r="A103" s="57" t="s">
        <v>577</v>
      </c>
      <c r="B103" s="21"/>
      <c r="C103" s="103" t="s">
        <v>502</v>
      </c>
      <c r="D103" s="41">
        <f t="shared" ref="D103:F103" si="35">D104</f>
        <v>5124.5</v>
      </c>
      <c r="E103" s="41">
        <f t="shared" si="35"/>
        <v>4615.3999999999996</v>
      </c>
      <c r="F103" s="41">
        <f t="shared" si="35"/>
        <v>4615.3999999999996</v>
      </c>
      <c r="G103" s="109"/>
    </row>
    <row r="104" spans="1:7">
      <c r="A104" s="57" t="s">
        <v>577</v>
      </c>
      <c r="B104" s="21" t="s">
        <v>344</v>
      </c>
      <c r="C104" s="103" t="s">
        <v>343</v>
      </c>
      <c r="D104" s="41">
        <f>4615.4+509.1</f>
        <v>5124.5</v>
      </c>
      <c r="E104" s="41">
        <v>4615.3999999999996</v>
      </c>
      <c r="F104" s="41">
        <v>4615.3999999999996</v>
      </c>
      <c r="G104" s="109"/>
    </row>
    <row r="105" spans="1:7" ht="38.25">
      <c r="A105" s="132" t="s">
        <v>578</v>
      </c>
      <c r="B105" s="130"/>
      <c r="C105" s="103" t="s">
        <v>509</v>
      </c>
      <c r="D105" s="113">
        <f t="shared" ref="D105:F105" si="36">D106</f>
        <v>52.400000000000006</v>
      </c>
      <c r="E105" s="113">
        <f t="shared" si="36"/>
        <v>47.300000000000004</v>
      </c>
      <c r="F105" s="113">
        <f t="shared" si="36"/>
        <v>47.300000000000004</v>
      </c>
      <c r="G105" s="109"/>
    </row>
    <row r="106" spans="1:7">
      <c r="A106" s="132" t="s">
        <v>578</v>
      </c>
      <c r="B106" s="130" t="s">
        <v>344</v>
      </c>
      <c r="C106" s="103" t="s">
        <v>343</v>
      </c>
      <c r="D106" s="113">
        <f>46.2+1.1+5.1</f>
        <v>52.400000000000006</v>
      </c>
      <c r="E106" s="113">
        <f t="shared" ref="E106:F106" si="37">46.2+1.1</f>
        <v>47.300000000000004</v>
      </c>
      <c r="F106" s="113">
        <f t="shared" si="37"/>
        <v>47.300000000000004</v>
      </c>
      <c r="G106" s="109"/>
    </row>
    <row r="107" spans="1:7" ht="53.25" customHeight="1">
      <c r="A107" s="57" t="s">
        <v>741</v>
      </c>
      <c r="B107" s="57"/>
      <c r="C107" s="165" t="s">
        <v>759</v>
      </c>
      <c r="D107" s="113">
        <f>D108</f>
        <v>457.2</v>
      </c>
      <c r="E107" s="113">
        <f t="shared" ref="E107:F107" si="38">E108</f>
        <v>200</v>
      </c>
      <c r="F107" s="113">
        <f t="shared" si="38"/>
        <v>200</v>
      </c>
      <c r="G107" s="109"/>
    </row>
    <row r="108" spans="1:7">
      <c r="A108" s="57" t="s">
        <v>741</v>
      </c>
      <c r="B108" s="21" t="s">
        <v>344</v>
      </c>
      <c r="C108" s="103" t="s">
        <v>343</v>
      </c>
      <c r="D108" s="113">
        <v>457.2</v>
      </c>
      <c r="E108" s="113">
        <v>200</v>
      </c>
      <c r="F108" s="113">
        <v>200</v>
      </c>
      <c r="G108" s="109"/>
    </row>
    <row r="109" spans="1:7" ht="38.25">
      <c r="A109" s="57" t="s">
        <v>747</v>
      </c>
      <c r="B109" s="21"/>
      <c r="C109" s="103" t="s">
        <v>767</v>
      </c>
      <c r="D109" s="113">
        <f>D110</f>
        <v>149.5</v>
      </c>
      <c r="E109" s="113">
        <f t="shared" ref="E109:F109" si="39">E110</f>
        <v>0</v>
      </c>
      <c r="F109" s="113">
        <f t="shared" si="39"/>
        <v>0</v>
      </c>
      <c r="G109" s="109"/>
    </row>
    <row r="110" spans="1:7">
      <c r="A110" s="57" t="s">
        <v>747</v>
      </c>
      <c r="B110" s="21" t="s">
        <v>344</v>
      </c>
      <c r="C110" s="103" t="s">
        <v>343</v>
      </c>
      <c r="D110" s="113">
        <v>149.5</v>
      </c>
      <c r="E110" s="113">
        <v>0</v>
      </c>
      <c r="F110" s="113">
        <v>0</v>
      </c>
      <c r="G110" s="109"/>
    </row>
    <row r="111" spans="1:7" ht="25.5">
      <c r="A111" s="52" t="s">
        <v>123</v>
      </c>
      <c r="B111" s="16"/>
      <c r="C111" s="46" t="s">
        <v>128</v>
      </c>
      <c r="D111" s="98">
        <f>D112+D119</f>
        <v>390</v>
      </c>
      <c r="E111" s="98">
        <f t="shared" ref="E111:F111" si="40">E112+E119</f>
        <v>330.4</v>
      </c>
      <c r="F111" s="98">
        <f t="shared" si="40"/>
        <v>330.4</v>
      </c>
      <c r="G111" s="109"/>
    </row>
    <row r="112" spans="1:7" ht="38.25">
      <c r="A112" s="21" t="s">
        <v>446</v>
      </c>
      <c r="B112" s="16"/>
      <c r="C112" s="103" t="s">
        <v>447</v>
      </c>
      <c r="D112" s="41">
        <f>D113+D115+D117</f>
        <v>340</v>
      </c>
      <c r="E112" s="41">
        <f t="shared" ref="E112:F112" si="41">E113+E115+E117</f>
        <v>330.4</v>
      </c>
      <c r="F112" s="41">
        <f t="shared" si="41"/>
        <v>330.4</v>
      </c>
      <c r="G112" s="109"/>
    </row>
    <row r="113" spans="1:7" ht="51">
      <c r="A113" s="57" t="s">
        <v>579</v>
      </c>
      <c r="B113" s="16"/>
      <c r="C113" s="103" t="s">
        <v>71</v>
      </c>
      <c r="D113" s="41">
        <f t="shared" ref="D113:F113" si="42">D114</f>
        <v>161</v>
      </c>
      <c r="E113" s="41">
        <f t="shared" si="42"/>
        <v>244.5</v>
      </c>
      <c r="F113" s="41">
        <f t="shared" si="42"/>
        <v>244.5</v>
      </c>
      <c r="G113" s="109"/>
    </row>
    <row r="114" spans="1:7" ht="38.25">
      <c r="A114" s="57" t="s">
        <v>579</v>
      </c>
      <c r="B114" s="85" t="s">
        <v>325</v>
      </c>
      <c r="C114" s="103" t="s">
        <v>326</v>
      </c>
      <c r="D114" s="41">
        <f>244.5-83.5</f>
        <v>161</v>
      </c>
      <c r="E114" s="41">
        <v>244.5</v>
      </c>
      <c r="F114" s="41">
        <v>244.5</v>
      </c>
      <c r="G114" s="109"/>
    </row>
    <row r="115" spans="1:7" ht="38.25">
      <c r="A115" s="57" t="s">
        <v>125</v>
      </c>
      <c r="B115" s="16"/>
      <c r="C115" s="103" t="s">
        <v>187</v>
      </c>
      <c r="D115" s="41">
        <f t="shared" ref="D115:F115" si="43">D116</f>
        <v>129</v>
      </c>
      <c r="E115" s="41">
        <f t="shared" si="43"/>
        <v>85.9</v>
      </c>
      <c r="F115" s="41">
        <f t="shared" si="43"/>
        <v>85.9</v>
      </c>
      <c r="G115" s="109"/>
    </row>
    <row r="116" spans="1:7">
      <c r="A116" s="57" t="s">
        <v>125</v>
      </c>
      <c r="B116" s="85" t="s">
        <v>640</v>
      </c>
      <c r="C116" s="55" t="s">
        <v>641</v>
      </c>
      <c r="D116" s="41">
        <f>129.1+39-39.1</f>
        <v>129</v>
      </c>
      <c r="E116" s="41">
        <v>85.9</v>
      </c>
      <c r="F116" s="41">
        <v>85.9</v>
      </c>
      <c r="G116" s="109"/>
    </row>
    <row r="117" spans="1:7" ht="63.75">
      <c r="A117" s="57" t="s">
        <v>894</v>
      </c>
      <c r="B117" s="21"/>
      <c r="C117" s="103" t="s">
        <v>861</v>
      </c>
      <c r="D117" s="113">
        <f>D118</f>
        <v>50</v>
      </c>
      <c r="E117" s="113">
        <f t="shared" ref="E117:F117" si="44">E118</f>
        <v>0</v>
      </c>
      <c r="F117" s="113">
        <f t="shared" si="44"/>
        <v>0</v>
      </c>
      <c r="G117" s="109"/>
    </row>
    <row r="118" spans="1:7">
      <c r="A118" s="57" t="s">
        <v>894</v>
      </c>
      <c r="B118" s="21" t="s">
        <v>344</v>
      </c>
      <c r="C118" s="103" t="s">
        <v>343</v>
      </c>
      <c r="D118" s="113">
        <v>50</v>
      </c>
      <c r="E118" s="113">
        <v>0</v>
      </c>
      <c r="F118" s="113">
        <v>0</v>
      </c>
      <c r="G118" s="109"/>
    </row>
    <row r="119" spans="1:7" ht="38.25">
      <c r="A119" s="57" t="s">
        <v>829</v>
      </c>
      <c r="B119" s="84"/>
      <c r="C119" s="184" t="s">
        <v>950</v>
      </c>
      <c r="D119" s="41">
        <f>D120</f>
        <v>50</v>
      </c>
      <c r="E119" s="41">
        <f t="shared" ref="E119:F120" si="45">E120</f>
        <v>0</v>
      </c>
      <c r="F119" s="41">
        <f t="shared" si="45"/>
        <v>0</v>
      </c>
      <c r="G119" s="109"/>
    </row>
    <row r="120" spans="1:7" ht="63.75">
      <c r="A120" s="57" t="s">
        <v>827</v>
      </c>
      <c r="B120" s="21"/>
      <c r="C120" s="183" t="s">
        <v>828</v>
      </c>
      <c r="D120" s="99">
        <f>D121</f>
        <v>50</v>
      </c>
      <c r="E120" s="99">
        <f t="shared" si="45"/>
        <v>0</v>
      </c>
      <c r="F120" s="99">
        <f t="shared" si="45"/>
        <v>0</v>
      </c>
      <c r="G120" s="109"/>
    </row>
    <row r="121" spans="1:7" ht="38.25">
      <c r="A121" s="57" t="s">
        <v>827</v>
      </c>
      <c r="B121" s="84" t="s">
        <v>325</v>
      </c>
      <c r="C121" s="184" t="s">
        <v>326</v>
      </c>
      <c r="D121" s="99">
        <v>50</v>
      </c>
      <c r="E121" s="99">
        <v>0</v>
      </c>
      <c r="F121" s="99">
        <v>0</v>
      </c>
      <c r="G121" s="109"/>
    </row>
    <row r="122" spans="1:7">
      <c r="A122" s="121">
        <v>190000000</v>
      </c>
      <c r="B122" s="16"/>
      <c r="C122" s="66" t="s">
        <v>70</v>
      </c>
      <c r="D122" s="98">
        <f t="shared" ref="D122:F122" si="46">D123</f>
        <v>7039.7</v>
      </c>
      <c r="E122" s="98">
        <f t="shared" si="46"/>
        <v>7038.1</v>
      </c>
      <c r="F122" s="98">
        <f t="shared" si="46"/>
        <v>7038.1</v>
      </c>
      <c r="G122" s="109"/>
    </row>
    <row r="123" spans="1:7" ht="51">
      <c r="A123" s="82" t="s">
        <v>126</v>
      </c>
      <c r="B123" s="16"/>
      <c r="C123" s="103" t="s">
        <v>448</v>
      </c>
      <c r="D123" s="41">
        <f>SUM(D124:D126)</f>
        <v>7039.7</v>
      </c>
      <c r="E123" s="41">
        <f>SUM(E124:E126)</f>
        <v>7038.1</v>
      </c>
      <c r="F123" s="41">
        <f>SUM(F124:F126)</f>
        <v>7038.1</v>
      </c>
      <c r="G123" s="109"/>
    </row>
    <row r="124" spans="1:7" ht="25.5">
      <c r="A124" s="82" t="s">
        <v>126</v>
      </c>
      <c r="B124" s="16" t="s">
        <v>105</v>
      </c>
      <c r="C124" s="55" t="s">
        <v>106</v>
      </c>
      <c r="D124" s="99">
        <v>6631.5</v>
      </c>
      <c r="E124" s="99">
        <v>6631.5</v>
      </c>
      <c r="F124" s="99">
        <v>6631.5</v>
      </c>
      <c r="G124" s="109"/>
    </row>
    <row r="125" spans="1:7" ht="38.25">
      <c r="A125" s="82" t="s">
        <v>126</v>
      </c>
      <c r="B125" s="85" t="s">
        <v>325</v>
      </c>
      <c r="C125" s="103" t="s">
        <v>326</v>
      </c>
      <c r="D125" s="41">
        <f>406.6+1.6</f>
        <v>408.20000000000005</v>
      </c>
      <c r="E125" s="41">
        <v>405.6</v>
      </c>
      <c r="F125" s="41">
        <v>405.6</v>
      </c>
      <c r="G125" s="109"/>
    </row>
    <row r="126" spans="1:7">
      <c r="A126" s="82" t="s">
        <v>126</v>
      </c>
      <c r="B126" s="85" t="s">
        <v>183</v>
      </c>
      <c r="C126" s="103" t="s">
        <v>184</v>
      </c>
      <c r="D126" s="41">
        <v>0</v>
      </c>
      <c r="E126" s="41">
        <v>1</v>
      </c>
      <c r="F126" s="41">
        <v>1</v>
      </c>
      <c r="G126" s="109"/>
    </row>
    <row r="127" spans="1:7" ht="51.75">
      <c r="A127" s="73" t="s">
        <v>101</v>
      </c>
      <c r="B127" s="35"/>
      <c r="C127" s="53" t="s">
        <v>556</v>
      </c>
      <c r="D127" s="65">
        <f>D128+D170+D179+D194+D200+D204</f>
        <v>85065.2</v>
      </c>
      <c r="E127" s="65">
        <f>E128+E170+E179+E194+E200+E204</f>
        <v>73334</v>
      </c>
      <c r="F127" s="65">
        <f>F128+F170+F179+F194+F200+F204</f>
        <v>73334</v>
      </c>
      <c r="G127" s="109"/>
    </row>
    <row r="128" spans="1:7" ht="25.5">
      <c r="A128" s="21" t="s">
        <v>102</v>
      </c>
      <c r="B128" s="35"/>
      <c r="C128" s="48" t="s">
        <v>250</v>
      </c>
      <c r="D128" s="58">
        <f>D129+D148+D159+D164+D167</f>
        <v>73728.2</v>
      </c>
      <c r="E128" s="58">
        <f t="shared" ref="E128:F128" si="47">E129+E148+E159+E164+E167</f>
        <v>64027.299999999996</v>
      </c>
      <c r="F128" s="58">
        <f t="shared" si="47"/>
        <v>64027.299999999996</v>
      </c>
      <c r="G128" s="109"/>
    </row>
    <row r="129" spans="1:7" ht="38.25">
      <c r="A129" s="21" t="s">
        <v>314</v>
      </c>
      <c r="B129" s="35"/>
      <c r="C129" s="107" t="s">
        <v>327</v>
      </c>
      <c r="D129" s="58">
        <f>D130+D134+D136+D138+D140+D143+D146</f>
        <v>68737.599999999991</v>
      </c>
      <c r="E129" s="58">
        <f t="shared" ref="E129:F129" si="48">E130+E134+E136+E138+E140+E143+E146</f>
        <v>63587.299999999996</v>
      </c>
      <c r="F129" s="58">
        <f t="shared" si="48"/>
        <v>63587.299999999996</v>
      </c>
      <c r="G129" s="109"/>
    </row>
    <row r="130" spans="1:7" ht="25.5">
      <c r="A130" s="74" t="s">
        <v>103</v>
      </c>
      <c r="B130" s="16"/>
      <c r="C130" s="195" t="s">
        <v>249</v>
      </c>
      <c r="D130" s="39">
        <f>SUM(D131:D133)</f>
        <v>10581.7</v>
      </c>
      <c r="E130" s="39">
        <f t="shared" ref="E130:F130" si="49">SUM(E131:E133)</f>
        <v>9905.6</v>
      </c>
      <c r="F130" s="39">
        <f t="shared" si="49"/>
        <v>9905.6</v>
      </c>
      <c r="G130" s="109"/>
    </row>
    <row r="131" spans="1:7" ht="25.5">
      <c r="A131" s="74" t="s">
        <v>103</v>
      </c>
      <c r="B131" s="85" t="s">
        <v>107</v>
      </c>
      <c r="C131" s="55" t="s">
        <v>182</v>
      </c>
      <c r="D131" s="39">
        <v>5635.6</v>
      </c>
      <c r="E131" s="39">
        <f>5969.1-282.1</f>
        <v>5687</v>
      </c>
      <c r="F131" s="39">
        <f>5969.1-282.1</f>
        <v>5687</v>
      </c>
      <c r="G131" s="109"/>
    </row>
    <row r="132" spans="1:7" ht="38.25">
      <c r="A132" s="74" t="s">
        <v>103</v>
      </c>
      <c r="B132" s="85" t="s">
        <v>325</v>
      </c>
      <c r="C132" s="103" t="s">
        <v>326</v>
      </c>
      <c r="D132" s="39">
        <f>5463.6+2.1-137.1-18.8-382.5</f>
        <v>4927.3</v>
      </c>
      <c r="E132" s="39">
        <f>4324.1-105.5</f>
        <v>4218.6000000000004</v>
      </c>
      <c r="F132" s="39">
        <f>4324.1-105.5</f>
        <v>4218.6000000000004</v>
      </c>
      <c r="G132" s="109"/>
    </row>
    <row r="133" spans="1:7">
      <c r="A133" s="74" t="s">
        <v>103</v>
      </c>
      <c r="B133" s="85" t="s">
        <v>183</v>
      </c>
      <c r="C133" s="103" t="s">
        <v>184</v>
      </c>
      <c r="D133" s="39">
        <v>18.8</v>
      </c>
      <c r="E133" s="39">
        <v>0</v>
      </c>
      <c r="F133" s="39">
        <v>0</v>
      </c>
      <c r="G133" s="109"/>
    </row>
    <row r="134" spans="1:7" ht="51">
      <c r="A134" s="74" t="s">
        <v>63</v>
      </c>
      <c r="B134" s="16"/>
      <c r="C134" s="153" t="s">
        <v>251</v>
      </c>
      <c r="D134" s="39">
        <f t="shared" ref="D134:F134" si="50">D135</f>
        <v>30125.599999999999</v>
      </c>
      <c r="E134" s="39">
        <f t="shared" si="50"/>
        <v>26446.5</v>
      </c>
      <c r="F134" s="39">
        <f t="shared" si="50"/>
        <v>26446.5</v>
      </c>
      <c r="G134" s="109"/>
    </row>
    <row r="135" spans="1:7">
      <c r="A135" s="74" t="s">
        <v>63</v>
      </c>
      <c r="B135" s="21" t="s">
        <v>344</v>
      </c>
      <c r="C135" s="103" t="s">
        <v>343</v>
      </c>
      <c r="D135" s="158">
        <f>30425.6-300</f>
        <v>30125.599999999999</v>
      </c>
      <c r="E135" s="158">
        <v>26446.5</v>
      </c>
      <c r="F135" s="158">
        <v>26446.5</v>
      </c>
      <c r="G135" s="109"/>
    </row>
    <row r="136" spans="1:7" ht="25.5">
      <c r="A136" s="74" t="s">
        <v>252</v>
      </c>
      <c r="B136" s="16"/>
      <c r="C136" s="134" t="s">
        <v>253</v>
      </c>
      <c r="D136" s="39">
        <f t="shared" ref="D136:F136" si="51">D137</f>
        <v>10863.599999999999</v>
      </c>
      <c r="E136" s="39">
        <f t="shared" si="51"/>
        <v>10325.5</v>
      </c>
      <c r="F136" s="39">
        <f t="shared" si="51"/>
        <v>10325.5</v>
      </c>
      <c r="G136" s="109"/>
    </row>
    <row r="137" spans="1:7">
      <c r="A137" s="74" t="s">
        <v>252</v>
      </c>
      <c r="B137" s="21" t="s">
        <v>344</v>
      </c>
      <c r="C137" s="103" t="s">
        <v>343</v>
      </c>
      <c r="D137" s="158">
        <f>11066.8-0.7-255.5+55.5-2.5</f>
        <v>10863.599999999999</v>
      </c>
      <c r="E137" s="39">
        <f>10326.2-0.7</f>
        <v>10325.5</v>
      </c>
      <c r="F137" s="39">
        <f>10326.2-0.7</f>
        <v>10325.5</v>
      </c>
      <c r="G137" s="109"/>
    </row>
    <row r="138" spans="1:7" ht="63.75">
      <c r="A138" s="74">
        <v>210110690</v>
      </c>
      <c r="B138" s="21"/>
      <c r="C138" s="103" t="s">
        <v>499</v>
      </c>
      <c r="D138" s="39">
        <f t="shared" ref="D138:F138" si="52">D139</f>
        <v>2575.1</v>
      </c>
      <c r="E138" s="39">
        <f t="shared" si="52"/>
        <v>2320.6</v>
      </c>
      <c r="F138" s="39">
        <f t="shared" si="52"/>
        <v>2320.6</v>
      </c>
      <c r="G138" s="109"/>
    </row>
    <row r="139" spans="1:7">
      <c r="A139" s="74">
        <v>210110690</v>
      </c>
      <c r="B139" s="21" t="s">
        <v>344</v>
      </c>
      <c r="C139" s="103" t="s">
        <v>343</v>
      </c>
      <c r="D139" s="39">
        <f>2320.6+254.5</f>
        <v>2575.1</v>
      </c>
      <c r="E139" s="39">
        <v>2320.6</v>
      </c>
      <c r="F139" s="39">
        <v>2320.6</v>
      </c>
      <c r="G139" s="109"/>
    </row>
    <row r="140" spans="1:7" ht="38.25">
      <c r="A140" s="74" t="s">
        <v>504</v>
      </c>
      <c r="B140" s="85"/>
      <c r="C140" s="103" t="s">
        <v>498</v>
      </c>
      <c r="D140" s="39">
        <f t="shared" ref="D140:E140" si="53">SUM(D141:D142)</f>
        <v>200</v>
      </c>
      <c r="E140" s="39">
        <f t="shared" si="53"/>
        <v>200</v>
      </c>
      <c r="F140" s="39">
        <f t="shared" ref="F140" si="54">SUM(F141:F142)</f>
        <v>200</v>
      </c>
      <c r="G140" s="109"/>
    </row>
    <row r="141" spans="1:7" ht="25.5">
      <c r="A141" s="74" t="s">
        <v>504</v>
      </c>
      <c r="B141" s="85" t="s">
        <v>107</v>
      </c>
      <c r="C141" s="55" t="s">
        <v>182</v>
      </c>
      <c r="D141" s="39">
        <v>50</v>
      </c>
      <c r="E141" s="39">
        <v>50</v>
      </c>
      <c r="F141" s="39">
        <v>50</v>
      </c>
      <c r="G141" s="109"/>
    </row>
    <row r="142" spans="1:7">
      <c r="A142" s="74" t="s">
        <v>504</v>
      </c>
      <c r="B142" s="21" t="s">
        <v>344</v>
      </c>
      <c r="C142" s="103" t="s">
        <v>343</v>
      </c>
      <c r="D142" s="39">
        <v>150</v>
      </c>
      <c r="E142" s="39">
        <v>150</v>
      </c>
      <c r="F142" s="39">
        <v>150</v>
      </c>
      <c r="G142" s="109"/>
    </row>
    <row r="143" spans="1:7" ht="51">
      <c r="A143" s="74">
        <v>210110680</v>
      </c>
      <c r="B143" s="85"/>
      <c r="C143" s="103" t="s">
        <v>634</v>
      </c>
      <c r="D143" s="39">
        <f t="shared" ref="D143:E143" si="55">SUM(D144:D145)</f>
        <v>14365.4</v>
      </c>
      <c r="E143" s="39">
        <f t="shared" si="55"/>
        <v>14365.4</v>
      </c>
      <c r="F143" s="39">
        <f t="shared" ref="F143" si="56">SUM(F144:F145)</f>
        <v>14365.4</v>
      </c>
      <c r="G143" s="109"/>
    </row>
    <row r="144" spans="1:7" ht="25.5">
      <c r="A144" s="74">
        <v>210110680</v>
      </c>
      <c r="B144" s="85" t="s">
        <v>107</v>
      </c>
      <c r="C144" s="55" t="s">
        <v>182</v>
      </c>
      <c r="D144" s="39">
        <v>4287.3999999999996</v>
      </c>
      <c r="E144" s="39">
        <v>4287.3999999999996</v>
      </c>
      <c r="F144" s="39">
        <v>4287.3999999999996</v>
      </c>
      <c r="G144" s="109"/>
    </row>
    <row r="145" spans="1:7">
      <c r="A145" s="74">
        <v>210110680</v>
      </c>
      <c r="B145" s="21" t="s">
        <v>344</v>
      </c>
      <c r="C145" s="103" t="s">
        <v>343</v>
      </c>
      <c r="D145" s="39">
        <v>10078</v>
      </c>
      <c r="E145" s="39">
        <v>10078</v>
      </c>
      <c r="F145" s="39">
        <v>10078</v>
      </c>
      <c r="G145" s="109"/>
    </row>
    <row r="146" spans="1:7" ht="51">
      <c r="A146" s="74" t="s">
        <v>503</v>
      </c>
      <c r="B146" s="21"/>
      <c r="C146" s="103" t="s">
        <v>500</v>
      </c>
      <c r="D146" s="39">
        <f t="shared" ref="D146:F146" si="57">D147</f>
        <v>26.2</v>
      </c>
      <c r="E146" s="39">
        <f t="shared" si="57"/>
        <v>23.7</v>
      </c>
      <c r="F146" s="39">
        <f t="shared" si="57"/>
        <v>23.7</v>
      </c>
      <c r="G146" s="109"/>
    </row>
    <row r="147" spans="1:7">
      <c r="A147" s="74" t="s">
        <v>503</v>
      </c>
      <c r="B147" s="21" t="s">
        <v>344</v>
      </c>
      <c r="C147" s="103" t="s">
        <v>343</v>
      </c>
      <c r="D147" s="39">
        <f>23+0.7+2.5</f>
        <v>26.2</v>
      </c>
      <c r="E147" s="39">
        <f t="shared" ref="E147:F147" si="58">23+0.7</f>
        <v>23.7</v>
      </c>
      <c r="F147" s="39">
        <f t="shared" si="58"/>
        <v>23.7</v>
      </c>
      <c r="G147" s="109"/>
    </row>
    <row r="148" spans="1:7" ht="51">
      <c r="A148" s="21" t="s">
        <v>388</v>
      </c>
      <c r="B148" s="35"/>
      <c r="C148" s="107" t="s">
        <v>389</v>
      </c>
      <c r="D148" s="41">
        <f>D149+D151+D153+D155+D157</f>
        <v>3299.6000000000004</v>
      </c>
      <c r="E148" s="41">
        <f t="shared" ref="E148:F148" si="59">E149+E151+E153+E155</f>
        <v>300</v>
      </c>
      <c r="F148" s="41">
        <f t="shared" si="59"/>
        <v>300</v>
      </c>
      <c r="G148" s="109"/>
    </row>
    <row r="149" spans="1:7" ht="38.25">
      <c r="A149" s="74" t="s">
        <v>652</v>
      </c>
      <c r="B149" s="72"/>
      <c r="C149" s="103" t="s">
        <v>653</v>
      </c>
      <c r="D149" s="39">
        <f t="shared" ref="D149:F149" si="60">D150</f>
        <v>0</v>
      </c>
      <c r="E149" s="39">
        <f t="shared" si="60"/>
        <v>300</v>
      </c>
      <c r="F149" s="39">
        <f t="shared" si="60"/>
        <v>300</v>
      </c>
      <c r="G149" s="109"/>
    </row>
    <row r="150" spans="1:7" ht="38.25">
      <c r="A150" s="74" t="s">
        <v>652</v>
      </c>
      <c r="B150" s="85" t="s">
        <v>325</v>
      </c>
      <c r="C150" s="103" t="s">
        <v>326</v>
      </c>
      <c r="D150" s="39">
        <v>0</v>
      </c>
      <c r="E150" s="39">
        <f>194.5+105.5</f>
        <v>300</v>
      </c>
      <c r="F150" s="39">
        <f>194.5+105.5</f>
        <v>300</v>
      </c>
      <c r="G150" s="109"/>
    </row>
    <row r="151" spans="1:7" ht="51">
      <c r="A151" s="166" t="s">
        <v>667</v>
      </c>
      <c r="B151" s="85"/>
      <c r="C151" s="165" t="s">
        <v>668</v>
      </c>
      <c r="D151" s="39">
        <f>D152</f>
        <v>1513.2</v>
      </c>
      <c r="E151" s="39">
        <f>E152</f>
        <v>0</v>
      </c>
      <c r="F151" s="39">
        <f>F152</f>
        <v>0</v>
      </c>
      <c r="G151" s="109"/>
    </row>
    <row r="152" spans="1:7">
      <c r="A152" s="164" t="s">
        <v>667</v>
      </c>
      <c r="B152" s="21" t="s">
        <v>344</v>
      </c>
      <c r="C152" s="103" t="s">
        <v>343</v>
      </c>
      <c r="D152" s="39">
        <f>36+1483.2-6</f>
        <v>1513.2</v>
      </c>
      <c r="E152" s="39">
        <v>0</v>
      </c>
      <c r="F152" s="39">
        <v>0</v>
      </c>
      <c r="G152" s="109"/>
    </row>
    <row r="153" spans="1:7" ht="25.5">
      <c r="A153" s="74" t="s">
        <v>788</v>
      </c>
      <c r="B153" s="21"/>
      <c r="C153" s="165" t="s">
        <v>789</v>
      </c>
      <c r="D153" s="39">
        <f>D154</f>
        <v>1145.9000000000001</v>
      </c>
      <c r="E153" s="39">
        <f t="shared" ref="E153:F153" si="61">E154</f>
        <v>0</v>
      </c>
      <c r="F153" s="39">
        <f t="shared" si="61"/>
        <v>0</v>
      </c>
      <c r="G153" s="109"/>
    </row>
    <row r="154" spans="1:7">
      <c r="A154" s="74" t="s">
        <v>788</v>
      </c>
      <c r="B154" s="21" t="s">
        <v>344</v>
      </c>
      <c r="C154" s="103" t="s">
        <v>343</v>
      </c>
      <c r="D154" s="39">
        <f>845.9+300</f>
        <v>1145.9000000000001</v>
      </c>
      <c r="E154" s="39">
        <v>0</v>
      </c>
      <c r="F154" s="39">
        <v>0</v>
      </c>
      <c r="G154" s="109"/>
    </row>
    <row r="155" spans="1:7" ht="38.25">
      <c r="A155" s="181" t="s">
        <v>790</v>
      </c>
      <c r="B155" s="72"/>
      <c r="C155" s="54" t="s">
        <v>792</v>
      </c>
      <c r="D155" s="182">
        <f>D156</f>
        <v>50.4</v>
      </c>
      <c r="E155" s="182">
        <f t="shared" ref="E155:F155" si="62">E156</f>
        <v>0</v>
      </c>
      <c r="F155" s="182">
        <f t="shared" si="62"/>
        <v>0</v>
      </c>
      <c r="G155" s="109"/>
    </row>
    <row r="156" spans="1:7">
      <c r="A156" s="74" t="s">
        <v>790</v>
      </c>
      <c r="B156" s="21" t="s">
        <v>344</v>
      </c>
      <c r="C156" s="103" t="s">
        <v>343</v>
      </c>
      <c r="D156" s="39">
        <v>50.4</v>
      </c>
      <c r="E156" s="39">
        <v>0</v>
      </c>
      <c r="F156" s="39">
        <v>0</v>
      </c>
      <c r="G156" s="109"/>
    </row>
    <row r="157" spans="1:7" ht="63.75">
      <c r="A157" s="74" t="s">
        <v>967</v>
      </c>
      <c r="B157" s="21"/>
      <c r="C157" s="54" t="s">
        <v>973</v>
      </c>
      <c r="D157" s="39">
        <f>D158</f>
        <v>590.1</v>
      </c>
      <c r="E157" s="39">
        <f t="shared" ref="E157:F157" si="63">E158</f>
        <v>0</v>
      </c>
      <c r="F157" s="39">
        <f t="shared" si="63"/>
        <v>0</v>
      </c>
      <c r="G157" s="109"/>
    </row>
    <row r="158" spans="1:7">
      <c r="A158" s="74" t="s">
        <v>967</v>
      </c>
      <c r="B158" s="21" t="s">
        <v>344</v>
      </c>
      <c r="C158" s="103" t="s">
        <v>343</v>
      </c>
      <c r="D158" s="39">
        <v>590.1</v>
      </c>
      <c r="E158" s="39">
        <v>0</v>
      </c>
      <c r="F158" s="39">
        <v>0</v>
      </c>
      <c r="G158" s="109"/>
    </row>
    <row r="159" spans="1:7" ht="25.5">
      <c r="A159" s="21" t="s">
        <v>390</v>
      </c>
      <c r="B159" s="35"/>
      <c r="C159" s="107" t="s">
        <v>391</v>
      </c>
      <c r="D159" s="41">
        <f>D160+D162</f>
        <v>590</v>
      </c>
      <c r="E159" s="41">
        <f t="shared" ref="E159:F159" si="64">E160+E162</f>
        <v>140</v>
      </c>
      <c r="F159" s="41">
        <f t="shared" si="64"/>
        <v>140</v>
      </c>
      <c r="G159" s="109"/>
    </row>
    <row r="160" spans="1:7" ht="38.25">
      <c r="A160" s="21" t="s">
        <v>334</v>
      </c>
      <c r="B160" s="16"/>
      <c r="C160" s="103" t="s">
        <v>254</v>
      </c>
      <c r="D160" s="41">
        <f t="shared" ref="D160:F160" si="65">D161</f>
        <v>490</v>
      </c>
      <c r="E160" s="41">
        <f t="shared" si="65"/>
        <v>140</v>
      </c>
      <c r="F160" s="41">
        <f t="shared" si="65"/>
        <v>140</v>
      </c>
      <c r="G160" s="109"/>
    </row>
    <row r="161" spans="1:7" ht="38.25">
      <c r="A161" s="21" t="s">
        <v>334</v>
      </c>
      <c r="B161" s="85" t="s">
        <v>325</v>
      </c>
      <c r="C161" s="103" t="s">
        <v>326</v>
      </c>
      <c r="D161" s="41">
        <f>200+90+200</f>
        <v>490</v>
      </c>
      <c r="E161" s="41">
        <v>140</v>
      </c>
      <c r="F161" s="41">
        <v>140</v>
      </c>
      <c r="G161" s="109"/>
    </row>
    <row r="162" spans="1:7" ht="25.5">
      <c r="A162" s="21" t="s">
        <v>830</v>
      </c>
      <c r="B162" s="85"/>
      <c r="C162" s="103" t="s">
        <v>831</v>
      </c>
      <c r="D162" s="41">
        <v>100</v>
      </c>
      <c r="E162" s="41">
        <v>0</v>
      </c>
      <c r="F162" s="41">
        <v>0</v>
      </c>
      <c r="G162" s="109"/>
    </row>
    <row r="163" spans="1:7" ht="38.25">
      <c r="A163" s="21" t="s">
        <v>830</v>
      </c>
      <c r="B163" s="85" t="s">
        <v>325</v>
      </c>
      <c r="C163" s="103" t="s">
        <v>326</v>
      </c>
      <c r="D163" s="41">
        <v>100</v>
      </c>
      <c r="E163" s="41">
        <v>0</v>
      </c>
      <c r="F163" s="41">
        <v>0</v>
      </c>
      <c r="G163" s="109"/>
    </row>
    <row r="164" spans="1:7" ht="38.25">
      <c r="A164" s="74" t="s">
        <v>805</v>
      </c>
      <c r="B164" s="21"/>
      <c r="C164" s="103" t="s">
        <v>808</v>
      </c>
      <c r="D164" s="39">
        <f>D165</f>
        <v>101</v>
      </c>
      <c r="E164" s="39">
        <f t="shared" ref="E164:F164" si="66">E165</f>
        <v>0</v>
      </c>
      <c r="F164" s="39">
        <f t="shared" si="66"/>
        <v>0</v>
      </c>
      <c r="G164" s="109"/>
    </row>
    <row r="165" spans="1:7" ht="51">
      <c r="A165" s="166" t="s">
        <v>806</v>
      </c>
      <c r="B165" s="85"/>
      <c r="C165" s="165" t="s">
        <v>959</v>
      </c>
      <c r="D165" s="39">
        <f>D166</f>
        <v>101</v>
      </c>
      <c r="E165" s="39">
        <f>E166</f>
        <v>0</v>
      </c>
      <c r="F165" s="39">
        <f>F166</f>
        <v>0</v>
      </c>
      <c r="G165" s="109"/>
    </row>
    <row r="166" spans="1:7">
      <c r="A166" s="166" t="s">
        <v>806</v>
      </c>
      <c r="B166" s="21" t="s">
        <v>344</v>
      </c>
      <c r="C166" s="103" t="s">
        <v>343</v>
      </c>
      <c r="D166" s="39">
        <f>1+100</f>
        <v>101</v>
      </c>
      <c r="E166" s="39">
        <v>0</v>
      </c>
      <c r="F166" s="39">
        <v>0</v>
      </c>
      <c r="G166" s="109"/>
    </row>
    <row r="167" spans="1:7" ht="38.25">
      <c r="A167" s="74" t="s">
        <v>799</v>
      </c>
      <c r="B167" s="21"/>
      <c r="C167" s="103" t="s">
        <v>807</v>
      </c>
      <c r="D167" s="39">
        <f>D168</f>
        <v>1000</v>
      </c>
      <c r="E167" s="39">
        <f t="shared" ref="E167:F168" si="67">E168</f>
        <v>0</v>
      </c>
      <c r="F167" s="39">
        <f t="shared" si="67"/>
        <v>0</v>
      </c>
      <c r="G167" s="109"/>
    </row>
    <row r="168" spans="1:7">
      <c r="A168" s="74" t="s">
        <v>800</v>
      </c>
      <c r="B168" s="21"/>
      <c r="C168" s="103" t="s">
        <v>801</v>
      </c>
      <c r="D168" s="39">
        <f>D169</f>
        <v>1000</v>
      </c>
      <c r="E168" s="39">
        <f t="shared" si="67"/>
        <v>0</v>
      </c>
      <c r="F168" s="39">
        <f t="shared" si="67"/>
        <v>0</v>
      </c>
      <c r="G168" s="109"/>
    </row>
    <row r="169" spans="1:7">
      <c r="A169" s="74" t="s">
        <v>800</v>
      </c>
      <c r="B169" s="21" t="s">
        <v>344</v>
      </c>
      <c r="C169" s="103" t="s">
        <v>343</v>
      </c>
      <c r="D169" s="39">
        <v>1000</v>
      </c>
      <c r="E169" s="39">
        <v>0</v>
      </c>
      <c r="F169" s="39">
        <v>0</v>
      </c>
      <c r="G169" s="109"/>
    </row>
    <row r="170" spans="1:7" ht="25.5">
      <c r="A170" s="52" t="s">
        <v>65</v>
      </c>
      <c r="B170" s="35"/>
      <c r="C170" s="48" t="s">
        <v>303</v>
      </c>
      <c r="D170" s="58">
        <f>D171</f>
        <v>918.7</v>
      </c>
      <c r="E170" s="58">
        <f t="shared" ref="E170:F170" si="68">E171</f>
        <v>666.09999999999991</v>
      </c>
      <c r="F170" s="58">
        <f t="shared" si="68"/>
        <v>666.09999999999991</v>
      </c>
      <c r="G170" s="109"/>
    </row>
    <row r="171" spans="1:7" ht="76.5">
      <c r="A171" s="21" t="s">
        <v>392</v>
      </c>
      <c r="B171" s="35"/>
      <c r="C171" s="105" t="s">
        <v>393</v>
      </c>
      <c r="D171" s="58">
        <f>D172+D174+D177</f>
        <v>918.7</v>
      </c>
      <c r="E171" s="58">
        <f t="shared" ref="E171:F171" si="69">E172+E174+E177</f>
        <v>666.09999999999991</v>
      </c>
      <c r="F171" s="58">
        <f t="shared" si="69"/>
        <v>666.09999999999991</v>
      </c>
      <c r="G171" s="109"/>
    </row>
    <row r="172" spans="1:7" ht="76.5">
      <c r="A172" s="21" t="s">
        <v>66</v>
      </c>
      <c r="B172" s="21"/>
      <c r="C172" s="105" t="s">
        <v>256</v>
      </c>
      <c r="D172" s="39">
        <f t="shared" ref="D172:F172" si="70">D173</f>
        <v>282.2</v>
      </c>
      <c r="E172" s="39">
        <f t="shared" si="70"/>
        <v>282.2</v>
      </c>
      <c r="F172" s="39">
        <f t="shared" si="70"/>
        <v>282.2</v>
      </c>
      <c r="G172" s="109"/>
    </row>
    <row r="173" spans="1:7" ht="38.25">
      <c r="A173" s="21" t="s">
        <v>66</v>
      </c>
      <c r="B173" s="85" t="s">
        <v>325</v>
      </c>
      <c r="C173" s="103" t="s">
        <v>326</v>
      </c>
      <c r="D173" s="39">
        <v>282.2</v>
      </c>
      <c r="E173" s="39">
        <v>282.2</v>
      </c>
      <c r="F173" s="39">
        <v>282.2</v>
      </c>
      <c r="G173" s="109"/>
    </row>
    <row r="174" spans="1:7" ht="51">
      <c r="A174" s="21" t="s">
        <v>67</v>
      </c>
      <c r="B174" s="21"/>
      <c r="C174" s="105" t="s">
        <v>104</v>
      </c>
      <c r="D174" s="39">
        <f t="shared" ref="D174:E174" si="71">SUM(D175:D176)</f>
        <v>52.4</v>
      </c>
      <c r="E174" s="39">
        <f t="shared" si="71"/>
        <v>383.9</v>
      </c>
      <c r="F174" s="39">
        <f t="shared" ref="F174" si="72">SUM(F175:F176)</f>
        <v>383.9</v>
      </c>
      <c r="G174" s="109"/>
    </row>
    <row r="175" spans="1:7" ht="25.5">
      <c r="A175" s="21" t="s">
        <v>67</v>
      </c>
      <c r="B175" s="85" t="s">
        <v>107</v>
      </c>
      <c r="C175" s="55" t="s">
        <v>182</v>
      </c>
      <c r="D175" s="39">
        <v>27.4</v>
      </c>
      <c r="E175" s="39">
        <v>283.89999999999998</v>
      </c>
      <c r="F175" s="39">
        <v>283.89999999999998</v>
      </c>
      <c r="G175" s="109"/>
    </row>
    <row r="176" spans="1:7" ht="38.25">
      <c r="A176" s="21" t="s">
        <v>67</v>
      </c>
      <c r="B176" s="85" t="s">
        <v>325</v>
      </c>
      <c r="C176" s="103" t="s">
        <v>326</v>
      </c>
      <c r="D176" s="39">
        <v>25</v>
      </c>
      <c r="E176" s="39">
        <v>100</v>
      </c>
      <c r="F176" s="39">
        <v>100</v>
      </c>
      <c r="G176" s="109"/>
    </row>
    <row r="177" spans="1:7" ht="29.25" customHeight="1">
      <c r="A177" s="21" t="s">
        <v>911</v>
      </c>
      <c r="B177" s="85"/>
      <c r="C177" s="103" t="s">
        <v>912</v>
      </c>
      <c r="D177" s="39">
        <f>D178</f>
        <v>584.1</v>
      </c>
      <c r="E177" s="39">
        <f t="shared" ref="E177:F177" si="73">E178</f>
        <v>0</v>
      </c>
      <c r="F177" s="39">
        <f t="shared" si="73"/>
        <v>0</v>
      </c>
      <c r="G177" s="109"/>
    </row>
    <row r="178" spans="1:7" ht="38.25">
      <c r="A178" s="21" t="s">
        <v>911</v>
      </c>
      <c r="B178" s="85" t="s">
        <v>325</v>
      </c>
      <c r="C178" s="103" t="s">
        <v>326</v>
      </c>
      <c r="D178" s="39">
        <v>584.1</v>
      </c>
      <c r="E178" s="39">
        <v>0</v>
      </c>
      <c r="F178" s="39">
        <v>0</v>
      </c>
      <c r="G178" s="109"/>
    </row>
    <row r="179" spans="1:7" ht="25.5">
      <c r="A179" s="52" t="s">
        <v>39</v>
      </c>
      <c r="B179" s="21"/>
      <c r="C179" s="48" t="s">
        <v>257</v>
      </c>
      <c r="D179" s="41">
        <f t="shared" ref="D179:E179" si="74">D180+D187</f>
        <v>7571.5</v>
      </c>
      <c r="E179" s="41">
        <f t="shared" si="74"/>
        <v>5959.3</v>
      </c>
      <c r="F179" s="41">
        <f t="shared" ref="F179" si="75">F180+F187</f>
        <v>5959.3</v>
      </c>
      <c r="G179" s="109"/>
    </row>
    <row r="180" spans="1:7" ht="25.5">
      <c r="A180" s="21" t="s">
        <v>315</v>
      </c>
      <c r="B180" s="16"/>
      <c r="C180" s="107" t="s">
        <v>485</v>
      </c>
      <c r="D180" s="41">
        <f t="shared" ref="D180:E180" si="76">D181+D183+D185</f>
        <v>311.20000000000005</v>
      </c>
      <c r="E180" s="41">
        <f t="shared" si="76"/>
        <v>150</v>
      </c>
      <c r="F180" s="41">
        <f t="shared" ref="F180" si="77">F181+F183+F185</f>
        <v>150</v>
      </c>
      <c r="G180" s="109"/>
    </row>
    <row r="181" spans="1:7" ht="51">
      <c r="A181" s="81" t="s">
        <v>40</v>
      </c>
      <c r="B181" s="16"/>
      <c r="C181" s="106" t="s">
        <v>311</v>
      </c>
      <c r="D181" s="39">
        <f t="shared" ref="D181:F181" si="78">D182</f>
        <v>6.6</v>
      </c>
      <c r="E181" s="39">
        <f t="shared" si="78"/>
        <v>5</v>
      </c>
      <c r="F181" s="39">
        <f t="shared" si="78"/>
        <v>5</v>
      </c>
      <c r="G181" s="109"/>
    </row>
    <row r="182" spans="1:7" ht="38.25">
      <c r="A182" s="81" t="s">
        <v>40</v>
      </c>
      <c r="B182" s="85" t="s">
        <v>325</v>
      </c>
      <c r="C182" s="103" t="s">
        <v>326</v>
      </c>
      <c r="D182" s="41">
        <v>6.6</v>
      </c>
      <c r="E182" s="41">
        <v>5</v>
      </c>
      <c r="F182" s="41">
        <v>5</v>
      </c>
      <c r="G182" s="109"/>
    </row>
    <row r="183" spans="1:7" ht="25.5">
      <c r="A183" s="81" t="s">
        <v>41</v>
      </c>
      <c r="B183" s="16"/>
      <c r="C183" s="103" t="s">
        <v>258</v>
      </c>
      <c r="D183" s="41">
        <f t="shared" ref="D183:F183" si="79">D184</f>
        <v>289.60000000000002</v>
      </c>
      <c r="E183" s="41">
        <f t="shared" si="79"/>
        <v>130</v>
      </c>
      <c r="F183" s="41">
        <f t="shared" si="79"/>
        <v>130</v>
      </c>
      <c r="G183" s="109"/>
    </row>
    <row r="184" spans="1:7" ht="38.25">
      <c r="A184" s="81" t="s">
        <v>41</v>
      </c>
      <c r="B184" s="85" t="s">
        <v>325</v>
      </c>
      <c r="C184" s="103" t="s">
        <v>326</v>
      </c>
      <c r="D184" s="41">
        <v>289.60000000000002</v>
      </c>
      <c r="E184" s="41">
        <v>130</v>
      </c>
      <c r="F184" s="41">
        <v>130</v>
      </c>
      <c r="G184" s="109"/>
    </row>
    <row r="185" spans="1:7" ht="51">
      <c r="A185" s="81" t="s">
        <v>42</v>
      </c>
      <c r="B185" s="16"/>
      <c r="C185" s="103" t="s">
        <v>129</v>
      </c>
      <c r="D185" s="41">
        <f t="shared" ref="D185:F185" si="80">D186</f>
        <v>15</v>
      </c>
      <c r="E185" s="41">
        <f t="shared" si="80"/>
        <v>15</v>
      </c>
      <c r="F185" s="41">
        <f t="shared" si="80"/>
        <v>15</v>
      </c>
      <c r="G185" s="109"/>
    </row>
    <row r="186" spans="1:7" ht="38.25">
      <c r="A186" s="81" t="s">
        <v>42</v>
      </c>
      <c r="B186" s="85" t="s">
        <v>325</v>
      </c>
      <c r="C186" s="103" t="s">
        <v>326</v>
      </c>
      <c r="D186" s="41">
        <v>15</v>
      </c>
      <c r="E186" s="41">
        <v>15</v>
      </c>
      <c r="F186" s="41">
        <v>15</v>
      </c>
      <c r="G186" s="109"/>
    </row>
    <row r="187" spans="1:7" ht="76.5">
      <c r="A187" s="21" t="s">
        <v>394</v>
      </c>
      <c r="B187" s="16"/>
      <c r="C187" s="107" t="s">
        <v>395</v>
      </c>
      <c r="D187" s="41">
        <f>D188+D190+D192</f>
        <v>7260.3</v>
      </c>
      <c r="E187" s="41">
        <f t="shared" ref="E187:F187" si="81">E188+E190+E192</f>
        <v>5809.3</v>
      </c>
      <c r="F187" s="41">
        <f t="shared" si="81"/>
        <v>5809.3</v>
      </c>
      <c r="G187" s="109"/>
    </row>
    <row r="188" spans="1:7" ht="38.25">
      <c r="A188" s="74" t="s">
        <v>313</v>
      </c>
      <c r="B188" s="16"/>
      <c r="C188" s="103" t="s">
        <v>0</v>
      </c>
      <c r="D188" s="41">
        <f>D189</f>
        <v>6723.5</v>
      </c>
      <c r="E188" s="41">
        <f>E189</f>
        <v>5709.3</v>
      </c>
      <c r="F188" s="41">
        <f>F189</f>
        <v>5709.3</v>
      </c>
      <c r="G188" s="109"/>
    </row>
    <row r="189" spans="1:7">
      <c r="A189" s="74" t="s">
        <v>313</v>
      </c>
      <c r="B189" s="85" t="s">
        <v>344</v>
      </c>
      <c r="C189" s="103" t="s">
        <v>343</v>
      </c>
      <c r="D189" s="41">
        <v>6723.5</v>
      </c>
      <c r="E189" s="41">
        <v>5709.3</v>
      </c>
      <c r="F189" s="41">
        <v>5709.3</v>
      </c>
      <c r="G189" s="109"/>
    </row>
    <row r="190" spans="1:7" ht="63.75">
      <c r="A190" s="74" t="s">
        <v>328</v>
      </c>
      <c r="B190" s="16"/>
      <c r="C190" s="103" t="s">
        <v>259</v>
      </c>
      <c r="D190" s="41">
        <f t="shared" ref="D190:F190" si="82">D191</f>
        <v>486.8</v>
      </c>
      <c r="E190" s="41">
        <f t="shared" si="82"/>
        <v>100</v>
      </c>
      <c r="F190" s="41">
        <f t="shared" si="82"/>
        <v>100</v>
      </c>
      <c r="G190" s="109"/>
    </row>
    <row r="191" spans="1:7">
      <c r="A191" s="74" t="s">
        <v>328</v>
      </c>
      <c r="B191" s="85" t="s">
        <v>344</v>
      </c>
      <c r="C191" s="103" t="s">
        <v>343</v>
      </c>
      <c r="D191" s="41">
        <f>486.8</f>
        <v>486.8</v>
      </c>
      <c r="E191" s="41">
        <v>100</v>
      </c>
      <c r="F191" s="41">
        <v>100</v>
      </c>
      <c r="G191" s="109"/>
    </row>
    <row r="192" spans="1:7">
      <c r="A192" s="74" t="s">
        <v>751</v>
      </c>
      <c r="B192" s="85"/>
      <c r="C192" s="103" t="s">
        <v>752</v>
      </c>
      <c r="D192" s="41">
        <f>D193</f>
        <v>50</v>
      </c>
      <c r="E192" s="41">
        <f t="shared" ref="E192:F192" si="83">E193</f>
        <v>0</v>
      </c>
      <c r="F192" s="41">
        <f t="shared" si="83"/>
        <v>0</v>
      </c>
      <c r="G192" s="109"/>
    </row>
    <row r="193" spans="1:7" ht="38.25">
      <c r="A193" s="74" t="s">
        <v>751</v>
      </c>
      <c r="B193" s="85" t="s">
        <v>325</v>
      </c>
      <c r="C193" s="103" t="s">
        <v>326</v>
      </c>
      <c r="D193" s="41">
        <v>50</v>
      </c>
      <c r="E193" s="41">
        <v>0</v>
      </c>
      <c r="F193" s="41">
        <v>0</v>
      </c>
      <c r="G193" s="109"/>
    </row>
    <row r="194" spans="1:7" ht="63.75">
      <c r="A194" s="75">
        <v>240000000</v>
      </c>
      <c r="B194" s="16"/>
      <c r="C194" s="48" t="s">
        <v>260</v>
      </c>
      <c r="D194" s="98">
        <f t="shared" ref="D194:F194" si="84">D195</f>
        <v>50</v>
      </c>
      <c r="E194" s="98">
        <f t="shared" si="84"/>
        <v>50</v>
      </c>
      <c r="F194" s="98">
        <f t="shared" si="84"/>
        <v>50</v>
      </c>
      <c r="G194" s="109"/>
    </row>
    <row r="195" spans="1:7" ht="51">
      <c r="A195" s="74">
        <v>240100000</v>
      </c>
      <c r="B195" s="16"/>
      <c r="C195" s="112" t="s">
        <v>495</v>
      </c>
      <c r="D195" s="104">
        <f t="shared" ref="D195:E195" si="85">D196+D198</f>
        <v>50</v>
      </c>
      <c r="E195" s="104">
        <f t="shared" si="85"/>
        <v>50</v>
      </c>
      <c r="F195" s="104">
        <f t="shared" ref="F195" si="86">F196+F198</f>
        <v>50</v>
      </c>
      <c r="G195" s="109"/>
    </row>
    <row r="196" spans="1:7" ht="81" customHeight="1">
      <c r="A196" s="74" t="s">
        <v>590</v>
      </c>
      <c r="B196" s="16"/>
      <c r="C196" s="103" t="s">
        <v>262</v>
      </c>
      <c r="D196" s="41">
        <f t="shared" ref="D196:F196" si="87">D197</f>
        <v>5</v>
      </c>
      <c r="E196" s="41">
        <f t="shared" si="87"/>
        <v>5</v>
      </c>
      <c r="F196" s="41">
        <f t="shared" si="87"/>
        <v>5</v>
      </c>
      <c r="G196" s="109"/>
    </row>
    <row r="197" spans="1:7" ht="38.25">
      <c r="A197" s="74" t="s">
        <v>590</v>
      </c>
      <c r="B197" s="85" t="s">
        <v>325</v>
      </c>
      <c r="C197" s="103" t="s">
        <v>326</v>
      </c>
      <c r="D197" s="41">
        <v>5</v>
      </c>
      <c r="E197" s="41">
        <v>5</v>
      </c>
      <c r="F197" s="41">
        <v>5</v>
      </c>
      <c r="G197" s="109"/>
    </row>
    <row r="198" spans="1:7">
      <c r="A198" s="74" t="s">
        <v>591</v>
      </c>
      <c r="B198" s="16"/>
      <c r="C198" s="103" t="s">
        <v>264</v>
      </c>
      <c r="D198" s="41">
        <f t="shared" ref="D198:F198" si="88">D199</f>
        <v>45</v>
      </c>
      <c r="E198" s="41">
        <f t="shared" si="88"/>
        <v>45</v>
      </c>
      <c r="F198" s="41">
        <f t="shared" si="88"/>
        <v>45</v>
      </c>
      <c r="G198" s="109"/>
    </row>
    <row r="199" spans="1:7" ht="38.25">
      <c r="A199" s="74" t="s">
        <v>591</v>
      </c>
      <c r="B199" s="85" t="s">
        <v>325</v>
      </c>
      <c r="C199" s="103" t="s">
        <v>326</v>
      </c>
      <c r="D199" s="41">
        <v>45</v>
      </c>
      <c r="E199" s="41">
        <v>45</v>
      </c>
      <c r="F199" s="41">
        <v>45</v>
      </c>
      <c r="G199" s="109"/>
    </row>
    <row r="200" spans="1:7" ht="25.5">
      <c r="A200" s="75">
        <v>250000000</v>
      </c>
      <c r="B200" s="85"/>
      <c r="C200" s="48" t="s">
        <v>457</v>
      </c>
      <c r="D200" s="98">
        <f t="shared" ref="D200:F201" si="89">D201</f>
        <v>0</v>
      </c>
      <c r="E200" s="98">
        <f t="shared" si="89"/>
        <v>140</v>
      </c>
      <c r="F200" s="98">
        <f t="shared" si="89"/>
        <v>140</v>
      </c>
      <c r="G200" s="109"/>
    </row>
    <row r="201" spans="1:7" ht="25.5">
      <c r="A201" s="74">
        <v>250100000</v>
      </c>
      <c r="B201" s="85"/>
      <c r="C201" s="112" t="s">
        <v>455</v>
      </c>
      <c r="D201" s="104">
        <f t="shared" si="89"/>
        <v>0</v>
      </c>
      <c r="E201" s="104">
        <f t="shared" si="89"/>
        <v>140</v>
      </c>
      <c r="F201" s="104">
        <f t="shared" si="89"/>
        <v>140</v>
      </c>
      <c r="G201" s="109"/>
    </row>
    <row r="202" spans="1:7" ht="38.25">
      <c r="A202" s="74" t="s">
        <v>261</v>
      </c>
      <c r="B202" s="85"/>
      <c r="C202" s="103" t="s">
        <v>456</v>
      </c>
      <c r="D202" s="41">
        <f t="shared" ref="D202:F202" si="90">D203</f>
        <v>0</v>
      </c>
      <c r="E202" s="41">
        <f t="shared" si="90"/>
        <v>140</v>
      </c>
      <c r="F202" s="41">
        <f t="shared" si="90"/>
        <v>140</v>
      </c>
      <c r="G202" s="109"/>
    </row>
    <row r="203" spans="1:7" ht="41.25" customHeight="1">
      <c r="A203" s="74" t="s">
        <v>261</v>
      </c>
      <c r="B203" s="85" t="s">
        <v>325</v>
      </c>
      <c r="C203" s="103" t="s">
        <v>326</v>
      </c>
      <c r="D203" s="41">
        <f>90-90</f>
        <v>0</v>
      </c>
      <c r="E203" s="41">
        <v>140</v>
      </c>
      <c r="F203" s="41">
        <v>140</v>
      </c>
      <c r="G203" s="109"/>
    </row>
    <row r="204" spans="1:7">
      <c r="A204" s="52" t="s">
        <v>43</v>
      </c>
      <c r="B204" s="21"/>
      <c r="C204" s="66" t="s">
        <v>70</v>
      </c>
      <c r="D204" s="58">
        <f t="shared" ref="D204:F204" si="91">D205</f>
        <v>2796.8</v>
      </c>
      <c r="E204" s="58">
        <f t="shared" si="91"/>
        <v>2491.3000000000002</v>
      </c>
      <c r="F204" s="58">
        <f t="shared" si="91"/>
        <v>2491.3000000000002</v>
      </c>
      <c r="G204" s="109"/>
    </row>
    <row r="205" spans="1:7" ht="63.75">
      <c r="A205" s="82" t="s">
        <v>263</v>
      </c>
      <c r="B205" s="21"/>
      <c r="C205" s="103" t="s">
        <v>397</v>
      </c>
      <c r="D205" s="99">
        <f>SUM(D206:D207)</f>
        <v>2796.8</v>
      </c>
      <c r="E205" s="99">
        <f>SUM(E206:E207)</f>
        <v>2491.3000000000002</v>
      </c>
      <c r="F205" s="99">
        <f>SUM(F206:F207)</f>
        <v>2491.3000000000002</v>
      </c>
      <c r="G205" s="109"/>
    </row>
    <row r="206" spans="1:7" ht="25.5">
      <c r="A206" s="82" t="s">
        <v>263</v>
      </c>
      <c r="B206" s="16" t="s">
        <v>105</v>
      </c>
      <c r="C206" s="55" t="s">
        <v>106</v>
      </c>
      <c r="D206" s="99">
        <v>2762.5</v>
      </c>
      <c r="E206" s="99">
        <v>2463.5</v>
      </c>
      <c r="F206" s="99">
        <v>2463.5</v>
      </c>
      <c r="G206" s="109"/>
    </row>
    <row r="207" spans="1:7" ht="38.25">
      <c r="A207" s="82" t="s">
        <v>263</v>
      </c>
      <c r="B207" s="85" t="s">
        <v>325</v>
      </c>
      <c r="C207" s="103" t="s">
        <v>326</v>
      </c>
      <c r="D207" s="41">
        <v>34.299999999999997</v>
      </c>
      <c r="E207" s="41">
        <v>27.8</v>
      </c>
      <c r="F207" s="41">
        <v>27.8</v>
      </c>
      <c r="G207" s="109"/>
    </row>
    <row r="208" spans="1:7" ht="51">
      <c r="A208" s="73" t="s">
        <v>114</v>
      </c>
      <c r="B208" s="16"/>
      <c r="C208" s="53" t="s">
        <v>553</v>
      </c>
      <c r="D208" s="101">
        <f>D209+D223</f>
        <v>16433.399999999998</v>
      </c>
      <c r="E208" s="101">
        <f>E209+E223</f>
        <v>4588</v>
      </c>
      <c r="F208" s="101">
        <f>F209+F223</f>
        <v>4588</v>
      </c>
    </row>
    <row r="209" spans="1:6" ht="25.5">
      <c r="A209" s="52" t="s">
        <v>115</v>
      </c>
      <c r="B209" s="16"/>
      <c r="C209" s="48" t="s">
        <v>226</v>
      </c>
      <c r="D209" s="98">
        <f t="shared" ref="D209:E209" si="92">D210+D213</f>
        <v>9729.6999999999989</v>
      </c>
      <c r="E209" s="98">
        <f t="shared" si="92"/>
        <v>4388</v>
      </c>
      <c r="F209" s="98">
        <f t="shared" ref="F209" si="93">F210+F213</f>
        <v>4388</v>
      </c>
    </row>
    <row r="210" spans="1:6" ht="38.25">
      <c r="A210" s="21" t="s">
        <v>376</v>
      </c>
      <c r="B210" s="16"/>
      <c r="C210" s="105" t="s">
        <v>377</v>
      </c>
      <c r="D210" s="104">
        <f t="shared" ref="D210:F210" si="94">D211</f>
        <v>250</v>
      </c>
      <c r="E210" s="104">
        <f t="shared" si="94"/>
        <v>250</v>
      </c>
      <c r="F210" s="104">
        <f t="shared" si="94"/>
        <v>250</v>
      </c>
    </row>
    <row r="211" spans="1:6" ht="38.25">
      <c r="A211" s="85" t="s">
        <v>228</v>
      </c>
      <c r="B211" s="16"/>
      <c r="C211" s="102" t="s">
        <v>227</v>
      </c>
      <c r="D211" s="41">
        <f>D212</f>
        <v>250</v>
      </c>
      <c r="E211" s="41">
        <f>E212</f>
        <v>250</v>
      </c>
      <c r="F211" s="41">
        <f>F212</f>
        <v>250</v>
      </c>
    </row>
    <row r="212" spans="1:6" ht="38.25">
      <c r="A212" s="85" t="s">
        <v>228</v>
      </c>
      <c r="B212" s="85" t="s">
        <v>325</v>
      </c>
      <c r="C212" s="103" t="s">
        <v>326</v>
      </c>
      <c r="D212" s="41">
        <v>250</v>
      </c>
      <c r="E212" s="41">
        <v>250</v>
      </c>
      <c r="F212" s="41">
        <v>250</v>
      </c>
    </row>
    <row r="213" spans="1:6" ht="51.75" customHeight="1">
      <c r="A213" s="21" t="s">
        <v>378</v>
      </c>
      <c r="B213" s="85"/>
      <c r="C213" s="105" t="s">
        <v>379</v>
      </c>
      <c r="D213" s="41">
        <f>D214+D216+D218+D221</f>
        <v>9479.6999999999989</v>
      </c>
      <c r="E213" s="41">
        <f t="shared" ref="E213:F213" si="95">E214+E216+E218+E221</f>
        <v>4138</v>
      </c>
      <c r="F213" s="41">
        <f t="shared" si="95"/>
        <v>4138</v>
      </c>
    </row>
    <row r="214" spans="1:6" ht="51">
      <c r="A214" s="74" t="s">
        <v>116</v>
      </c>
      <c r="B214" s="16"/>
      <c r="C214" s="102" t="s">
        <v>229</v>
      </c>
      <c r="D214" s="41">
        <f>D215</f>
        <v>122.5</v>
      </c>
      <c r="E214" s="41">
        <f>E215</f>
        <v>100</v>
      </c>
      <c r="F214" s="41">
        <f>F215</f>
        <v>100</v>
      </c>
    </row>
    <row r="215" spans="1:6" ht="38.25">
      <c r="A215" s="74" t="s">
        <v>116</v>
      </c>
      <c r="B215" s="85" t="s">
        <v>325</v>
      </c>
      <c r="C215" s="103" t="s">
        <v>326</v>
      </c>
      <c r="D215" s="41">
        <f>100+19+3.5</f>
        <v>122.5</v>
      </c>
      <c r="E215" s="41">
        <v>100</v>
      </c>
      <c r="F215" s="41">
        <v>100</v>
      </c>
    </row>
    <row r="216" spans="1:6" ht="76.5">
      <c r="A216" s="74" t="s">
        <v>117</v>
      </c>
      <c r="B216" s="16"/>
      <c r="C216" s="102" t="s">
        <v>230</v>
      </c>
      <c r="D216" s="41">
        <f>D217</f>
        <v>130.5</v>
      </c>
      <c r="E216" s="41">
        <f>E217</f>
        <v>110</v>
      </c>
      <c r="F216" s="41">
        <f>F217</f>
        <v>110</v>
      </c>
    </row>
    <row r="217" spans="1:6" ht="38.25">
      <c r="A217" s="74" t="s">
        <v>117</v>
      </c>
      <c r="B217" s="85" t="s">
        <v>325</v>
      </c>
      <c r="C217" s="103" t="s">
        <v>326</v>
      </c>
      <c r="D217" s="41">
        <f>134-3.5</f>
        <v>130.5</v>
      </c>
      <c r="E217" s="41">
        <v>110</v>
      </c>
      <c r="F217" s="41">
        <v>110</v>
      </c>
    </row>
    <row r="218" spans="1:6" ht="38.25">
      <c r="A218" s="74" t="s">
        <v>118</v>
      </c>
      <c r="B218" s="16"/>
      <c r="C218" s="102" t="s">
        <v>231</v>
      </c>
      <c r="D218" s="41">
        <f>SUM(D219:D220)</f>
        <v>8600.6999999999989</v>
      </c>
      <c r="E218" s="41">
        <f>SUM(E219:E219)</f>
        <v>3928</v>
      </c>
      <c r="F218" s="41">
        <f>SUM(F219:F219)</f>
        <v>3928</v>
      </c>
    </row>
    <row r="219" spans="1:6" ht="38.25">
      <c r="A219" s="74" t="s">
        <v>118</v>
      </c>
      <c r="B219" s="85" t="s">
        <v>325</v>
      </c>
      <c r="C219" s="103" t="s">
        <v>326</v>
      </c>
      <c r="D219" s="41">
        <f>5444.5+1424.7-36.6+120-28+969.7-10.7+323.6+300</f>
        <v>8507.1999999999989</v>
      </c>
      <c r="E219" s="41">
        <v>3928</v>
      </c>
      <c r="F219" s="41">
        <v>3928</v>
      </c>
    </row>
    <row r="220" spans="1:6">
      <c r="A220" s="74" t="s">
        <v>118</v>
      </c>
      <c r="B220" s="85" t="s">
        <v>183</v>
      </c>
      <c r="C220" s="179" t="s">
        <v>184</v>
      </c>
      <c r="D220" s="41">
        <f>36.6+28+10.7+18.2</f>
        <v>93.5</v>
      </c>
      <c r="E220" s="41">
        <v>0</v>
      </c>
      <c r="F220" s="41">
        <v>0</v>
      </c>
    </row>
    <row r="221" spans="1:6" ht="38.25">
      <c r="A221" s="74" t="s">
        <v>962</v>
      </c>
      <c r="B221" s="84"/>
      <c r="C221" s="103" t="s">
        <v>963</v>
      </c>
      <c r="D221" s="41">
        <f>SUM(D222)</f>
        <v>626</v>
      </c>
      <c r="E221" s="41">
        <f t="shared" ref="E221:F221" si="96">SUM(E222)</f>
        <v>0</v>
      </c>
      <c r="F221" s="41">
        <f t="shared" si="96"/>
        <v>0</v>
      </c>
    </row>
    <row r="222" spans="1:6" ht="63.75">
      <c r="A222" s="74" t="s">
        <v>962</v>
      </c>
      <c r="B222" s="84" t="s">
        <v>15</v>
      </c>
      <c r="C222" s="103" t="s">
        <v>663</v>
      </c>
      <c r="D222" s="41">
        <v>626</v>
      </c>
      <c r="E222" s="41">
        <v>0</v>
      </c>
      <c r="F222" s="41">
        <v>0</v>
      </c>
    </row>
    <row r="223" spans="1:6" ht="38.25">
      <c r="A223" s="52" t="s">
        <v>233</v>
      </c>
      <c r="B223" s="16"/>
      <c r="C223" s="48" t="s">
        <v>232</v>
      </c>
      <c r="D223" s="98">
        <f>D224+D227</f>
        <v>6703.7</v>
      </c>
      <c r="E223" s="98">
        <f>E224+E227</f>
        <v>200</v>
      </c>
      <c r="F223" s="98">
        <f>F224+F227</f>
        <v>200</v>
      </c>
    </row>
    <row r="224" spans="1:6" ht="63.75">
      <c r="A224" s="21" t="s">
        <v>380</v>
      </c>
      <c r="B224" s="16"/>
      <c r="C224" s="105" t="s">
        <v>486</v>
      </c>
      <c r="D224" s="41">
        <f t="shared" ref="D224:F225" si="97">D225</f>
        <v>157</v>
      </c>
      <c r="E224" s="41">
        <f t="shared" si="97"/>
        <v>164</v>
      </c>
      <c r="F224" s="41">
        <f t="shared" si="97"/>
        <v>164</v>
      </c>
    </row>
    <row r="225" spans="1:6" ht="51">
      <c r="A225" s="21" t="s">
        <v>235</v>
      </c>
      <c r="B225" s="30"/>
      <c r="C225" s="102" t="s">
        <v>234</v>
      </c>
      <c r="D225" s="41">
        <f t="shared" si="97"/>
        <v>157</v>
      </c>
      <c r="E225" s="41">
        <f t="shared" si="97"/>
        <v>164</v>
      </c>
      <c r="F225" s="41">
        <f t="shared" si="97"/>
        <v>164</v>
      </c>
    </row>
    <row r="226" spans="1:6" ht="38.25">
      <c r="A226" s="21" t="s">
        <v>235</v>
      </c>
      <c r="B226" s="85" t="s">
        <v>325</v>
      </c>
      <c r="C226" s="103" t="s">
        <v>326</v>
      </c>
      <c r="D226" s="39">
        <f>164-7</f>
        <v>157</v>
      </c>
      <c r="E226" s="39">
        <v>164</v>
      </c>
      <c r="F226" s="39">
        <v>164</v>
      </c>
    </row>
    <row r="227" spans="1:6" ht="25.5">
      <c r="A227" s="21" t="s">
        <v>616</v>
      </c>
      <c r="B227" s="85"/>
      <c r="C227" s="105" t="s">
        <v>612</v>
      </c>
      <c r="D227" s="41">
        <f>D228+D230</f>
        <v>6546.7</v>
      </c>
      <c r="E227" s="41">
        <f t="shared" ref="E227:F227" si="98">E228+E230</f>
        <v>36</v>
      </c>
      <c r="F227" s="41">
        <f t="shared" si="98"/>
        <v>36</v>
      </c>
    </row>
    <row r="228" spans="1:6" ht="38.25">
      <c r="A228" s="85" t="s">
        <v>611</v>
      </c>
      <c r="B228" s="30"/>
      <c r="C228" s="102" t="s">
        <v>242</v>
      </c>
      <c r="D228" s="41">
        <f>D229</f>
        <v>24</v>
      </c>
      <c r="E228" s="41">
        <f>E229</f>
        <v>36</v>
      </c>
      <c r="F228" s="41">
        <f>F229</f>
        <v>36</v>
      </c>
    </row>
    <row r="229" spans="1:6" ht="38.25">
      <c r="A229" s="85" t="s">
        <v>611</v>
      </c>
      <c r="B229" s="85" t="s">
        <v>325</v>
      </c>
      <c r="C229" s="103" t="s">
        <v>326</v>
      </c>
      <c r="D229" s="41">
        <f>36-12</f>
        <v>24</v>
      </c>
      <c r="E229" s="41">
        <v>36</v>
      </c>
      <c r="F229" s="41">
        <v>36</v>
      </c>
    </row>
    <row r="230" spans="1:6" ht="38.25">
      <c r="A230" s="85" t="s">
        <v>720</v>
      </c>
      <c r="B230" s="85"/>
      <c r="C230" s="103" t="s">
        <v>721</v>
      </c>
      <c r="D230" s="41">
        <f>D231</f>
        <v>6522.7</v>
      </c>
      <c r="E230" s="41">
        <f t="shared" ref="E230:F230" si="99">E231</f>
        <v>0</v>
      </c>
      <c r="F230" s="41">
        <f t="shared" si="99"/>
        <v>0</v>
      </c>
    </row>
    <row r="231" spans="1:6" ht="38.25">
      <c r="A231" s="85" t="s">
        <v>720</v>
      </c>
      <c r="B231" s="85" t="s">
        <v>325</v>
      </c>
      <c r="C231" s="103" t="s">
        <v>326</v>
      </c>
      <c r="D231" s="41">
        <f>430.7+6093.8-1.8</f>
        <v>6522.7</v>
      </c>
      <c r="E231" s="41">
        <v>0</v>
      </c>
      <c r="F231" s="41">
        <v>0</v>
      </c>
    </row>
    <row r="232" spans="1:6" ht="51">
      <c r="A232" s="76">
        <v>400000000</v>
      </c>
      <c r="B232" s="30"/>
      <c r="C232" s="64" t="s">
        <v>532</v>
      </c>
      <c r="D232" s="101">
        <f>D233+D237+D253+D260</f>
        <v>16777</v>
      </c>
      <c r="E232" s="101">
        <f>E233+E237+E253+E260</f>
        <v>6615.2000000000007</v>
      </c>
      <c r="F232" s="101">
        <f>F233+F237+F253+F260</f>
        <v>6615.2000000000007</v>
      </c>
    </row>
    <row r="233" spans="1:6" ht="38.25">
      <c r="A233" s="75">
        <v>410000000</v>
      </c>
      <c r="B233" s="30"/>
      <c r="C233" s="46" t="s">
        <v>237</v>
      </c>
      <c r="D233" s="98">
        <f t="shared" ref="D233:F234" si="100">D234</f>
        <v>324.2</v>
      </c>
      <c r="E233" s="98">
        <f t="shared" si="100"/>
        <v>63</v>
      </c>
      <c r="F233" s="98">
        <f t="shared" si="100"/>
        <v>63</v>
      </c>
    </row>
    <row r="234" spans="1:6" ht="25.5">
      <c r="A234" s="74">
        <v>410100000</v>
      </c>
      <c r="B234" s="30"/>
      <c r="C234" s="102" t="s">
        <v>353</v>
      </c>
      <c r="D234" s="98">
        <f>D235</f>
        <v>324.2</v>
      </c>
      <c r="E234" s="98">
        <f t="shared" si="100"/>
        <v>63</v>
      </c>
      <c r="F234" s="98">
        <f t="shared" si="100"/>
        <v>63</v>
      </c>
    </row>
    <row r="235" spans="1:6" ht="25.5">
      <c r="A235" s="74" t="s">
        <v>465</v>
      </c>
      <c r="B235" s="16"/>
      <c r="C235" s="105" t="s">
        <v>246</v>
      </c>
      <c r="D235" s="39">
        <f t="shared" ref="D235:F235" si="101">D236</f>
        <v>324.2</v>
      </c>
      <c r="E235" s="39">
        <f t="shared" si="101"/>
        <v>63</v>
      </c>
      <c r="F235" s="39">
        <f t="shared" si="101"/>
        <v>63</v>
      </c>
    </row>
    <row r="236" spans="1:6" ht="38.25">
      <c r="A236" s="74" t="s">
        <v>465</v>
      </c>
      <c r="B236" s="85" t="s">
        <v>325</v>
      </c>
      <c r="C236" s="103" t="s">
        <v>326</v>
      </c>
      <c r="D236" s="39">
        <v>324.2</v>
      </c>
      <c r="E236" s="39">
        <v>63</v>
      </c>
      <c r="F236" s="39">
        <v>63</v>
      </c>
    </row>
    <row r="237" spans="1:6" ht="51">
      <c r="A237" s="75">
        <v>420000000</v>
      </c>
      <c r="B237" s="30"/>
      <c r="C237" s="46" t="s">
        <v>354</v>
      </c>
      <c r="D237" s="98">
        <f t="shared" ref="D237:F237" si="102">D238</f>
        <v>3591.5</v>
      </c>
      <c r="E237" s="98">
        <f t="shared" si="102"/>
        <v>2384.4</v>
      </c>
      <c r="F237" s="98">
        <f t="shared" si="102"/>
        <v>2384.4</v>
      </c>
    </row>
    <row r="238" spans="1:6" ht="102">
      <c r="A238" s="74">
        <v>420100000</v>
      </c>
      <c r="B238" s="16"/>
      <c r="C238" s="102" t="s">
        <v>355</v>
      </c>
      <c r="D238" s="41">
        <f>D239+D241+D243+D245+D247+D249+D251</f>
        <v>3591.5</v>
      </c>
      <c r="E238" s="41">
        <f t="shared" ref="E238:F238" si="103">E239+E241+E243+E245+E247+E249</f>
        <v>2384.4</v>
      </c>
      <c r="F238" s="41">
        <f t="shared" si="103"/>
        <v>2384.4</v>
      </c>
    </row>
    <row r="239" spans="1:6" ht="38.25">
      <c r="A239" s="74" t="s">
        <v>481</v>
      </c>
      <c r="B239" s="16"/>
      <c r="C239" s="103" t="s">
        <v>635</v>
      </c>
      <c r="D239" s="41">
        <f t="shared" ref="D239:F239" si="104">D240</f>
        <v>300</v>
      </c>
      <c r="E239" s="41">
        <f t="shared" si="104"/>
        <v>300</v>
      </c>
      <c r="F239" s="41">
        <f t="shared" si="104"/>
        <v>300</v>
      </c>
    </row>
    <row r="240" spans="1:6" ht="63.75">
      <c r="A240" s="74" t="s">
        <v>481</v>
      </c>
      <c r="B240" s="16" t="s">
        <v>24</v>
      </c>
      <c r="C240" s="105" t="s">
        <v>655</v>
      </c>
      <c r="D240" s="41">
        <v>300</v>
      </c>
      <c r="E240" s="41">
        <v>300</v>
      </c>
      <c r="F240" s="41">
        <v>300</v>
      </c>
    </row>
    <row r="241" spans="1:6" ht="76.5">
      <c r="A241" s="74" t="s">
        <v>127</v>
      </c>
      <c r="B241" s="30"/>
      <c r="C241" s="103" t="s">
        <v>247</v>
      </c>
      <c r="D241" s="41">
        <f t="shared" ref="D241:F241" si="105">D242</f>
        <v>575.29999999999995</v>
      </c>
      <c r="E241" s="41">
        <f t="shared" si="105"/>
        <v>300</v>
      </c>
      <c r="F241" s="41">
        <f t="shared" si="105"/>
        <v>300</v>
      </c>
    </row>
    <row r="242" spans="1:6" ht="38.25">
      <c r="A242" s="74" t="s">
        <v>127</v>
      </c>
      <c r="B242" s="85" t="s">
        <v>325</v>
      </c>
      <c r="C242" s="103" t="s">
        <v>326</v>
      </c>
      <c r="D242" s="41">
        <v>575.29999999999995</v>
      </c>
      <c r="E242" s="41">
        <v>300</v>
      </c>
      <c r="F242" s="41">
        <v>300</v>
      </c>
    </row>
    <row r="243" spans="1:6" ht="76.5">
      <c r="A243" s="74" t="s">
        <v>239</v>
      </c>
      <c r="B243" s="30"/>
      <c r="C243" s="103" t="s">
        <v>308</v>
      </c>
      <c r="D243" s="41">
        <f t="shared" ref="D243:F243" si="106">D244</f>
        <v>436.8</v>
      </c>
      <c r="E243" s="41">
        <f t="shared" si="106"/>
        <v>300</v>
      </c>
      <c r="F243" s="41">
        <f t="shared" si="106"/>
        <v>300</v>
      </c>
    </row>
    <row r="244" spans="1:6" ht="38.25">
      <c r="A244" s="74" t="s">
        <v>239</v>
      </c>
      <c r="B244" s="85" t="s">
        <v>325</v>
      </c>
      <c r="C244" s="103" t="s">
        <v>326</v>
      </c>
      <c r="D244" s="41">
        <v>436.8</v>
      </c>
      <c r="E244" s="41">
        <v>300</v>
      </c>
      <c r="F244" s="41">
        <v>300</v>
      </c>
    </row>
    <row r="245" spans="1:6" ht="76.5">
      <c r="A245" s="74" t="s">
        <v>240</v>
      </c>
      <c r="B245" s="16"/>
      <c r="C245" s="103" t="s">
        <v>64</v>
      </c>
      <c r="D245" s="41">
        <f t="shared" ref="D245:F245" si="107">D246</f>
        <v>1300</v>
      </c>
      <c r="E245" s="41">
        <f t="shared" si="107"/>
        <v>600</v>
      </c>
      <c r="F245" s="41">
        <f t="shared" si="107"/>
        <v>600</v>
      </c>
    </row>
    <row r="246" spans="1:6" ht="38.25">
      <c r="A246" s="74" t="s">
        <v>240</v>
      </c>
      <c r="B246" s="85" t="s">
        <v>325</v>
      </c>
      <c r="C246" s="103" t="s">
        <v>326</v>
      </c>
      <c r="D246" s="41">
        <v>1300</v>
      </c>
      <c r="E246" s="41">
        <v>600</v>
      </c>
      <c r="F246" s="41">
        <v>600</v>
      </c>
    </row>
    <row r="247" spans="1:6" ht="38.25">
      <c r="A247" s="74">
        <v>420110320</v>
      </c>
      <c r="B247" s="16"/>
      <c r="C247" s="103" t="s">
        <v>666</v>
      </c>
      <c r="D247" s="41">
        <f t="shared" ref="D247:F247" si="108">D248</f>
        <v>884.4</v>
      </c>
      <c r="E247" s="41">
        <f t="shared" si="108"/>
        <v>884.4</v>
      </c>
      <c r="F247" s="41">
        <f t="shared" si="108"/>
        <v>884.4</v>
      </c>
    </row>
    <row r="248" spans="1:6" ht="63.75">
      <c r="A248" s="74">
        <v>420110320</v>
      </c>
      <c r="B248" s="16" t="s">
        <v>24</v>
      </c>
      <c r="C248" s="105" t="s">
        <v>655</v>
      </c>
      <c r="D248" s="41">
        <v>884.4</v>
      </c>
      <c r="E248" s="41">
        <v>884.4</v>
      </c>
      <c r="F248" s="41">
        <v>884.4</v>
      </c>
    </row>
    <row r="249" spans="1:6" ht="38.25">
      <c r="A249" s="74" t="s">
        <v>815</v>
      </c>
      <c r="B249" s="16"/>
      <c r="C249" s="103" t="s">
        <v>816</v>
      </c>
      <c r="D249" s="41">
        <f>D250</f>
        <v>10</v>
      </c>
      <c r="E249" s="41">
        <f t="shared" ref="E249:F249" si="109">E250</f>
        <v>0</v>
      </c>
      <c r="F249" s="41">
        <f t="shared" si="109"/>
        <v>0</v>
      </c>
    </row>
    <row r="250" spans="1:6" ht="63.75">
      <c r="A250" s="74" t="s">
        <v>815</v>
      </c>
      <c r="B250" s="16" t="s">
        <v>24</v>
      </c>
      <c r="C250" s="105" t="s">
        <v>655</v>
      </c>
      <c r="D250" s="41">
        <v>10</v>
      </c>
      <c r="E250" s="41">
        <v>0</v>
      </c>
      <c r="F250" s="41">
        <v>0</v>
      </c>
    </row>
    <row r="251" spans="1:6" ht="51">
      <c r="A251" s="74">
        <v>420110490</v>
      </c>
      <c r="B251" s="16"/>
      <c r="C251" s="165" t="s">
        <v>958</v>
      </c>
      <c r="D251" s="41">
        <f>D252</f>
        <v>85</v>
      </c>
      <c r="E251" s="41">
        <f t="shared" ref="E251:F251" si="110">E252</f>
        <v>0</v>
      </c>
      <c r="F251" s="41">
        <f t="shared" si="110"/>
        <v>0</v>
      </c>
    </row>
    <row r="252" spans="1:6" ht="63.75">
      <c r="A252" s="74">
        <v>420110490</v>
      </c>
      <c r="B252" s="16" t="s">
        <v>24</v>
      </c>
      <c r="C252" s="105" t="s">
        <v>655</v>
      </c>
      <c r="D252" s="41">
        <v>85</v>
      </c>
      <c r="E252" s="41">
        <v>0</v>
      </c>
      <c r="F252" s="41">
        <v>0</v>
      </c>
    </row>
    <row r="253" spans="1:6" ht="113.25" customHeight="1">
      <c r="A253" s="75">
        <v>430000000</v>
      </c>
      <c r="B253" s="16"/>
      <c r="C253" s="46" t="s">
        <v>466</v>
      </c>
      <c r="D253" s="39">
        <f>D254+D257</f>
        <v>11391.5</v>
      </c>
      <c r="E253" s="39">
        <f t="shared" ref="E253:F253" si="111">E254+E257</f>
        <v>3447.8</v>
      </c>
      <c r="F253" s="39">
        <f t="shared" si="111"/>
        <v>3447.8</v>
      </c>
    </row>
    <row r="254" spans="1:6" s="111" customFormat="1" ht="51">
      <c r="A254" s="74">
        <v>430100000</v>
      </c>
      <c r="B254" s="30"/>
      <c r="C254" s="102" t="s">
        <v>356</v>
      </c>
      <c r="D254" s="104">
        <f t="shared" ref="D254:F255" si="112">D255</f>
        <v>703.5</v>
      </c>
      <c r="E254" s="104">
        <f t="shared" si="112"/>
        <v>600</v>
      </c>
      <c r="F254" s="104">
        <f t="shared" si="112"/>
        <v>600</v>
      </c>
    </row>
    <row r="255" spans="1:6" ht="102">
      <c r="A255" s="80" t="s">
        <v>241</v>
      </c>
      <c r="B255" s="16"/>
      <c r="C255" s="103" t="s">
        <v>533</v>
      </c>
      <c r="D255" s="41">
        <f t="shared" si="112"/>
        <v>703.5</v>
      </c>
      <c r="E255" s="41">
        <f t="shared" si="112"/>
        <v>600</v>
      </c>
      <c r="F255" s="41">
        <f t="shared" si="112"/>
        <v>600</v>
      </c>
    </row>
    <row r="256" spans="1:6" ht="63.75">
      <c r="A256" s="80" t="s">
        <v>241</v>
      </c>
      <c r="B256" s="16" t="s">
        <v>15</v>
      </c>
      <c r="C256" s="103" t="s">
        <v>508</v>
      </c>
      <c r="D256" s="41">
        <f>600+103.5</f>
        <v>703.5</v>
      </c>
      <c r="E256" s="41">
        <v>600</v>
      </c>
      <c r="F256" s="41">
        <v>600</v>
      </c>
    </row>
    <row r="257" spans="1:6" ht="38.25">
      <c r="A257" s="74">
        <v>430200000</v>
      </c>
      <c r="B257" s="85"/>
      <c r="C257" s="102" t="s">
        <v>454</v>
      </c>
      <c r="D257" s="41">
        <f t="shared" ref="D257:F258" si="113">D258</f>
        <v>10688</v>
      </c>
      <c r="E257" s="41">
        <f t="shared" si="113"/>
        <v>2847.8</v>
      </c>
      <c r="F257" s="41">
        <f t="shared" si="113"/>
        <v>2847.8</v>
      </c>
    </row>
    <row r="258" spans="1:6" ht="51">
      <c r="A258" s="74" t="s">
        <v>243</v>
      </c>
      <c r="B258" s="16"/>
      <c r="C258" s="103" t="s">
        <v>248</v>
      </c>
      <c r="D258" s="41">
        <f t="shared" si="113"/>
        <v>10688</v>
      </c>
      <c r="E258" s="41">
        <f t="shared" si="113"/>
        <v>2847.8</v>
      </c>
      <c r="F258" s="41">
        <f t="shared" si="113"/>
        <v>2847.8</v>
      </c>
    </row>
    <row r="259" spans="1:6" ht="63.75">
      <c r="A259" s="74" t="s">
        <v>243</v>
      </c>
      <c r="B259" s="16" t="s">
        <v>15</v>
      </c>
      <c r="C259" s="103" t="s">
        <v>508</v>
      </c>
      <c r="D259" s="39">
        <f>3900+2129.4+1000+1000+2608.4+50.2</f>
        <v>10688</v>
      </c>
      <c r="E259" s="39">
        <v>2847.8</v>
      </c>
      <c r="F259" s="39">
        <v>2847.8</v>
      </c>
    </row>
    <row r="260" spans="1:6" ht="38.25">
      <c r="A260" s="75">
        <v>440000000</v>
      </c>
      <c r="B260" s="16"/>
      <c r="C260" s="48" t="s">
        <v>373</v>
      </c>
      <c r="D260" s="98">
        <f>D264+D261+D269</f>
        <v>1469.8</v>
      </c>
      <c r="E260" s="98">
        <f t="shared" ref="E260:F260" si="114">E264+E261+E269</f>
        <v>720</v>
      </c>
      <c r="F260" s="98">
        <f t="shared" si="114"/>
        <v>720</v>
      </c>
    </row>
    <row r="261" spans="1:6" ht="25.5">
      <c r="A261" s="74">
        <v>440100000</v>
      </c>
      <c r="B261" s="16"/>
      <c r="C261" s="103" t="s">
        <v>701</v>
      </c>
      <c r="D261" s="104">
        <f t="shared" ref="D261:F262" si="115">D262</f>
        <v>50</v>
      </c>
      <c r="E261" s="104">
        <f t="shared" si="115"/>
        <v>0</v>
      </c>
      <c r="F261" s="104">
        <f t="shared" si="115"/>
        <v>0</v>
      </c>
    </row>
    <row r="262" spans="1:6" ht="63.75">
      <c r="A262" s="74" t="s">
        <v>700</v>
      </c>
      <c r="B262" s="16"/>
      <c r="C262" s="105" t="s">
        <v>703</v>
      </c>
      <c r="D262" s="104">
        <f t="shared" si="115"/>
        <v>50</v>
      </c>
      <c r="E262" s="104">
        <f t="shared" si="115"/>
        <v>0</v>
      </c>
      <c r="F262" s="104">
        <f t="shared" si="115"/>
        <v>0</v>
      </c>
    </row>
    <row r="263" spans="1:6" ht="38.25">
      <c r="A263" s="74" t="s">
        <v>700</v>
      </c>
      <c r="B263" s="85" t="s">
        <v>325</v>
      </c>
      <c r="C263" s="103" t="s">
        <v>326</v>
      </c>
      <c r="D263" s="104">
        <v>50</v>
      </c>
      <c r="E263" s="104">
        <v>0</v>
      </c>
      <c r="F263" s="104">
        <v>0</v>
      </c>
    </row>
    <row r="264" spans="1:6" ht="51">
      <c r="A264" s="74">
        <v>440200000</v>
      </c>
      <c r="B264" s="85"/>
      <c r="C264" s="103" t="s">
        <v>357</v>
      </c>
      <c r="D264" s="41">
        <f>D265+D267</f>
        <v>479.8</v>
      </c>
      <c r="E264" s="41">
        <f>E265+E267</f>
        <v>20</v>
      </c>
      <c r="F264" s="41">
        <f>F265+F267</f>
        <v>20</v>
      </c>
    </row>
    <row r="265" spans="1:6" ht="25.5">
      <c r="A265" s="74" t="s">
        <v>643</v>
      </c>
      <c r="B265" s="85"/>
      <c r="C265" s="103" t="s">
        <v>331</v>
      </c>
      <c r="D265" s="41">
        <f t="shared" ref="D265:F265" si="116">D266</f>
        <v>30</v>
      </c>
      <c r="E265" s="41">
        <f t="shared" si="116"/>
        <v>7</v>
      </c>
      <c r="F265" s="41">
        <f t="shared" si="116"/>
        <v>7</v>
      </c>
    </row>
    <row r="266" spans="1:6" ht="38.25">
      <c r="A266" s="74" t="s">
        <v>643</v>
      </c>
      <c r="B266" s="85" t="s">
        <v>325</v>
      </c>
      <c r="C266" s="103" t="s">
        <v>326</v>
      </c>
      <c r="D266" s="41">
        <f>20+10</f>
        <v>30</v>
      </c>
      <c r="E266" s="41">
        <v>7</v>
      </c>
      <c r="F266" s="41">
        <v>7</v>
      </c>
    </row>
    <row r="267" spans="1:6" ht="63.75">
      <c r="A267" s="74" t="s">
        <v>644</v>
      </c>
      <c r="B267" s="85"/>
      <c r="C267" s="103" t="s">
        <v>822</v>
      </c>
      <c r="D267" s="41">
        <f t="shared" ref="D267:F267" si="117">D268</f>
        <v>449.8</v>
      </c>
      <c r="E267" s="41">
        <f t="shared" si="117"/>
        <v>13</v>
      </c>
      <c r="F267" s="41">
        <f t="shared" si="117"/>
        <v>13</v>
      </c>
    </row>
    <row r="268" spans="1:6" ht="63.75">
      <c r="A268" s="74" t="s">
        <v>644</v>
      </c>
      <c r="B268" s="16" t="s">
        <v>15</v>
      </c>
      <c r="C268" s="103" t="s">
        <v>508</v>
      </c>
      <c r="D268" s="41">
        <f>500-50.2</f>
        <v>449.8</v>
      </c>
      <c r="E268" s="41">
        <v>13</v>
      </c>
      <c r="F268" s="41">
        <v>13</v>
      </c>
    </row>
    <row r="269" spans="1:6" ht="25.5">
      <c r="A269" s="74">
        <v>440300000</v>
      </c>
      <c r="B269" s="85"/>
      <c r="C269" s="103" t="s">
        <v>594</v>
      </c>
      <c r="D269" s="41">
        <f>D270+D272+D274</f>
        <v>940</v>
      </c>
      <c r="E269" s="41">
        <f t="shared" ref="E269:F269" si="118">E270+E272+E274</f>
        <v>700</v>
      </c>
      <c r="F269" s="41">
        <f t="shared" si="118"/>
        <v>700</v>
      </c>
    </row>
    <row r="270" spans="1:6" ht="51">
      <c r="A270" s="74" t="s">
        <v>645</v>
      </c>
      <c r="B270" s="16"/>
      <c r="C270" s="103" t="s">
        <v>725</v>
      </c>
      <c r="D270" s="41">
        <f t="shared" ref="D270:F274" si="119">D271</f>
        <v>140</v>
      </c>
      <c r="E270" s="41">
        <f t="shared" si="119"/>
        <v>100</v>
      </c>
      <c r="F270" s="41">
        <f t="shared" si="119"/>
        <v>100</v>
      </c>
    </row>
    <row r="271" spans="1:6" ht="63.75">
      <c r="A271" s="74" t="s">
        <v>645</v>
      </c>
      <c r="B271" s="16" t="s">
        <v>15</v>
      </c>
      <c r="C271" s="103" t="s">
        <v>508</v>
      </c>
      <c r="D271" s="41">
        <f>150-10</f>
        <v>140</v>
      </c>
      <c r="E271" s="41">
        <v>100</v>
      </c>
      <c r="F271" s="41">
        <v>100</v>
      </c>
    </row>
    <row r="272" spans="1:6" ht="89.25">
      <c r="A272" s="74" t="s">
        <v>726</v>
      </c>
      <c r="B272" s="16"/>
      <c r="C272" s="103" t="s">
        <v>934</v>
      </c>
      <c r="D272" s="41">
        <f t="shared" si="119"/>
        <v>100</v>
      </c>
      <c r="E272" s="41">
        <f t="shared" si="119"/>
        <v>100</v>
      </c>
      <c r="F272" s="41">
        <f t="shared" si="119"/>
        <v>100</v>
      </c>
    </row>
    <row r="273" spans="1:6" ht="63.75">
      <c r="A273" s="74" t="s">
        <v>726</v>
      </c>
      <c r="B273" s="16" t="s">
        <v>15</v>
      </c>
      <c r="C273" s="103" t="s">
        <v>508</v>
      </c>
      <c r="D273" s="41">
        <v>100</v>
      </c>
      <c r="E273" s="41">
        <v>100</v>
      </c>
      <c r="F273" s="41">
        <v>100</v>
      </c>
    </row>
    <row r="274" spans="1:6" ht="83.25" customHeight="1">
      <c r="A274" s="74" t="s">
        <v>727</v>
      </c>
      <c r="B274" s="16"/>
      <c r="C274" s="103" t="s">
        <v>728</v>
      </c>
      <c r="D274" s="41">
        <f t="shared" si="119"/>
        <v>700</v>
      </c>
      <c r="E274" s="41">
        <f t="shared" si="119"/>
        <v>500</v>
      </c>
      <c r="F274" s="41">
        <f t="shared" si="119"/>
        <v>500</v>
      </c>
    </row>
    <row r="275" spans="1:6" ht="63.75">
      <c r="A275" s="74" t="s">
        <v>727</v>
      </c>
      <c r="B275" s="16" t="s">
        <v>15</v>
      </c>
      <c r="C275" s="103" t="s">
        <v>508</v>
      </c>
      <c r="D275" s="41">
        <v>700</v>
      </c>
      <c r="E275" s="41">
        <v>500</v>
      </c>
      <c r="F275" s="41">
        <v>500</v>
      </c>
    </row>
    <row r="276" spans="1:6" ht="36.75" customHeight="1">
      <c r="A276" s="73" t="s">
        <v>219</v>
      </c>
      <c r="B276" s="16"/>
      <c r="C276" s="53" t="s">
        <v>535</v>
      </c>
      <c r="D276" s="101">
        <f>D277+D284+D295</f>
        <v>7003.1</v>
      </c>
      <c r="E276" s="101">
        <f>E277+E284+E295</f>
        <v>6296.5</v>
      </c>
      <c r="F276" s="101">
        <f>F277+F284+F295</f>
        <v>6296.5</v>
      </c>
    </row>
    <row r="277" spans="1:6" ht="38.25">
      <c r="A277" s="52" t="s">
        <v>213</v>
      </c>
      <c r="B277" s="16"/>
      <c r="C277" s="48" t="s">
        <v>462</v>
      </c>
      <c r="D277" s="98">
        <f t="shared" ref="D277:E277" si="120">D278+D281</f>
        <v>760.1</v>
      </c>
      <c r="E277" s="98">
        <f t="shared" si="120"/>
        <v>454.8</v>
      </c>
      <c r="F277" s="98">
        <f t="shared" ref="F277" si="121">F278+F281</f>
        <v>454.8</v>
      </c>
    </row>
    <row r="278" spans="1:6" ht="38.25">
      <c r="A278" s="21" t="s">
        <v>398</v>
      </c>
      <c r="B278" s="16"/>
      <c r="C278" s="105" t="s">
        <v>400</v>
      </c>
      <c r="D278" s="98">
        <f t="shared" ref="D278:F278" si="122">D279</f>
        <v>186.9</v>
      </c>
      <c r="E278" s="98">
        <f t="shared" si="122"/>
        <v>100</v>
      </c>
      <c r="F278" s="98">
        <f t="shared" si="122"/>
        <v>100</v>
      </c>
    </row>
    <row r="279" spans="1:6" ht="38.25">
      <c r="A279" s="80" t="s">
        <v>208</v>
      </c>
      <c r="B279" s="3"/>
      <c r="C279" s="103" t="s">
        <v>399</v>
      </c>
      <c r="D279" s="41">
        <f>SUM(D280:D280)</f>
        <v>186.9</v>
      </c>
      <c r="E279" s="41">
        <f>SUM(E280:E280)</f>
        <v>100</v>
      </c>
      <c r="F279" s="41">
        <f>SUM(F280:F280)</f>
        <v>100</v>
      </c>
    </row>
    <row r="280" spans="1:6" ht="38.25">
      <c r="A280" s="80" t="s">
        <v>208</v>
      </c>
      <c r="B280" s="85" t="s">
        <v>325</v>
      </c>
      <c r="C280" s="103" t="s">
        <v>326</v>
      </c>
      <c r="D280" s="41">
        <f>100+23.9+63</f>
        <v>186.9</v>
      </c>
      <c r="E280" s="41">
        <v>100</v>
      </c>
      <c r="F280" s="41">
        <v>100</v>
      </c>
    </row>
    <row r="281" spans="1:6" ht="38.25">
      <c r="A281" s="21" t="s">
        <v>463</v>
      </c>
      <c r="B281" s="16"/>
      <c r="C281" s="105" t="s">
        <v>401</v>
      </c>
      <c r="D281" s="98">
        <f t="shared" ref="D281:F282" si="123">D282</f>
        <v>573.20000000000005</v>
      </c>
      <c r="E281" s="98">
        <f t="shared" si="123"/>
        <v>354.8</v>
      </c>
      <c r="F281" s="98">
        <f t="shared" si="123"/>
        <v>354.8</v>
      </c>
    </row>
    <row r="282" spans="1:6" ht="25.5">
      <c r="A282" s="80" t="s">
        <v>209</v>
      </c>
      <c r="B282" s="3"/>
      <c r="C282" s="103" t="s">
        <v>596</v>
      </c>
      <c r="D282" s="41">
        <f t="shared" si="123"/>
        <v>573.20000000000005</v>
      </c>
      <c r="E282" s="41">
        <f t="shared" si="123"/>
        <v>354.8</v>
      </c>
      <c r="F282" s="41">
        <f t="shared" si="123"/>
        <v>354.8</v>
      </c>
    </row>
    <row r="283" spans="1:6" ht="38.25">
      <c r="A283" s="80" t="s">
        <v>209</v>
      </c>
      <c r="B283" s="85" t="s">
        <v>325</v>
      </c>
      <c r="C283" s="103" t="s">
        <v>326</v>
      </c>
      <c r="D283" s="39">
        <f>783.3-23.9-186.2</f>
        <v>573.20000000000005</v>
      </c>
      <c r="E283" s="39">
        <v>354.8</v>
      </c>
      <c r="F283" s="39">
        <v>354.8</v>
      </c>
    </row>
    <row r="284" spans="1:6" ht="38.25">
      <c r="A284" s="52" t="s">
        <v>214</v>
      </c>
      <c r="B284" s="16"/>
      <c r="C284" s="48" t="s">
        <v>210</v>
      </c>
      <c r="D284" s="98">
        <f>D285+D290</f>
        <v>3343.7</v>
      </c>
      <c r="E284" s="98">
        <f>E285+E290</f>
        <v>2406</v>
      </c>
      <c r="F284" s="98">
        <f>F285+F290</f>
        <v>2406</v>
      </c>
    </row>
    <row r="285" spans="1:6" ht="25.5">
      <c r="A285" s="21" t="s">
        <v>402</v>
      </c>
      <c r="B285" s="85"/>
      <c r="C285" s="105" t="s">
        <v>403</v>
      </c>
      <c r="D285" s="98">
        <f t="shared" ref="D285:E285" si="124">D286+D288</f>
        <v>120</v>
      </c>
      <c r="E285" s="98">
        <f t="shared" si="124"/>
        <v>120</v>
      </c>
      <c r="F285" s="98">
        <f t="shared" ref="F285" si="125">F286+F288</f>
        <v>120</v>
      </c>
    </row>
    <row r="286" spans="1:6" ht="114.75">
      <c r="A286" s="80" t="s">
        <v>589</v>
      </c>
      <c r="B286" s="3"/>
      <c r="C286" s="103" t="s">
        <v>404</v>
      </c>
      <c r="D286" s="41">
        <f t="shared" ref="D286:F286" si="126">D287</f>
        <v>100</v>
      </c>
      <c r="E286" s="41">
        <f t="shared" si="126"/>
        <v>100</v>
      </c>
      <c r="F286" s="41">
        <f t="shared" si="126"/>
        <v>100</v>
      </c>
    </row>
    <row r="287" spans="1:6" ht="38.25">
      <c r="A287" s="80" t="s">
        <v>589</v>
      </c>
      <c r="B287" s="85" t="s">
        <v>325</v>
      </c>
      <c r="C287" s="103" t="s">
        <v>326</v>
      </c>
      <c r="D287" s="41">
        <v>100</v>
      </c>
      <c r="E287" s="41">
        <v>100</v>
      </c>
      <c r="F287" s="41">
        <v>100</v>
      </c>
    </row>
    <row r="288" spans="1:6" ht="38.25">
      <c r="A288" s="80" t="s">
        <v>211</v>
      </c>
      <c r="B288" s="16"/>
      <c r="C288" s="103" t="s">
        <v>464</v>
      </c>
      <c r="D288" s="41">
        <f t="shared" ref="D288:F288" si="127">D289</f>
        <v>20</v>
      </c>
      <c r="E288" s="41">
        <f t="shared" si="127"/>
        <v>20</v>
      </c>
      <c r="F288" s="41">
        <f t="shared" si="127"/>
        <v>20</v>
      </c>
    </row>
    <row r="289" spans="1:6" ht="38.25">
      <c r="A289" s="80" t="s">
        <v>211</v>
      </c>
      <c r="B289" s="85" t="s">
        <v>325</v>
      </c>
      <c r="C289" s="103" t="s">
        <v>326</v>
      </c>
      <c r="D289" s="41">
        <v>20</v>
      </c>
      <c r="E289" s="41">
        <v>20</v>
      </c>
      <c r="F289" s="41">
        <v>20</v>
      </c>
    </row>
    <row r="290" spans="1:6" ht="25.5">
      <c r="A290" s="21" t="s">
        <v>405</v>
      </c>
      <c r="B290" s="85"/>
      <c r="C290" s="105" t="s">
        <v>406</v>
      </c>
      <c r="D290" s="41">
        <f>D291+D293</f>
        <v>3223.7</v>
      </c>
      <c r="E290" s="41">
        <f t="shared" ref="E290:F290" si="128">E291+E293</f>
        <v>2286</v>
      </c>
      <c r="F290" s="41">
        <f t="shared" si="128"/>
        <v>2286</v>
      </c>
    </row>
    <row r="291" spans="1:6" ht="51">
      <c r="A291" s="21" t="s">
        <v>407</v>
      </c>
      <c r="B291" s="85"/>
      <c r="C291" s="105" t="s">
        <v>493</v>
      </c>
      <c r="D291" s="41">
        <f t="shared" ref="D291:F291" si="129">D292</f>
        <v>3223.7</v>
      </c>
      <c r="E291" s="41">
        <f t="shared" si="129"/>
        <v>1286</v>
      </c>
      <c r="F291" s="41">
        <f t="shared" si="129"/>
        <v>1286</v>
      </c>
    </row>
    <row r="292" spans="1:6">
      <c r="A292" s="21" t="s">
        <v>407</v>
      </c>
      <c r="B292" s="115" t="s">
        <v>382</v>
      </c>
      <c r="C292" s="112" t="s">
        <v>410</v>
      </c>
      <c r="D292" s="114">
        <f>2098+1125.7</f>
        <v>3223.7</v>
      </c>
      <c r="E292" s="114">
        <v>1286</v>
      </c>
      <c r="F292" s="114">
        <v>1286</v>
      </c>
    </row>
    <row r="293" spans="1:6" ht="25.5">
      <c r="A293" s="21" t="s">
        <v>409</v>
      </c>
      <c r="B293" s="85"/>
      <c r="C293" s="105" t="s">
        <v>411</v>
      </c>
      <c r="D293" s="41">
        <f t="shared" ref="D293:F293" si="130">D294</f>
        <v>0</v>
      </c>
      <c r="E293" s="41">
        <f t="shared" si="130"/>
        <v>1000</v>
      </c>
      <c r="F293" s="41">
        <f t="shared" si="130"/>
        <v>1000</v>
      </c>
    </row>
    <row r="294" spans="1:6" ht="38.25">
      <c r="A294" s="21" t="s">
        <v>409</v>
      </c>
      <c r="B294" s="85" t="s">
        <v>325</v>
      </c>
      <c r="C294" s="103" t="s">
        <v>326</v>
      </c>
      <c r="D294" s="113">
        <v>0</v>
      </c>
      <c r="E294" s="114">
        <v>1000</v>
      </c>
      <c r="F294" s="114">
        <v>1000</v>
      </c>
    </row>
    <row r="295" spans="1:6" ht="51">
      <c r="A295" s="52" t="s">
        <v>215</v>
      </c>
      <c r="B295" s="16"/>
      <c r="C295" s="48" t="s">
        <v>212</v>
      </c>
      <c r="D295" s="98">
        <f t="shared" ref="D295:E295" si="131">D296+D299</f>
        <v>2899.3</v>
      </c>
      <c r="E295" s="98">
        <f t="shared" si="131"/>
        <v>3435.7</v>
      </c>
      <c r="F295" s="98">
        <f t="shared" ref="F295" si="132">F296+F299</f>
        <v>3435.7</v>
      </c>
    </row>
    <row r="296" spans="1:6" ht="62.25" customHeight="1">
      <c r="A296" s="21" t="s">
        <v>412</v>
      </c>
      <c r="B296" s="85"/>
      <c r="C296" s="105" t="s">
        <v>487</v>
      </c>
      <c r="D296" s="104">
        <f t="shared" ref="D296:F297" si="133">D297</f>
        <v>1635.7</v>
      </c>
      <c r="E296" s="104">
        <f t="shared" si="133"/>
        <v>1635.7</v>
      </c>
      <c r="F296" s="104">
        <f t="shared" si="133"/>
        <v>1635.7</v>
      </c>
    </row>
    <row r="297" spans="1:6" ht="63.75">
      <c r="A297" s="80" t="s">
        <v>217</v>
      </c>
      <c r="B297" s="16"/>
      <c r="C297" s="103" t="s">
        <v>216</v>
      </c>
      <c r="D297" s="41">
        <f t="shared" si="133"/>
        <v>1635.7</v>
      </c>
      <c r="E297" s="41">
        <f t="shared" si="133"/>
        <v>1635.7</v>
      </c>
      <c r="F297" s="41">
        <f t="shared" si="133"/>
        <v>1635.7</v>
      </c>
    </row>
    <row r="298" spans="1:6" ht="38.25">
      <c r="A298" s="80" t="s">
        <v>217</v>
      </c>
      <c r="B298" s="85" t="s">
        <v>325</v>
      </c>
      <c r="C298" s="103" t="s">
        <v>326</v>
      </c>
      <c r="D298" s="158">
        <v>1635.7</v>
      </c>
      <c r="E298" s="158">
        <v>1635.7</v>
      </c>
      <c r="F298" s="158">
        <v>1635.7</v>
      </c>
    </row>
    <row r="299" spans="1:6" ht="63.75">
      <c r="A299" s="21" t="s">
        <v>413</v>
      </c>
      <c r="B299" s="16"/>
      <c r="C299" s="105" t="s">
        <v>818</v>
      </c>
      <c r="D299" s="41">
        <f>D300</f>
        <v>1263.5999999999999</v>
      </c>
      <c r="E299" s="41">
        <f t="shared" ref="E299:F299" si="134">E300</f>
        <v>1800</v>
      </c>
      <c r="F299" s="41">
        <f t="shared" si="134"/>
        <v>1800</v>
      </c>
    </row>
    <row r="300" spans="1:6" ht="51">
      <c r="A300" s="80" t="s">
        <v>218</v>
      </c>
      <c r="B300" s="16"/>
      <c r="C300" s="103" t="s">
        <v>474</v>
      </c>
      <c r="D300" s="41">
        <f t="shared" ref="D300:F300" si="135">D301</f>
        <v>1263.5999999999999</v>
      </c>
      <c r="E300" s="41">
        <f t="shared" si="135"/>
        <v>1800</v>
      </c>
      <c r="F300" s="41">
        <f t="shared" si="135"/>
        <v>1800</v>
      </c>
    </row>
    <row r="301" spans="1:6" ht="38.25">
      <c r="A301" s="80" t="s">
        <v>218</v>
      </c>
      <c r="B301" s="85" t="s">
        <v>325</v>
      </c>
      <c r="C301" s="103" t="s">
        <v>326</v>
      </c>
      <c r="D301" s="41">
        <f>1800-130-249-20-137.4</f>
        <v>1263.5999999999999</v>
      </c>
      <c r="E301" s="41">
        <v>1800</v>
      </c>
      <c r="F301" s="41">
        <v>1800</v>
      </c>
    </row>
    <row r="302" spans="1:6" ht="40.5" customHeight="1">
      <c r="A302" s="78" t="s">
        <v>109</v>
      </c>
      <c r="B302" s="16"/>
      <c r="C302" s="63" t="s">
        <v>528</v>
      </c>
      <c r="D302" s="101">
        <f t="shared" ref="D302:F304" si="136">D303</f>
        <v>376</v>
      </c>
      <c r="E302" s="101">
        <f t="shared" si="136"/>
        <v>376</v>
      </c>
      <c r="F302" s="101">
        <f t="shared" si="136"/>
        <v>376</v>
      </c>
    </row>
    <row r="303" spans="1:6" ht="25.5">
      <c r="A303" s="77" t="s">
        <v>110</v>
      </c>
      <c r="B303" s="16"/>
      <c r="C303" s="60" t="s">
        <v>108</v>
      </c>
      <c r="D303" s="98">
        <f t="shared" si="136"/>
        <v>376</v>
      </c>
      <c r="E303" s="98">
        <f t="shared" si="136"/>
        <v>376</v>
      </c>
      <c r="F303" s="98">
        <f t="shared" si="136"/>
        <v>376</v>
      </c>
    </row>
    <row r="304" spans="1:6" ht="25.5">
      <c r="A304" s="74">
        <v>610100000</v>
      </c>
      <c r="B304" s="16"/>
      <c r="C304" s="103" t="s">
        <v>358</v>
      </c>
      <c r="D304" s="104">
        <f t="shared" si="136"/>
        <v>376</v>
      </c>
      <c r="E304" s="104">
        <f t="shared" si="136"/>
        <v>376</v>
      </c>
      <c r="F304" s="104">
        <f t="shared" si="136"/>
        <v>376</v>
      </c>
    </row>
    <row r="305" spans="1:7" ht="38.25">
      <c r="A305" s="74" t="s">
        <v>206</v>
      </c>
      <c r="B305" s="16"/>
      <c r="C305" s="103" t="s">
        <v>207</v>
      </c>
      <c r="D305" s="41">
        <f t="shared" ref="D305:F305" si="137">D306</f>
        <v>376</v>
      </c>
      <c r="E305" s="41">
        <f t="shared" si="137"/>
        <v>376</v>
      </c>
      <c r="F305" s="41">
        <f t="shared" si="137"/>
        <v>376</v>
      </c>
    </row>
    <row r="306" spans="1:7" ht="38.25">
      <c r="A306" s="74" t="s">
        <v>206</v>
      </c>
      <c r="B306" s="85" t="s">
        <v>325</v>
      </c>
      <c r="C306" s="103" t="s">
        <v>326</v>
      </c>
      <c r="D306" s="41">
        <v>376</v>
      </c>
      <c r="E306" s="41">
        <v>376</v>
      </c>
      <c r="F306" s="41">
        <v>376</v>
      </c>
    </row>
    <row r="307" spans="1:7" ht="63.75">
      <c r="A307" s="83" t="s">
        <v>44</v>
      </c>
      <c r="B307" s="16"/>
      <c r="C307" s="53" t="s">
        <v>543</v>
      </c>
      <c r="D307" s="101">
        <f>D308+D315+D328+D346+D352</f>
        <v>45104.2</v>
      </c>
      <c r="E307" s="101">
        <f>E308+E315+E328+E346+E352</f>
        <v>17182.7</v>
      </c>
      <c r="F307" s="101">
        <f>F308+F315+F328+F346+F352</f>
        <v>15282.599999999999</v>
      </c>
    </row>
    <row r="308" spans="1:7" ht="29.25" customHeight="1">
      <c r="A308" s="52" t="s">
        <v>45</v>
      </c>
      <c r="B308" s="16"/>
      <c r="C308" s="48" t="s">
        <v>273</v>
      </c>
      <c r="D308" s="98">
        <f t="shared" ref="D308:E308" si="138">D309+D312</f>
        <v>440</v>
      </c>
      <c r="E308" s="98">
        <f t="shared" si="138"/>
        <v>500</v>
      </c>
      <c r="F308" s="98">
        <f t="shared" ref="F308" si="139">F309+F312</f>
        <v>500</v>
      </c>
      <c r="G308" s="109"/>
    </row>
    <row r="309" spans="1:7" ht="38.25">
      <c r="A309" s="21" t="s">
        <v>360</v>
      </c>
      <c r="B309" s="16"/>
      <c r="C309" s="105" t="s">
        <v>359</v>
      </c>
      <c r="D309" s="98">
        <f t="shared" ref="D309:F309" si="140">D310</f>
        <v>426</v>
      </c>
      <c r="E309" s="98">
        <f t="shared" si="140"/>
        <v>460</v>
      </c>
      <c r="F309" s="98">
        <f t="shared" si="140"/>
        <v>460</v>
      </c>
    </row>
    <row r="310" spans="1:7" ht="25.5">
      <c r="A310" s="21" t="s">
        <v>300</v>
      </c>
      <c r="B310" s="3"/>
      <c r="C310" s="103" t="s">
        <v>274</v>
      </c>
      <c r="D310" s="41">
        <f t="shared" ref="D310:F310" si="141">D311</f>
        <v>426</v>
      </c>
      <c r="E310" s="41">
        <f t="shared" si="141"/>
        <v>460</v>
      </c>
      <c r="F310" s="41">
        <f t="shared" si="141"/>
        <v>460</v>
      </c>
    </row>
    <row r="311" spans="1:7" ht="38.25">
      <c r="A311" s="21" t="s">
        <v>300</v>
      </c>
      <c r="B311" s="85" t="s">
        <v>325</v>
      </c>
      <c r="C311" s="103" t="s">
        <v>326</v>
      </c>
      <c r="D311" s="41">
        <v>426</v>
      </c>
      <c r="E311" s="39">
        <v>460</v>
      </c>
      <c r="F311" s="39">
        <v>460</v>
      </c>
      <c r="G311" s="109"/>
    </row>
    <row r="312" spans="1:7" ht="38.25">
      <c r="A312" s="21" t="s">
        <v>583</v>
      </c>
      <c r="B312" s="85"/>
      <c r="C312" s="105" t="s">
        <v>582</v>
      </c>
      <c r="D312" s="41">
        <f>D313</f>
        <v>14</v>
      </c>
      <c r="E312" s="41">
        <f t="shared" ref="E312:F312" si="142">E313</f>
        <v>40</v>
      </c>
      <c r="F312" s="41">
        <f t="shared" si="142"/>
        <v>40</v>
      </c>
      <c r="G312" s="109"/>
    </row>
    <row r="313" spans="1:7" ht="25.5">
      <c r="A313" s="21" t="s">
        <v>580</v>
      </c>
      <c r="B313" s="16"/>
      <c r="C313" s="103" t="s">
        <v>581</v>
      </c>
      <c r="D313" s="41">
        <f t="shared" ref="D313:F313" si="143">D314</f>
        <v>14</v>
      </c>
      <c r="E313" s="41">
        <f t="shared" si="143"/>
        <v>40</v>
      </c>
      <c r="F313" s="41">
        <f t="shared" si="143"/>
        <v>40</v>
      </c>
      <c r="G313" s="109"/>
    </row>
    <row r="314" spans="1:7" ht="38.25">
      <c r="A314" s="21" t="s">
        <v>580</v>
      </c>
      <c r="B314" s="85" t="s">
        <v>325</v>
      </c>
      <c r="C314" s="103" t="s">
        <v>326</v>
      </c>
      <c r="D314" s="41">
        <v>14</v>
      </c>
      <c r="E314" s="41">
        <v>40</v>
      </c>
      <c r="F314" s="41">
        <v>40</v>
      </c>
      <c r="G314" s="109"/>
    </row>
    <row r="315" spans="1:7" ht="38.25">
      <c r="A315" s="52" t="s">
        <v>677</v>
      </c>
      <c r="B315" s="16"/>
      <c r="C315" s="60" t="s">
        <v>678</v>
      </c>
      <c r="D315" s="41">
        <f>D316+D325</f>
        <v>3029</v>
      </c>
      <c r="E315" s="41">
        <f t="shared" ref="E315:F315" si="144">E316+E325</f>
        <v>0</v>
      </c>
      <c r="F315" s="41">
        <f t="shared" si="144"/>
        <v>100</v>
      </c>
      <c r="G315" s="109"/>
    </row>
    <row r="316" spans="1:7" ht="38.25">
      <c r="A316" s="21" t="s">
        <v>966</v>
      </c>
      <c r="B316" s="16"/>
      <c r="C316" s="105" t="s">
        <v>680</v>
      </c>
      <c r="D316" s="41">
        <f>D317+D319+D321+D323</f>
        <v>3029</v>
      </c>
      <c r="E316" s="41">
        <f t="shared" ref="E316:F316" si="145">E317+E319+E321+E323</f>
        <v>0</v>
      </c>
      <c r="F316" s="41">
        <f t="shared" si="145"/>
        <v>50</v>
      </c>
      <c r="G316" s="109"/>
    </row>
    <row r="317" spans="1:7" ht="25.5">
      <c r="A317" s="21" t="s">
        <v>679</v>
      </c>
      <c r="B317" s="16"/>
      <c r="C317" s="103" t="s">
        <v>681</v>
      </c>
      <c r="D317" s="41">
        <f t="shared" ref="D317:F317" si="146">D318</f>
        <v>0</v>
      </c>
      <c r="E317" s="41">
        <f t="shared" si="146"/>
        <v>0</v>
      </c>
      <c r="F317" s="41">
        <f t="shared" si="146"/>
        <v>50</v>
      </c>
      <c r="G317" s="109"/>
    </row>
    <row r="318" spans="1:7" ht="38.25">
      <c r="A318" s="21" t="s">
        <v>679</v>
      </c>
      <c r="B318" s="85" t="s">
        <v>325</v>
      </c>
      <c r="C318" s="103" t="s">
        <v>326</v>
      </c>
      <c r="D318" s="41">
        <v>0</v>
      </c>
      <c r="E318" s="41">
        <v>0</v>
      </c>
      <c r="F318" s="41">
        <v>50</v>
      </c>
      <c r="G318" s="109"/>
    </row>
    <row r="319" spans="1:7" ht="25.5">
      <c r="A319" s="21" t="s">
        <v>734</v>
      </c>
      <c r="B319" s="85"/>
      <c r="C319" s="103" t="s">
        <v>762</v>
      </c>
      <c r="D319" s="41">
        <f>D320</f>
        <v>155</v>
      </c>
      <c r="E319" s="41">
        <f t="shared" ref="E319:F319" si="147">E320</f>
        <v>0</v>
      </c>
      <c r="F319" s="41">
        <f t="shared" si="147"/>
        <v>0</v>
      </c>
      <c r="G319" s="109"/>
    </row>
    <row r="320" spans="1:7" ht="38.25">
      <c r="A320" s="21" t="s">
        <v>734</v>
      </c>
      <c r="B320" s="85" t="s">
        <v>325</v>
      </c>
      <c r="C320" s="103" t="s">
        <v>326</v>
      </c>
      <c r="D320" s="41">
        <f>2000-1630-66-149</f>
        <v>155</v>
      </c>
      <c r="E320" s="41">
        <v>0</v>
      </c>
      <c r="F320" s="41">
        <v>0</v>
      </c>
      <c r="G320" s="109"/>
    </row>
    <row r="321" spans="1:7" ht="25.5">
      <c r="A321" s="21" t="s">
        <v>735</v>
      </c>
      <c r="B321" s="85"/>
      <c r="C321" s="131" t="s">
        <v>791</v>
      </c>
      <c r="D321" s="41">
        <f>D322</f>
        <v>2140</v>
      </c>
      <c r="E321" s="41">
        <f t="shared" ref="E321:F321" si="148">E322</f>
        <v>0</v>
      </c>
      <c r="F321" s="41">
        <f t="shared" si="148"/>
        <v>0</v>
      </c>
      <c r="G321" s="109"/>
    </row>
    <row r="322" spans="1:7" ht="38.25">
      <c r="A322" s="21" t="s">
        <v>735</v>
      </c>
      <c r="B322" s="85" t="s">
        <v>325</v>
      </c>
      <c r="C322" s="103" t="s">
        <v>326</v>
      </c>
      <c r="D322" s="41">
        <f>2816.5-676.5</f>
        <v>2140</v>
      </c>
      <c r="E322" s="41">
        <v>0</v>
      </c>
      <c r="F322" s="41">
        <v>0</v>
      </c>
      <c r="G322" s="109"/>
    </row>
    <row r="323" spans="1:7" ht="25.5">
      <c r="A323" s="21" t="s">
        <v>964</v>
      </c>
      <c r="B323" s="85"/>
      <c r="C323" s="103" t="s">
        <v>965</v>
      </c>
      <c r="D323" s="41">
        <f>D324</f>
        <v>734</v>
      </c>
      <c r="E323" s="41">
        <f t="shared" ref="E323:F323" si="149">E324</f>
        <v>0</v>
      </c>
      <c r="F323" s="41">
        <f t="shared" si="149"/>
        <v>0</v>
      </c>
      <c r="G323" s="109"/>
    </row>
    <row r="324" spans="1:7">
      <c r="A324" s="21" t="s">
        <v>964</v>
      </c>
      <c r="B324" s="85" t="s">
        <v>382</v>
      </c>
      <c r="C324" s="112" t="s">
        <v>410</v>
      </c>
      <c r="D324" s="41">
        <v>734</v>
      </c>
      <c r="E324" s="41">
        <v>0</v>
      </c>
      <c r="F324" s="41">
        <v>0</v>
      </c>
      <c r="G324" s="109"/>
    </row>
    <row r="325" spans="1:7" ht="38.25">
      <c r="A325" s="21" t="s">
        <v>821</v>
      </c>
      <c r="B325" s="16"/>
      <c r="C325" s="105" t="s">
        <v>732</v>
      </c>
      <c r="D325" s="41">
        <f>D326</f>
        <v>0</v>
      </c>
      <c r="E325" s="41">
        <f t="shared" ref="E325:F325" si="150">E326</f>
        <v>0</v>
      </c>
      <c r="F325" s="41">
        <f t="shared" si="150"/>
        <v>50</v>
      </c>
      <c r="G325" s="109"/>
    </row>
    <row r="326" spans="1:7" ht="76.5">
      <c r="A326" s="21" t="s">
        <v>731</v>
      </c>
      <c r="B326" s="16"/>
      <c r="C326" s="103" t="s">
        <v>733</v>
      </c>
      <c r="D326" s="41">
        <f>D327</f>
        <v>0</v>
      </c>
      <c r="E326" s="41">
        <f>E327</f>
        <v>0</v>
      </c>
      <c r="F326" s="41">
        <f>F327</f>
        <v>50</v>
      </c>
      <c r="G326" s="109"/>
    </row>
    <row r="327" spans="1:7" ht="38.25">
      <c r="A327" s="21" t="s">
        <v>731</v>
      </c>
      <c r="B327" s="85" t="s">
        <v>325</v>
      </c>
      <c r="C327" s="103" t="s">
        <v>326</v>
      </c>
      <c r="D327" s="41">
        <v>0</v>
      </c>
      <c r="E327" s="41">
        <v>0</v>
      </c>
      <c r="F327" s="41">
        <v>50</v>
      </c>
      <c r="G327" s="109"/>
    </row>
    <row r="328" spans="1:7" ht="25.5">
      <c r="A328" s="52" t="s">
        <v>46</v>
      </c>
      <c r="B328" s="16"/>
      <c r="C328" s="46" t="s">
        <v>621</v>
      </c>
      <c r="D328" s="98">
        <f>D329+D336+D341</f>
        <v>26508.9</v>
      </c>
      <c r="E328" s="98">
        <f t="shared" ref="E328:F328" si="151">E329+E336+E341</f>
        <v>100</v>
      </c>
      <c r="F328" s="98">
        <f t="shared" si="151"/>
        <v>100</v>
      </c>
      <c r="G328" s="109"/>
    </row>
    <row r="329" spans="1:7" ht="38.25">
      <c r="A329" s="21" t="s">
        <v>361</v>
      </c>
      <c r="B329" s="16"/>
      <c r="C329" s="105" t="s">
        <v>473</v>
      </c>
      <c r="D329" s="104">
        <f>D330+D332+D334</f>
        <v>3876.7</v>
      </c>
      <c r="E329" s="104">
        <f t="shared" ref="E329:F329" si="152">E330+E332+E334</f>
        <v>100</v>
      </c>
      <c r="F329" s="104">
        <f t="shared" si="152"/>
        <v>100</v>
      </c>
    </row>
    <row r="330" spans="1:7" ht="38.25">
      <c r="A330" s="21" t="s">
        <v>47</v>
      </c>
      <c r="B330" s="16"/>
      <c r="C330" s="102" t="s">
        <v>278</v>
      </c>
      <c r="D330" s="41">
        <f>D331</f>
        <v>93</v>
      </c>
      <c r="E330" s="41">
        <f>E331</f>
        <v>100</v>
      </c>
      <c r="F330" s="41">
        <f>F331</f>
        <v>100</v>
      </c>
    </row>
    <row r="331" spans="1:7" ht="38.25">
      <c r="A331" s="21" t="s">
        <v>47</v>
      </c>
      <c r="B331" s="85" t="s">
        <v>325</v>
      </c>
      <c r="C331" s="103" t="s">
        <v>326</v>
      </c>
      <c r="D331" s="41">
        <f>100-7</f>
        <v>93</v>
      </c>
      <c r="E331" s="41">
        <v>100</v>
      </c>
      <c r="F331" s="41">
        <v>100</v>
      </c>
    </row>
    <row r="332" spans="1:7" ht="25.5">
      <c r="A332" s="21" t="s">
        <v>793</v>
      </c>
      <c r="B332" s="16"/>
      <c r="C332" s="103" t="s">
        <v>794</v>
      </c>
      <c r="D332" s="41">
        <f>D333</f>
        <v>3246.2</v>
      </c>
      <c r="E332" s="41">
        <f>E333</f>
        <v>0</v>
      </c>
      <c r="F332" s="41">
        <f>F333</f>
        <v>0</v>
      </c>
    </row>
    <row r="333" spans="1:7" ht="38.25">
      <c r="A333" s="21" t="s">
        <v>793</v>
      </c>
      <c r="B333" s="85" t="s">
        <v>325</v>
      </c>
      <c r="C333" s="103" t="s">
        <v>326</v>
      </c>
      <c r="D333" s="41">
        <f>72.8+1543.4+1630</f>
        <v>3246.2</v>
      </c>
      <c r="E333" s="41">
        <v>0</v>
      </c>
      <c r="F333" s="41">
        <v>0</v>
      </c>
    </row>
    <row r="334" spans="1:7" ht="52.5" customHeight="1">
      <c r="A334" s="21" t="s">
        <v>920</v>
      </c>
      <c r="B334" s="85"/>
      <c r="C334" s="103" t="s">
        <v>935</v>
      </c>
      <c r="D334" s="41">
        <f>D335</f>
        <v>537.5</v>
      </c>
      <c r="E334" s="41">
        <f t="shared" ref="E334:F334" si="153">E335</f>
        <v>0</v>
      </c>
      <c r="F334" s="41">
        <f t="shared" si="153"/>
        <v>0</v>
      </c>
    </row>
    <row r="335" spans="1:7" ht="38.25">
      <c r="A335" s="21" t="s">
        <v>920</v>
      </c>
      <c r="B335" s="85" t="s">
        <v>325</v>
      </c>
      <c r="C335" s="103" t="s">
        <v>326</v>
      </c>
      <c r="D335" s="41">
        <f>149.5+350+38</f>
        <v>537.5</v>
      </c>
      <c r="E335" s="41">
        <v>0</v>
      </c>
      <c r="F335" s="41">
        <v>0</v>
      </c>
    </row>
    <row r="336" spans="1:7" ht="25.5">
      <c r="A336" s="21" t="s">
        <v>673</v>
      </c>
      <c r="B336" s="85"/>
      <c r="C336" s="105" t="s">
        <v>674</v>
      </c>
      <c r="D336" s="41">
        <f>D337+D339</f>
        <v>5111.3</v>
      </c>
      <c r="E336" s="41">
        <f t="shared" ref="E336:F336" si="154">E337+E339</f>
        <v>0</v>
      </c>
      <c r="F336" s="41">
        <f t="shared" si="154"/>
        <v>0</v>
      </c>
    </row>
    <row r="337" spans="1:7" ht="25.5">
      <c r="A337" s="21" t="s">
        <v>675</v>
      </c>
      <c r="B337" s="16"/>
      <c r="C337" s="103" t="s">
        <v>676</v>
      </c>
      <c r="D337" s="113">
        <f>D338</f>
        <v>1022.3</v>
      </c>
      <c r="E337" s="41">
        <f t="shared" ref="E337:F337" si="155">E338</f>
        <v>0</v>
      </c>
      <c r="F337" s="41">
        <f t="shared" si="155"/>
        <v>0</v>
      </c>
    </row>
    <row r="338" spans="1:7" ht="38.25">
      <c r="A338" s="21" t="s">
        <v>675</v>
      </c>
      <c r="B338" s="85" t="s">
        <v>325</v>
      </c>
      <c r="C338" s="103" t="s">
        <v>326</v>
      </c>
      <c r="D338" s="113">
        <f>1525-502.7</f>
        <v>1022.3</v>
      </c>
      <c r="E338" s="41">
        <v>0</v>
      </c>
      <c r="F338" s="41">
        <v>0</v>
      </c>
    </row>
    <row r="339" spans="1:7" ht="38.25">
      <c r="A339" s="21" t="s">
        <v>819</v>
      </c>
      <c r="B339" s="85"/>
      <c r="C339" s="103" t="s">
        <v>820</v>
      </c>
      <c r="D339" s="113">
        <f>D340</f>
        <v>4089</v>
      </c>
      <c r="E339" s="113">
        <f t="shared" ref="E339:F339" si="156">E340</f>
        <v>0</v>
      </c>
      <c r="F339" s="113">
        <f t="shared" si="156"/>
        <v>0</v>
      </c>
    </row>
    <row r="340" spans="1:7" ht="38.25">
      <c r="A340" s="21" t="s">
        <v>819</v>
      </c>
      <c r="B340" s="85" t="s">
        <v>325</v>
      </c>
      <c r="C340" s="103" t="s">
        <v>326</v>
      </c>
      <c r="D340" s="113">
        <v>4089</v>
      </c>
      <c r="E340" s="41">
        <v>0</v>
      </c>
      <c r="F340" s="41">
        <v>0</v>
      </c>
    </row>
    <row r="341" spans="1:7" ht="25.5">
      <c r="A341" s="21" t="s">
        <v>684</v>
      </c>
      <c r="B341" s="85"/>
      <c r="C341" s="103" t="s">
        <v>685</v>
      </c>
      <c r="D341" s="41">
        <f>D342+D344</f>
        <v>17520.900000000001</v>
      </c>
      <c r="E341" s="41">
        <f t="shared" ref="E341:F341" si="157">E342+E344</f>
        <v>0</v>
      </c>
      <c r="F341" s="41">
        <f t="shared" si="157"/>
        <v>0</v>
      </c>
    </row>
    <row r="342" spans="1:7" ht="25.5">
      <c r="A342" s="168" t="s">
        <v>682</v>
      </c>
      <c r="B342" s="85"/>
      <c r="C342" s="167" t="s">
        <v>683</v>
      </c>
      <c r="D342" s="41">
        <f t="shared" ref="D342:F342" si="158">D343</f>
        <v>17342.400000000001</v>
      </c>
      <c r="E342" s="41">
        <f t="shared" si="158"/>
        <v>0</v>
      </c>
      <c r="F342" s="41">
        <f t="shared" si="158"/>
        <v>0</v>
      </c>
    </row>
    <row r="343" spans="1:7">
      <c r="A343" s="51" t="s">
        <v>682</v>
      </c>
      <c r="B343" s="115" t="s">
        <v>382</v>
      </c>
      <c r="C343" s="112" t="s">
        <v>410</v>
      </c>
      <c r="D343" s="41">
        <f>1543.7+17984.4-2785.7+600</f>
        <v>17342.400000000001</v>
      </c>
      <c r="E343" s="41">
        <v>0</v>
      </c>
      <c r="F343" s="41">
        <v>0</v>
      </c>
    </row>
    <row r="344" spans="1:7" ht="38.25">
      <c r="A344" s="178" t="s">
        <v>758</v>
      </c>
      <c r="B344" s="115"/>
      <c r="C344" s="112" t="s">
        <v>748</v>
      </c>
      <c r="D344" s="113">
        <f>D345</f>
        <v>178.5</v>
      </c>
      <c r="E344" s="113">
        <f t="shared" ref="E344:F344" si="159">E345</f>
        <v>0</v>
      </c>
      <c r="F344" s="113">
        <f t="shared" si="159"/>
        <v>0</v>
      </c>
    </row>
    <row r="345" spans="1:7">
      <c r="A345" s="178" t="s">
        <v>758</v>
      </c>
      <c r="B345" s="115" t="s">
        <v>382</v>
      </c>
      <c r="C345" s="112" t="s">
        <v>410</v>
      </c>
      <c r="D345" s="113">
        <f>1000-750-65-6.5</f>
        <v>178.5</v>
      </c>
      <c r="E345" s="113">
        <v>0</v>
      </c>
      <c r="F345" s="113">
        <v>0</v>
      </c>
    </row>
    <row r="346" spans="1:7" ht="51">
      <c r="A346" s="52" t="s">
        <v>275</v>
      </c>
      <c r="B346" s="16"/>
      <c r="C346" s="60" t="s">
        <v>301</v>
      </c>
      <c r="D346" s="98">
        <f t="shared" ref="D346:F346" si="160">D347</f>
        <v>3561.7000000000003</v>
      </c>
      <c r="E346" s="98">
        <f t="shared" si="160"/>
        <v>0</v>
      </c>
      <c r="F346" s="98">
        <f t="shared" si="160"/>
        <v>0</v>
      </c>
      <c r="G346" s="109"/>
    </row>
    <row r="347" spans="1:7" ht="52.5" customHeight="1">
      <c r="A347" s="21" t="s">
        <v>363</v>
      </c>
      <c r="B347" s="16"/>
      <c r="C347" s="105" t="s">
        <v>362</v>
      </c>
      <c r="D347" s="98">
        <f>D348+D350</f>
        <v>3561.7000000000003</v>
      </c>
      <c r="E347" s="98">
        <f t="shared" ref="E347:F347" si="161">E348+E350</f>
        <v>0</v>
      </c>
      <c r="F347" s="98">
        <f t="shared" si="161"/>
        <v>0</v>
      </c>
    </row>
    <row r="348" spans="1:7" ht="42" customHeight="1">
      <c r="A348" s="21" t="s">
        <v>279</v>
      </c>
      <c r="B348" s="85"/>
      <c r="C348" s="103" t="s">
        <v>609</v>
      </c>
      <c r="D348" s="41">
        <f>D349</f>
        <v>3151.8</v>
      </c>
      <c r="E348" s="41">
        <f t="shared" ref="E348:F348" si="162">E349</f>
        <v>0</v>
      </c>
      <c r="F348" s="41">
        <f t="shared" si="162"/>
        <v>0</v>
      </c>
    </row>
    <row r="349" spans="1:7" ht="38.25">
      <c r="A349" s="21" t="s">
        <v>279</v>
      </c>
      <c r="B349" s="85" t="s">
        <v>325</v>
      </c>
      <c r="C349" s="103" t="s">
        <v>326</v>
      </c>
      <c r="D349" s="41">
        <f>5738.8-2129.4-175.4-282.2</f>
        <v>3151.8</v>
      </c>
      <c r="E349" s="41">
        <v>0</v>
      </c>
      <c r="F349" s="41">
        <v>0</v>
      </c>
    </row>
    <row r="350" spans="1:7" ht="25.5">
      <c r="A350" s="21" t="s">
        <v>749</v>
      </c>
      <c r="B350" s="16"/>
      <c r="C350" s="103" t="s">
        <v>750</v>
      </c>
      <c r="D350" s="41">
        <f>D351</f>
        <v>409.9</v>
      </c>
      <c r="E350" s="41">
        <f t="shared" ref="E350:F350" si="163">E351</f>
        <v>0</v>
      </c>
      <c r="F350" s="41">
        <f t="shared" si="163"/>
        <v>0</v>
      </c>
    </row>
    <row r="351" spans="1:7" ht="38.25">
      <c r="A351" s="21" t="s">
        <v>749</v>
      </c>
      <c r="B351" s="85" t="s">
        <v>325</v>
      </c>
      <c r="C351" s="103" t="s">
        <v>326</v>
      </c>
      <c r="D351" s="41">
        <f>200+175.4-38+72.5</f>
        <v>409.9</v>
      </c>
      <c r="E351" s="41">
        <v>0</v>
      </c>
      <c r="F351" s="41">
        <v>0</v>
      </c>
    </row>
    <row r="352" spans="1:7" ht="38.25">
      <c r="A352" s="52" t="s">
        <v>276</v>
      </c>
      <c r="B352" s="16"/>
      <c r="C352" s="60" t="s">
        <v>600</v>
      </c>
      <c r="D352" s="41">
        <f>D353+D356+D359</f>
        <v>11564.6</v>
      </c>
      <c r="E352" s="41">
        <f t="shared" ref="E352:F352" si="164">E353+E356+E359</f>
        <v>16582.7</v>
      </c>
      <c r="F352" s="41">
        <f t="shared" si="164"/>
        <v>14582.599999999999</v>
      </c>
    </row>
    <row r="353" spans="1:7" ht="25.5">
      <c r="A353" s="52" t="s">
        <v>364</v>
      </c>
      <c r="B353" s="16"/>
      <c r="C353" s="60" t="s">
        <v>584</v>
      </c>
      <c r="D353" s="41">
        <f>D354</f>
        <v>7000</v>
      </c>
      <c r="E353" s="41">
        <f t="shared" ref="E353:F353" si="165">E354</f>
        <v>11473.8</v>
      </c>
      <c r="F353" s="41">
        <f t="shared" si="165"/>
        <v>11473.8</v>
      </c>
    </row>
    <row r="354" spans="1:7" ht="25.5">
      <c r="A354" s="21" t="s">
        <v>277</v>
      </c>
      <c r="B354" s="85"/>
      <c r="C354" s="103" t="s">
        <v>601</v>
      </c>
      <c r="D354" s="41">
        <f>D355</f>
        <v>7000</v>
      </c>
      <c r="E354" s="41">
        <f>E355</f>
        <v>11473.8</v>
      </c>
      <c r="F354" s="41">
        <f>F355</f>
        <v>11473.8</v>
      </c>
    </row>
    <row r="355" spans="1:7" ht="38.25">
      <c r="A355" s="21" t="s">
        <v>277</v>
      </c>
      <c r="B355" s="85" t="s">
        <v>325</v>
      </c>
      <c r="C355" s="103" t="s">
        <v>326</v>
      </c>
      <c r="D355" s="41">
        <f>10000-2000-1000</f>
        <v>7000</v>
      </c>
      <c r="E355" s="41">
        <v>11473.8</v>
      </c>
      <c r="F355" s="41">
        <v>11473.8</v>
      </c>
    </row>
    <row r="356" spans="1:7" ht="51">
      <c r="A356" s="52" t="s">
        <v>585</v>
      </c>
      <c r="B356" s="16"/>
      <c r="C356" s="60" t="s">
        <v>586</v>
      </c>
      <c r="D356" s="98">
        <f>D357</f>
        <v>1500</v>
      </c>
      <c r="E356" s="98">
        <f t="shared" ref="E356:F356" si="166">E357</f>
        <v>2000</v>
      </c>
      <c r="F356" s="98">
        <f t="shared" si="166"/>
        <v>774.8</v>
      </c>
      <c r="G356" s="109"/>
    </row>
    <row r="357" spans="1:7" ht="51">
      <c r="A357" s="21" t="s">
        <v>587</v>
      </c>
      <c r="B357" s="16"/>
      <c r="C357" s="103" t="s">
        <v>603</v>
      </c>
      <c r="D357" s="104">
        <f t="shared" ref="D357:F357" si="167">D358</f>
        <v>1500</v>
      </c>
      <c r="E357" s="104">
        <f t="shared" si="167"/>
        <v>2000</v>
      </c>
      <c r="F357" s="104">
        <f t="shared" si="167"/>
        <v>774.8</v>
      </c>
    </row>
    <row r="358" spans="1:7" ht="38.25">
      <c r="A358" s="21" t="s">
        <v>587</v>
      </c>
      <c r="B358" s="85" t="s">
        <v>325</v>
      </c>
      <c r="C358" s="103" t="s">
        <v>326</v>
      </c>
      <c r="D358" s="41">
        <v>1500</v>
      </c>
      <c r="E358" s="41">
        <v>2000</v>
      </c>
      <c r="F358" s="41">
        <v>774.8</v>
      </c>
    </row>
    <row r="359" spans="1:7" ht="38.25">
      <c r="A359" s="52" t="s">
        <v>737</v>
      </c>
      <c r="B359" s="16"/>
      <c r="C359" s="60" t="s">
        <v>738</v>
      </c>
      <c r="D359" s="98">
        <f>D360</f>
        <v>3064.6</v>
      </c>
      <c r="E359" s="98">
        <f t="shared" ref="E359:F359" si="168">E360</f>
        <v>3108.9</v>
      </c>
      <c r="F359" s="98">
        <f t="shared" si="168"/>
        <v>2334</v>
      </c>
    </row>
    <row r="360" spans="1:7" ht="17.25" customHeight="1">
      <c r="A360" s="21" t="s">
        <v>736</v>
      </c>
      <c r="B360" s="85"/>
      <c r="C360" s="103" t="s">
        <v>740</v>
      </c>
      <c r="D360" s="41">
        <f>D361</f>
        <v>3064.6</v>
      </c>
      <c r="E360" s="41">
        <f t="shared" ref="E360:F360" si="169">E361</f>
        <v>3108.9</v>
      </c>
      <c r="F360" s="41">
        <f t="shared" si="169"/>
        <v>2334</v>
      </c>
    </row>
    <row r="361" spans="1:7" ht="38.25">
      <c r="A361" s="21" t="s">
        <v>736</v>
      </c>
      <c r="B361" s="85" t="s">
        <v>325</v>
      </c>
      <c r="C361" s="103" t="s">
        <v>326</v>
      </c>
      <c r="D361" s="41">
        <f>3280+100-232.4-83</f>
        <v>3064.6</v>
      </c>
      <c r="E361" s="41">
        <f>3008.9+100</f>
        <v>3108.9</v>
      </c>
      <c r="F361" s="41">
        <f>2234+100</f>
        <v>2334</v>
      </c>
    </row>
    <row r="362" spans="1:7" ht="51.75" customHeight="1">
      <c r="A362" s="73" t="s">
        <v>203</v>
      </c>
      <c r="B362" s="16"/>
      <c r="C362" s="63" t="s">
        <v>542</v>
      </c>
      <c r="D362" s="101">
        <f>D364+D369+D377</f>
        <v>440</v>
      </c>
      <c r="E362" s="101">
        <f>E364+E369+E377</f>
        <v>1921.4</v>
      </c>
      <c r="F362" s="101">
        <f>F364+F369+F377</f>
        <v>1921.4</v>
      </c>
    </row>
    <row r="363" spans="1:7" ht="38.25">
      <c r="A363" s="21" t="s">
        <v>204</v>
      </c>
      <c r="B363" s="16"/>
      <c r="C363" s="48" t="s">
        <v>205</v>
      </c>
      <c r="D363" s="98">
        <f t="shared" ref="D363:F363" si="170">D364</f>
        <v>440</v>
      </c>
      <c r="E363" s="98">
        <f t="shared" si="170"/>
        <v>0</v>
      </c>
      <c r="F363" s="98">
        <f t="shared" si="170"/>
        <v>0</v>
      </c>
    </row>
    <row r="364" spans="1:7" ht="39.75" customHeight="1">
      <c r="A364" s="21" t="s">
        <v>316</v>
      </c>
      <c r="B364" s="16"/>
      <c r="C364" s="105" t="s">
        <v>597</v>
      </c>
      <c r="D364" s="104">
        <f>D365+D367</f>
        <v>440</v>
      </c>
      <c r="E364" s="104">
        <f t="shared" ref="E364:F364" si="171">E365+E367</f>
        <v>0</v>
      </c>
      <c r="F364" s="104">
        <f t="shared" si="171"/>
        <v>0</v>
      </c>
    </row>
    <row r="365" spans="1:7" ht="51">
      <c r="A365" s="74" t="s">
        <v>536</v>
      </c>
      <c r="B365" s="16"/>
      <c r="C365" s="105" t="s">
        <v>598</v>
      </c>
      <c r="D365" s="39">
        <f t="shared" ref="D365:F367" si="172">D366</f>
        <v>300</v>
      </c>
      <c r="E365" s="39">
        <f t="shared" si="172"/>
        <v>0</v>
      </c>
      <c r="F365" s="39">
        <f t="shared" si="172"/>
        <v>0</v>
      </c>
    </row>
    <row r="366" spans="1:7" ht="38.25">
      <c r="A366" s="74" t="s">
        <v>536</v>
      </c>
      <c r="B366" s="85" t="s">
        <v>325</v>
      </c>
      <c r="C366" s="103" t="s">
        <v>326</v>
      </c>
      <c r="D366" s="39">
        <v>300</v>
      </c>
      <c r="E366" s="39">
        <v>0</v>
      </c>
      <c r="F366" s="39">
        <v>0</v>
      </c>
    </row>
    <row r="367" spans="1:7" ht="63.75">
      <c r="A367" s="74" t="s">
        <v>537</v>
      </c>
      <c r="B367" s="16"/>
      <c r="C367" s="105" t="s">
        <v>599</v>
      </c>
      <c r="D367" s="39">
        <f>D368</f>
        <v>140</v>
      </c>
      <c r="E367" s="39">
        <f t="shared" si="172"/>
        <v>0</v>
      </c>
      <c r="F367" s="39">
        <f t="shared" si="172"/>
        <v>0</v>
      </c>
    </row>
    <row r="368" spans="1:7" ht="38.25">
      <c r="A368" s="74" t="s">
        <v>537</v>
      </c>
      <c r="B368" s="85" t="s">
        <v>325</v>
      </c>
      <c r="C368" s="103" t="s">
        <v>326</v>
      </c>
      <c r="D368" s="39">
        <f>1621.4-1481.4</f>
        <v>140</v>
      </c>
      <c r="E368" s="39">
        <v>0</v>
      </c>
      <c r="F368" s="39">
        <v>0</v>
      </c>
    </row>
    <row r="369" spans="1:7" ht="76.5">
      <c r="A369" s="52" t="s">
        <v>317</v>
      </c>
      <c r="B369" s="16"/>
      <c r="C369" s="48" t="s">
        <v>496</v>
      </c>
      <c r="D369" s="98">
        <f t="shared" ref="D369" si="173">D370+D373</f>
        <v>0</v>
      </c>
      <c r="E369" s="98">
        <f>E370</f>
        <v>1055.9000000000001</v>
      </c>
      <c r="F369" s="98">
        <f>F370</f>
        <v>0</v>
      </c>
    </row>
    <row r="370" spans="1:7" ht="76.5">
      <c r="A370" s="21" t="s">
        <v>318</v>
      </c>
      <c r="B370" s="16"/>
      <c r="C370" s="105" t="s">
        <v>541</v>
      </c>
      <c r="D370" s="41">
        <f>D371</f>
        <v>0</v>
      </c>
      <c r="E370" s="41">
        <f t="shared" ref="E370:F370" si="174">E371+E374</f>
        <v>1055.9000000000001</v>
      </c>
      <c r="F370" s="41">
        <f t="shared" si="174"/>
        <v>0</v>
      </c>
    </row>
    <row r="371" spans="1:7" ht="63.75">
      <c r="A371" s="21" t="s">
        <v>319</v>
      </c>
      <c r="B371" s="16"/>
      <c r="C371" s="103" t="s">
        <v>320</v>
      </c>
      <c r="D371" s="41">
        <f t="shared" ref="D371:F371" si="175">D372</f>
        <v>0</v>
      </c>
      <c r="E371" s="41">
        <f t="shared" si="175"/>
        <v>905</v>
      </c>
      <c r="F371" s="41">
        <f t="shared" si="175"/>
        <v>0</v>
      </c>
    </row>
    <row r="372" spans="1:7" ht="38.25">
      <c r="A372" s="21" t="s">
        <v>319</v>
      </c>
      <c r="B372" s="85" t="s">
        <v>325</v>
      </c>
      <c r="C372" s="103" t="s">
        <v>326</v>
      </c>
      <c r="D372" s="41">
        <v>0</v>
      </c>
      <c r="E372" s="41">
        <v>905</v>
      </c>
      <c r="F372" s="41">
        <v>0</v>
      </c>
    </row>
    <row r="373" spans="1:7" ht="102">
      <c r="A373" s="21" t="s">
        <v>540</v>
      </c>
      <c r="B373" s="85"/>
      <c r="C373" s="105" t="s">
        <v>470</v>
      </c>
      <c r="D373" s="41">
        <f t="shared" ref="D373:F374" si="176">D374</f>
        <v>0</v>
      </c>
      <c r="E373" s="41">
        <f t="shared" si="176"/>
        <v>150.9</v>
      </c>
      <c r="F373" s="41">
        <f t="shared" si="176"/>
        <v>0</v>
      </c>
    </row>
    <row r="374" spans="1:7" ht="76.5">
      <c r="A374" s="21" t="s">
        <v>539</v>
      </c>
      <c r="B374" s="16"/>
      <c r="C374" s="103" t="s">
        <v>471</v>
      </c>
      <c r="D374" s="41">
        <f t="shared" si="176"/>
        <v>0</v>
      </c>
      <c r="E374" s="41">
        <f t="shared" si="176"/>
        <v>150.9</v>
      </c>
      <c r="F374" s="41">
        <f t="shared" si="176"/>
        <v>0</v>
      </c>
    </row>
    <row r="375" spans="1:7" ht="38.25">
      <c r="A375" s="21" t="s">
        <v>539</v>
      </c>
      <c r="B375" s="85" t="s">
        <v>325</v>
      </c>
      <c r="C375" s="103" t="s">
        <v>326</v>
      </c>
      <c r="D375" s="41">
        <v>0</v>
      </c>
      <c r="E375" s="41">
        <v>150.9</v>
      </c>
      <c r="F375" s="41">
        <v>0</v>
      </c>
    </row>
    <row r="376" spans="1:7" ht="63.75">
      <c r="A376" s="52" t="s">
        <v>321</v>
      </c>
      <c r="B376" s="16"/>
      <c r="C376" s="48" t="s">
        <v>610</v>
      </c>
      <c r="D376" s="98">
        <f t="shared" ref="D376:F376" si="177">D377</f>
        <v>0</v>
      </c>
      <c r="E376" s="98">
        <f t="shared" si="177"/>
        <v>865.5</v>
      </c>
      <c r="F376" s="98">
        <f t="shared" si="177"/>
        <v>1921.4</v>
      </c>
    </row>
    <row r="377" spans="1:7" ht="64.5" customHeight="1">
      <c r="A377" s="21" t="s">
        <v>323</v>
      </c>
      <c r="B377" s="16"/>
      <c r="C377" s="105" t="s">
        <v>602</v>
      </c>
      <c r="D377" s="41">
        <f t="shared" ref="D377:E377" si="178">D378+D380</f>
        <v>0</v>
      </c>
      <c r="E377" s="41">
        <f t="shared" si="178"/>
        <v>865.5</v>
      </c>
      <c r="F377" s="41">
        <f t="shared" ref="F377" si="179">F378+F380</f>
        <v>1921.4</v>
      </c>
    </row>
    <row r="378" spans="1:7" ht="63.75">
      <c r="A378" s="21" t="s">
        <v>324</v>
      </c>
      <c r="B378" s="16"/>
      <c r="C378" s="103" t="s">
        <v>588</v>
      </c>
      <c r="D378" s="41">
        <f t="shared" ref="D378:F378" si="180">D379</f>
        <v>0</v>
      </c>
      <c r="E378" s="41">
        <f t="shared" si="180"/>
        <v>865.5</v>
      </c>
      <c r="F378" s="41">
        <f t="shared" si="180"/>
        <v>986.9</v>
      </c>
    </row>
    <row r="379" spans="1:7" ht="38.25">
      <c r="A379" s="21" t="s">
        <v>324</v>
      </c>
      <c r="B379" s="85" t="s">
        <v>325</v>
      </c>
      <c r="C379" s="103" t="s">
        <v>326</v>
      </c>
      <c r="D379" s="41">
        <v>0</v>
      </c>
      <c r="E379" s="41">
        <v>865.5</v>
      </c>
      <c r="F379" s="41">
        <v>986.9</v>
      </c>
    </row>
    <row r="380" spans="1:7" ht="63.75">
      <c r="A380" s="21" t="s">
        <v>646</v>
      </c>
      <c r="B380" s="16"/>
      <c r="C380" s="103" t="s">
        <v>664</v>
      </c>
      <c r="D380" s="41">
        <f t="shared" ref="D380:F380" si="181">D381</f>
        <v>0</v>
      </c>
      <c r="E380" s="41">
        <f t="shared" si="181"/>
        <v>0</v>
      </c>
      <c r="F380" s="41">
        <f t="shared" si="181"/>
        <v>934.5</v>
      </c>
    </row>
    <row r="381" spans="1:7" ht="38.25">
      <c r="A381" s="21" t="s">
        <v>646</v>
      </c>
      <c r="B381" s="85" t="s">
        <v>325</v>
      </c>
      <c r="C381" s="103" t="s">
        <v>326</v>
      </c>
      <c r="D381" s="41">
        <v>0</v>
      </c>
      <c r="E381" s="41">
        <v>0</v>
      </c>
      <c r="F381" s="41">
        <v>934.5</v>
      </c>
    </row>
    <row r="382" spans="1:7" ht="52.5" customHeight="1">
      <c r="A382" s="122" t="s">
        <v>111</v>
      </c>
      <c r="B382" s="123"/>
      <c r="C382" s="124" t="s">
        <v>534</v>
      </c>
      <c r="D382" s="125">
        <f>D383+D409</f>
        <v>151116.90000000002</v>
      </c>
      <c r="E382" s="125">
        <f>E383+E409</f>
        <v>139694.20000000001</v>
      </c>
      <c r="F382" s="125">
        <f>F383+F409</f>
        <v>143367.5</v>
      </c>
      <c r="G382" s="109"/>
    </row>
    <row r="383" spans="1:7" ht="54" customHeight="1">
      <c r="A383" s="126" t="s">
        <v>112</v>
      </c>
      <c r="B383" s="123"/>
      <c r="C383" s="127" t="s">
        <v>236</v>
      </c>
      <c r="D383" s="128">
        <f t="shared" ref="D383:F383" si="182">D384</f>
        <v>127225.40000000001</v>
      </c>
      <c r="E383" s="128">
        <f t="shared" si="182"/>
        <v>115050.5</v>
      </c>
      <c r="F383" s="128">
        <f t="shared" si="182"/>
        <v>118893.20000000001</v>
      </c>
      <c r="G383" s="109"/>
    </row>
    <row r="384" spans="1:7" ht="38.25">
      <c r="A384" s="130" t="s">
        <v>459</v>
      </c>
      <c r="B384" s="123"/>
      <c r="C384" s="120" t="s">
        <v>482</v>
      </c>
      <c r="D384" s="128">
        <f>D385+D387+D389+D391+D393+D395+D397+D399+D401+D403+D405+D407</f>
        <v>127225.40000000001</v>
      </c>
      <c r="E384" s="128">
        <f t="shared" ref="E384:F384" si="183">E385+E387+E389+E391+E393+E395+E397+E399+E401+E403+E405+E407</f>
        <v>115050.5</v>
      </c>
      <c r="F384" s="128">
        <f t="shared" si="183"/>
        <v>118893.20000000001</v>
      </c>
      <c r="G384" s="109"/>
    </row>
    <row r="385" spans="1:7" ht="76.5">
      <c r="A385" s="79" t="s">
        <v>113</v>
      </c>
      <c r="B385" s="123"/>
      <c r="C385" s="120" t="s">
        <v>458</v>
      </c>
      <c r="D385" s="114">
        <f>D386</f>
        <v>12237.3</v>
      </c>
      <c r="E385" s="114">
        <f>E386</f>
        <v>15386.8</v>
      </c>
      <c r="F385" s="114">
        <f>F386</f>
        <v>15386.8</v>
      </c>
      <c r="G385" s="109"/>
    </row>
    <row r="386" spans="1:7" ht="38.25">
      <c r="A386" s="79" t="s">
        <v>113</v>
      </c>
      <c r="B386" s="85" t="s">
        <v>325</v>
      </c>
      <c r="C386" s="103" t="s">
        <v>326</v>
      </c>
      <c r="D386" s="114">
        <f>12490-178.7-74</f>
        <v>12237.3</v>
      </c>
      <c r="E386" s="114">
        <v>15386.8</v>
      </c>
      <c r="F386" s="114">
        <v>15386.8</v>
      </c>
    </row>
    <row r="387" spans="1:7" ht="63.75">
      <c r="A387" s="79">
        <v>910110520</v>
      </c>
      <c r="B387" s="123"/>
      <c r="C387" s="120" t="s">
        <v>267</v>
      </c>
      <c r="D387" s="114">
        <f>D388</f>
        <v>12239.2</v>
      </c>
      <c r="E387" s="114">
        <f>E388</f>
        <v>12728.8</v>
      </c>
      <c r="F387" s="114">
        <f>F388</f>
        <v>13238</v>
      </c>
      <c r="G387" s="109"/>
    </row>
    <row r="388" spans="1:7" ht="25.5">
      <c r="A388" s="79">
        <v>910110520</v>
      </c>
      <c r="B388" s="85" t="s">
        <v>325</v>
      </c>
      <c r="C388" s="103" t="s">
        <v>14</v>
      </c>
      <c r="D388" s="114">
        <v>12239.2</v>
      </c>
      <c r="E388" s="114">
        <v>12728.8</v>
      </c>
      <c r="F388" s="114">
        <v>13238</v>
      </c>
      <c r="G388" s="109"/>
    </row>
    <row r="389" spans="1:7" ht="25.5">
      <c r="A389" s="79" t="s">
        <v>269</v>
      </c>
      <c r="B389" s="129"/>
      <c r="C389" s="103" t="s">
        <v>268</v>
      </c>
      <c r="D389" s="114">
        <f>D390</f>
        <v>14676.2</v>
      </c>
      <c r="E389" s="114">
        <f>E390</f>
        <v>16457</v>
      </c>
      <c r="F389" s="114">
        <f>F390</f>
        <v>16457</v>
      </c>
      <c r="G389" s="109"/>
    </row>
    <row r="390" spans="1:7" ht="38.25">
      <c r="A390" s="79" t="s">
        <v>269</v>
      </c>
      <c r="B390" s="85" t="s">
        <v>325</v>
      </c>
      <c r="C390" s="103" t="s">
        <v>326</v>
      </c>
      <c r="D390" s="114">
        <f>14293.5+382.7</f>
        <v>14676.2</v>
      </c>
      <c r="E390" s="114">
        <v>16457</v>
      </c>
      <c r="F390" s="114">
        <v>16457</v>
      </c>
    </row>
    <row r="391" spans="1:7" ht="89.25">
      <c r="A391" s="79" t="s">
        <v>753</v>
      </c>
      <c r="B391" s="129"/>
      <c r="C391" s="103" t="s">
        <v>932</v>
      </c>
      <c r="D391" s="114">
        <f>D392</f>
        <v>300</v>
      </c>
      <c r="E391" s="114">
        <f>E392</f>
        <v>0</v>
      </c>
      <c r="F391" s="114">
        <f>F392</f>
        <v>0</v>
      </c>
    </row>
    <row r="392" spans="1:7" ht="38.25">
      <c r="A392" s="79" t="s">
        <v>753</v>
      </c>
      <c r="B392" s="85" t="s">
        <v>325</v>
      </c>
      <c r="C392" s="103" t="s">
        <v>326</v>
      </c>
      <c r="D392" s="114">
        <f>920-620</f>
        <v>300</v>
      </c>
      <c r="E392" s="114">
        <v>0</v>
      </c>
      <c r="F392" s="114">
        <v>0</v>
      </c>
    </row>
    <row r="393" spans="1:7" ht="25.5">
      <c r="A393" s="79" t="s">
        <v>754</v>
      </c>
      <c r="B393" s="85"/>
      <c r="C393" s="167" t="s">
        <v>952</v>
      </c>
      <c r="D393" s="114">
        <f>D394</f>
        <v>1550</v>
      </c>
      <c r="E393" s="114">
        <f>E394</f>
        <v>0</v>
      </c>
      <c r="F393" s="114">
        <f>F394</f>
        <v>0</v>
      </c>
    </row>
    <row r="394" spans="1:7" ht="38.25">
      <c r="A394" s="79" t="s">
        <v>754</v>
      </c>
      <c r="B394" s="85" t="s">
        <v>325</v>
      </c>
      <c r="C394" s="103" t="s">
        <v>326</v>
      </c>
      <c r="D394" s="114">
        <f>200+1350</f>
        <v>1550</v>
      </c>
      <c r="E394" s="114">
        <v>0</v>
      </c>
      <c r="F394" s="114">
        <v>0</v>
      </c>
    </row>
    <row r="395" spans="1:7" ht="51">
      <c r="A395" s="79" t="s">
        <v>627</v>
      </c>
      <c r="B395" s="85"/>
      <c r="C395" s="157" t="s">
        <v>626</v>
      </c>
      <c r="D395" s="114">
        <f>D396</f>
        <v>3170.8</v>
      </c>
      <c r="E395" s="114">
        <f>E396</f>
        <v>1243.2</v>
      </c>
      <c r="F395" s="114">
        <f>F396</f>
        <v>1260.5999999999999</v>
      </c>
    </row>
    <row r="396" spans="1:7" ht="38.25">
      <c r="A396" s="79" t="s">
        <v>627</v>
      </c>
      <c r="B396" s="85" t="s">
        <v>325</v>
      </c>
      <c r="C396" s="103" t="s">
        <v>326</v>
      </c>
      <c r="D396" s="114">
        <f>2328.2+733.3+109.3</f>
        <v>3170.8</v>
      </c>
      <c r="E396" s="114">
        <v>1243.2</v>
      </c>
      <c r="F396" s="114">
        <v>1260.5999999999999</v>
      </c>
    </row>
    <row r="397" spans="1:7" ht="51">
      <c r="A397" s="79">
        <v>910111020</v>
      </c>
      <c r="B397" s="85"/>
      <c r="C397" s="157" t="s">
        <v>628</v>
      </c>
      <c r="D397" s="114">
        <f>D398</f>
        <v>4781.6000000000004</v>
      </c>
      <c r="E397" s="114">
        <f>E398</f>
        <v>4972.8999999999996</v>
      </c>
      <c r="F397" s="114">
        <f>F398</f>
        <v>5042.5</v>
      </c>
    </row>
    <row r="398" spans="1:7" ht="38.25">
      <c r="A398" s="79">
        <v>910111020</v>
      </c>
      <c r="B398" s="85" t="s">
        <v>325</v>
      </c>
      <c r="C398" s="103" t="s">
        <v>326</v>
      </c>
      <c r="D398" s="114">
        <v>4781.6000000000004</v>
      </c>
      <c r="E398" s="114">
        <v>4972.8999999999996</v>
      </c>
      <c r="F398" s="114">
        <v>5042.5</v>
      </c>
    </row>
    <row r="399" spans="1:7" ht="25.5">
      <c r="A399" s="79" t="s">
        <v>622</v>
      </c>
      <c r="B399" s="85"/>
      <c r="C399" s="103" t="s">
        <v>623</v>
      </c>
      <c r="D399" s="114">
        <f>D400</f>
        <v>13048.6</v>
      </c>
      <c r="E399" s="114">
        <f>E400</f>
        <v>12852.4</v>
      </c>
      <c r="F399" s="114">
        <f>F400</f>
        <v>13501.7</v>
      </c>
    </row>
    <row r="400" spans="1:7" ht="38.25">
      <c r="A400" s="79" t="s">
        <v>622</v>
      </c>
      <c r="B400" s="85" t="s">
        <v>325</v>
      </c>
      <c r="C400" s="103" t="s">
        <v>326</v>
      </c>
      <c r="D400" s="114">
        <f>5551.9+270.2+1453.9+4977.1+3134.6+3157.3-5464.3-32.1</f>
        <v>13048.6</v>
      </c>
      <c r="E400" s="114">
        <v>12852.4</v>
      </c>
      <c r="F400" s="114">
        <v>13501.7</v>
      </c>
    </row>
    <row r="401" spans="1:7" ht="25.5">
      <c r="A401" s="79">
        <v>910111050</v>
      </c>
      <c r="B401" s="85"/>
      <c r="C401" s="103" t="s">
        <v>624</v>
      </c>
      <c r="D401" s="114">
        <f>D402</f>
        <v>51113.8</v>
      </c>
      <c r="E401" s="114">
        <f>E402</f>
        <v>51409.4</v>
      </c>
      <c r="F401" s="114">
        <f>F402</f>
        <v>54006.6</v>
      </c>
    </row>
    <row r="402" spans="1:7" ht="38.25">
      <c r="A402" s="79">
        <v>910111050</v>
      </c>
      <c r="B402" s="85" t="s">
        <v>325</v>
      </c>
      <c r="C402" s="103" t="s">
        <v>326</v>
      </c>
      <c r="D402" s="114">
        <v>51113.8</v>
      </c>
      <c r="E402" s="114">
        <v>51409.4</v>
      </c>
      <c r="F402" s="114">
        <v>54006.6</v>
      </c>
    </row>
    <row r="403" spans="1:7" ht="25.5">
      <c r="A403" s="79" t="s">
        <v>743</v>
      </c>
      <c r="B403" s="85"/>
      <c r="C403" s="103" t="s">
        <v>953</v>
      </c>
      <c r="D403" s="114">
        <f>D404</f>
        <v>13080.6</v>
      </c>
      <c r="E403" s="114">
        <f t="shared" ref="E403:F403" si="184">E404</f>
        <v>0</v>
      </c>
      <c r="F403" s="114">
        <f t="shared" si="184"/>
        <v>0</v>
      </c>
    </row>
    <row r="404" spans="1:7" ht="38.25">
      <c r="A404" s="79" t="s">
        <v>743</v>
      </c>
      <c r="B404" s="85" t="s">
        <v>325</v>
      </c>
      <c r="C404" s="103" t="s">
        <v>326</v>
      </c>
      <c r="D404" s="114">
        <f>4416.4+8664.2</f>
        <v>13080.6</v>
      </c>
      <c r="E404" s="114">
        <v>0</v>
      </c>
      <c r="F404" s="114">
        <v>0</v>
      </c>
    </row>
    <row r="405" spans="1:7" ht="38.25">
      <c r="A405" s="74" t="s">
        <v>918</v>
      </c>
      <c r="B405" s="84"/>
      <c r="C405" s="184" t="s">
        <v>919</v>
      </c>
      <c r="D405" s="39">
        <f>D406</f>
        <v>532.19999999999993</v>
      </c>
      <c r="E405" s="39">
        <f t="shared" ref="E405:F405" si="185">E406</f>
        <v>0</v>
      </c>
      <c r="F405" s="39">
        <f t="shared" si="185"/>
        <v>0</v>
      </c>
    </row>
    <row r="406" spans="1:7" ht="38.25">
      <c r="A406" s="74" t="s">
        <v>918</v>
      </c>
      <c r="B406" s="84" t="s">
        <v>325</v>
      </c>
      <c r="C406" s="184" t="s">
        <v>326</v>
      </c>
      <c r="D406" s="39">
        <f>416.9+115.3</f>
        <v>532.19999999999993</v>
      </c>
      <c r="E406" s="114">
        <v>0</v>
      </c>
      <c r="F406" s="114">
        <v>0</v>
      </c>
    </row>
    <row r="407" spans="1:7" ht="38.25">
      <c r="A407" s="79" t="s">
        <v>756</v>
      </c>
      <c r="B407" s="85"/>
      <c r="C407" s="103" t="s">
        <v>757</v>
      </c>
      <c r="D407" s="114">
        <f>D408</f>
        <v>495.1</v>
      </c>
      <c r="E407" s="114">
        <f t="shared" ref="E407:F407" si="186">E408</f>
        <v>0</v>
      </c>
      <c r="F407" s="114">
        <f t="shared" si="186"/>
        <v>0</v>
      </c>
    </row>
    <row r="408" spans="1:7" ht="38.25">
      <c r="A408" s="79" t="s">
        <v>756</v>
      </c>
      <c r="B408" s="85" t="s">
        <v>325</v>
      </c>
      <c r="C408" s="103" t="s">
        <v>326</v>
      </c>
      <c r="D408" s="114">
        <f>900-404.9</f>
        <v>495.1</v>
      </c>
      <c r="E408" s="114">
        <v>0</v>
      </c>
      <c r="F408" s="114">
        <v>0</v>
      </c>
    </row>
    <row r="409" spans="1:7" ht="63.75">
      <c r="A409" s="52" t="s">
        <v>329</v>
      </c>
      <c r="B409" s="30"/>
      <c r="C409" s="46" t="s">
        <v>270</v>
      </c>
      <c r="D409" s="98">
        <f t="shared" ref="D409:F409" si="187">D410</f>
        <v>23891.5</v>
      </c>
      <c r="E409" s="98">
        <f t="shared" si="187"/>
        <v>24643.7</v>
      </c>
      <c r="F409" s="98">
        <f t="shared" si="187"/>
        <v>24474.3</v>
      </c>
    </row>
    <row r="410" spans="1:7" ht="25.5">
      <c r="A410" s="74">
        <v>920100000</v>
      </c>
      <c r="B410" s="30"/>
      <c r="C410" s="102" t="s">
        <v>461</v>
      </c>
      <c r="D410" s="104">
        <f>D411+D413+D415</f>
        <v>23891.5</v>
      </c>
      <c r="E410" s="104">
        <f t="shared" ref="E410:F410" si="188">E411+E413+E415</f>
        <v>24643.7</v>
      </c>
      <c r="F410" s="104">
        <f t="shared" si="188"/>
        <v>24474.3</v>
      </c>
    </row>
    <row r="411" spans="1:7" ht="63.75">
      <c r="A411" s="74" t="s">
        <v>479</v>
      </c>
      <c r="B411" s="30"/>
      <c r="C411" s="102" t="s">
        <v>330</v>
      </c>
      <c r="D411" s="39">
        <f t="shared" ref="D411:F411" si="189">D412</f>
        <v>4525.1000000000004</v>
      </c>
      <c r="E411" s="39">
        <f t="shared" si="189"/>
        <v>4928.7</v>
      </c>
      <c r="F411" s="39">
        <f t="shared" si="189"/>
        <v>4894.8</v>
      </c>
      <c r="G411" s="109"/>
    </row>
    <row r="412" spans="1:7" ht="38.25">
      <c r="A412" s="74" t="s">
        <v>479</v>
      </c>
      <c r="B412" s="85" t="s">
        <v>325</v>
      </c>
      <c r="C412" s="103" t="s">
        <v>326</v>
      </c>
      <c r="D412" s="39">
        <v>4525.1000000000004</v>
      </c>
      <c r="E412" s="39">
        <v>4928.7</v>
      </c>
      <c r="F412" s="39">
        <v>4894.8</v>
      </c>
    </row>
    <row r="413" spans="1:7" ht="63.75">
      <c r="A413" s="74" t="s">
        <v>484</v>
      </c>
      <c r="B413" s="16"/>
      <c r="C413" s="131" t="s">
        <v>488</v>
      </c>
      <c r="D413" s="39">
        <f t="shared" ref="D413:F413" si="190">D414</f>
        <v>1266.1000000000001</v>
      </c>
      <c r="E413" s="39">
        <f t="shared" si="190"/>
        <v>0</v>
      </c>
      <c r="F413" s="39">
        <f t="shared" si="190"/>
        <v>0</v>
      </c>
    </row>
    <row r="414" spans="1:7" ht="38.25">
      <c r="A414" s="74" t="s">
        <v>484</v>
      </c>
      <c r="B414" s="85" t="s">
        <v>325</v>
      </c>
      <c r="C414" s="103" t="s">
        <v>326</v>
      </c>
      <c r="D414" s="39">
        <f>1218.4+47.7</f>
        <v>1266.1000000000001</v>
      </c>
      <c r="E414" s="39">
        <v>0</v>
      </c>
      <c r="F414" s="39">
        <v>0</v>
      </c>
    </row>
    <row r="415" spans="1:7" ht="76.5">
      <c r="A415" s="74">
        <v>920110300</v>
      </c>
      <c r="B415" s="85"/>
      <c r="C415" s="54" t="s">
        <v>625</v>
      </c>
      <c r="D415" s="39">
        <f t="shared" ref="D415:F415" si="191">D416</f>
        <v>18100.3</v>
      </c>
      <c r="E415" s="39">
        <f t="shared" si="191"/>
        <v>19715</v>
      </c>
      <c r="F415" s="39">
        <f t="shared" si="191"/>
        <v>19579.5</v>
      </c>
    </row>
    <row r="416" spans="1:7" ht="38.25">
      <c r="A416" s="74">
        <v>920110300</v>
      </c>
      <c r="B416" s="85" t="s">
        <v>325</v>
      </c>
      <c r="C416" s="103" t="s">
        <v>326</v>
      </c>
      <c r="D416" s="39">
        <v>18100.3</v>
      </c>
      <c r="E416" s="39">
        <v>19715</v>
      </c>
      <c r="F416" s="39">
        <v>19579.5</v>
      </c>
    </row>
    <row r="417" spans="1:6" ht="51">
      <c r="A417" s="73" t="s">
        <v>119</v>
      </c>
      <c r="B417" s="16"/>
      <c r="C417" s="53" t="s">
        <v>555</v>
      </c>
      <c r="D417" s="101">
        <f t="shared" ref="D417:F418" si="192">D418</f>
        <v>134</v>
      </c>
      <c r="E417" s="101">
        <f t="shared" si="192"/>
        <v>34</v>
      </c>
      <c r="F417" s="101">
        <f t="shared" si="192"/>
        <v>34</v>
      </c>
    </row>
    <row r="418" spans="1:6" ht="51">
      <c r="A418" s="52" t="s">
        <v>120</v>
      </c>
      <c r="B418" s="16"/>
      <c r="C418" s="60" t="s">
        <v>271</v>
      </c>
      <c r="D418" s="58">
        <f t="shared" si="192"/>
        <v>134</v>
      </c>
      <c r="E418" s="58">
        <f t="shared" si="192"/>
        <v>34</v>
      </c>
      <c r="F418" s="58">
        <f t="shared" si="192"/>
        <v>34</v>
      </c>
    </row>
    <row r="419" spans="1:6" ht="38.25">
      <c r="A419" s="21" t="s">
        <v>345</v>
      </c>
      <c r="B419" s="85"/>
      <c r="C419" s="103" t="s">
        <v>613</v>
      </c>
      <c r="D419" s="41">
        <f t="shared" ref="D419:E419" si="193">D420+D422</f>
        <v>134</v>
      </c>
      <c r="E419" s="41">
        <f t="shared" si="193"/>
        <v>34</v>
      </c>
      <c r="F419" s="41">
        <f t="shared" ref="F419" si="194">F420+F422</f>
        <v>34</v>
      </c>
    </row>
    <row r="420" spans="1:6" ht="63.75">
      <c r="A420" s="21" t="s">
        <v>272</v>
      </c>
      <c r="B420" s="16"/>
      <c r="C420" s="103" t="s">
        <v>614</v>
      </c>
      <c r="D420" s="41">
        <f>D421</f>
        <v>34</v>
      </c>
      <c r="E420" s="41">
        <f t="shared" ref="E420:F420" si="195">E421</f>
        <v>34</v>
      </c>
      <c r="F420" s="41">
        <f t="shared" si="195"/>
        <v>34</v>
      </c>
    </row>
    <row r="421" spans="1:6" ht="25.5">
      <c r="A421" s="21" t="s">
        <v>272</v>
      </c>
      <c r="B421" s="85" t="s">
        <v>107</v>
      </c>
      <c r="C421" s="55" t="s">
        <v>182</v>
      </c>
      <c r="D421" s="41">
        <v>34</v>
      </c>
      <c r="E421" s="41">
        <v>34</v>
      </c>
      <c r="F421" s="41">
        <v>34</v>
      </c>
    </row>
    <row r="422" spans="1:6" ht="30" customHeight="1">
      <c r="A422" s="21" t="s">
        <v>729</v>
      </c>
      <c r="B422" s="85"/>
      <c r="C422" s="103" t="s">
        <v>730</v>
      </c>
      <c r="D422" s="41">
        <f>D423</f>
        <v>100</v>
      </c>
      <c r="E422" s="41">
        <f>E423</f>
        <v>0</v>
      </c>
      <c r="F422" s="41">
        <f>F423</f>
        <v>0</v>
      </c>
    </row>
    <row r="423" spans="1:6" ht="38.25">
      <c r="A423" s="21" t="s">
        <v>729</v>
      </c>
      <c r="B423" s="85" t="s">
        <v>325</v>
      </c>
      <c r="C423" s="103" t="s">
        <v>326</v>
      </c>
      <c r="D423" s="41">
        <v>100</v>
      </c>
      <c r="E423" s="41">
        <v>0</v>
      </c>
      <c r="F423" s="41">
        <v>0</v>
      </c>
    </row>
    <row r="424" spans="1:6" ht="64.5">
      <c r="A424" s="73" t="s">
        <v>76</v>
      </c>
      <c r="B424" s="16"/>
      <c r="C424" s="64" t="s">
        <v>554</v>
      </c>
      <c r="D424" s="59">
        <f>D425+D431+D437+D443</f>
        <v>1700</v>
      </c>
      <c r="E424" s="59">
        <f>E425+E431+E437+E443</f>
        <v>1600</v>
      </c>
      <c r="F424" s="59">
        <f>F425+F431+F437+F443</f>
        <v>1600</v>
      </c>
    </row>
    <row r="425" spans="1:6" ht="51">
      <c r="A425" s="52" t="s">
        <v>77</v>
      </c>
      <c r="B425" s="16"/>
      <c r="C425" s="48" t="s">
        <v>305</v>
      </c>
      <c r="D425" s="98">
        <f t="shared" ref="D425:E425" si="196">D427+D429</f>
        <v>80</v>
      </c>
      <c r="E425" s="98">
        <f t="shared" si="196"/>
        <v>80</v>
      </c>
      <c r="F425" s="98">
        <f t="shared" ref="F425" si="197">F427+F429</f>
        <v>80</v>
      </c>
    </row>
    <row r="426" spans="1:6" ht="63.75">
      <c r="A426" s="21" t="s">
        <v>336</v>
      </c>
      <c r="B426" s="16"/>
      <c r="C426" s="105" t="s">
        <v>453</v>
      </c>
      <c r="D426" s="104">
        <f t="shared" ref="D426:E426" si="198">D427+D429</f>
        <v>80</v>
      </c>
      <c r="E426" s="104">
        <f t="shared" si="198"/>
        <v>80</v>
      </c>
      <c r="F426" s="104">
        <f t="shared" ref="F426" si="199">F427+F429</f>
        <v>80</v>
      </c>
    </row>
    <row r="427" spans="1:6" ht="25.5">
      <c r="A427" s="74" t="s">
        <v>75</v>
      </c>
      <c r="B427" s="16"/>
      <c r="C427" s="105" t="s">
        <v>335</v>
      </c>
      <c r="D427" s="39">
        <f>D428</f>
        <v>49</v>
      </c>
      <c r="E427" s="39">
        <f>E428</f>
        <v>40</v>
      </c>
      <c r="F427" s="39">
        <f>F428</f>
        <v>40</v>
      </c>
    </row>
    <row r="428" spans="1:6" ht="38.25">
      <c r="A428" s="74" t="s">
        <v>75</v>
      </c>
      <c r="B428" s="85" t="s">
        <v>325</v>
      </c>
      <c r="C428" s="103" t="s">
        <v>326</v>
      </c>
      <c r="D428" s="39">
        <v>49</v>
      </c>
      <c r="E428" s="39">
        <v>40</v>
      </c>
      <c r="F428" s="39">
        <v>40</v>
      </c>
    </row>
    <row r="429" spans="1:6" ht="51">
      <c r="A429" s="74" t="s">
        <v>78</v>
      </c>
      <c r="B429" s="16"/>
      <c r="C429" s="105" t="s">
        <v>310</v>
      </c>
      <c r="D429" s="41">
        <f>D430</f>
        <v>31</v>
      </c>
      <c r="E429" s="41">
        <f>E430</f>
        <v>40</v>
      </c>
      <c r="F429" s="41">
        <f>F430</f>
        <v>40</v>
      </c>
    </row>
    <row r="430" spans="1:6" ht="38.25">
      <c r="A430" s="74" t="s">
        <v>78</v>
      </c>
      <c r="B430" s="85" t="s">
        <v>325</v>
      </c>
      <c r="C430" s="103" t="s">
        <v>326</v>
      </c>
      <c r="D430" s="41">
        <v>31</v>
      </c>
      <c r="E430" s="41">
        <v>40</v>
      </c>
      <c r="F430" s="41">
        <v>40</v>
      </c>
    </row>
    <row r="431" spans="1:6" ht="38.25">
      <c r="A431" s="52" t="s">
        <v>79</v>
      </c>
      <c r="B431" s="85"/>
      <c r="C431" s="48" t="s">
        <v>299</v>
      </c>
      <c r="D431" s="41">
        <f t="shared" ref="D431:F431" si="200">D432</f>
        <v>1600</v>
      </c>
      <c r="E431" s="41">
        <f t="shared" si="200"/>
        <v>1500</v>
      </c>
      <c r="F431" s="41">
        <f t="shared" si="200"/>
        <v>1500</v>
      </c>
    </row>
    <row r="432" spans="1:6" ht="51">
      <c r="A432" s="21" t="s">
        <v>338</v>
      </c>
      <c r="B432" s="85"/>
      <c r="C432" s="105" t="s">
        <v>477</v>
      </c>
      <c r="D432" s="41">
        <f t="shared" ref="D432:E432" si="201">D433+D435</f>
        <v>1600</v>
      </c>
      <c r="E432" s="41">
        <f t="shared" si="201"/>
        <v>1500</v>
      </c>
      <c r="F432" s="41">
        <f t="shared" ref="F432" si="202">F433+F435</f>
        <v>1500</v>
      </c>
    </row>
    <row r="433" spans="1:6" ht="51">
      <c r="A433" s="74" t="s">
        <v>80</v>
      </c>
      <c r="B433" s="16"/>
      <c r="C433" s="103" t="s">
        <v>608</v>
      </c>
      <c r="D433" s="41">
        <f>D434</f>
        <v>916.8</v>
      </c>
      <c r="E433" s="41">
        <f>E434</f>
        <v>916.8</v>
      </c>
      <c r="F433" s="41">
        <f>F434</f>
        <v>916.8</v>
      </c>
    </row>
    <row r="434" spans="1:6" ht="38.25">
      <c r="A434" s="74" t="s">
        <v>80</v>
      </c>
      <c r="B434" s="85" t="s">
        <v>325</v>
      </c>
      <c r="C434" s="103" t="s">
        <v>326</v>
      </c>
      <c r="D434" s="41">
        <v>916.8</v>
      </c>
      <c r="E434" s="41">
        <v>916.8</v>
      </c>
      <c r="F434" s="41">
        <v>916.8</v>
      </c>
    </row>
    <row r="435" spans="1:6" ht="38.25">
      <c r="A435" s="74" t="s">
        <v>606</v>
      </c>
      <c r="B435" s="16"/>
      <c r="C435" s="103" t="s">
        <v>607</v>
      </c>
      <c r="D435" s="41">
        <f>D436</f>
        <v>683.2</v>
      </c>
      <c r="E435" s="41">
        <f t="shared" ref="E435:F435" si="203">E436</f>
        <v>583.20000000000005</v>
      </c>
      <c r="F435" s="41">
        <f t="shared" si="203"/>
        <v>583.20000000000005</v>
      </c>
    </row>
    <row r="436" spans="1:6" ht="38.25">
      <c r="A436" s="74" t="s">
        <v>606</v>
      </c>
      <c r="B436" s="85" t="s">
        <v>325</v>
      </c>
      <c r="C436" s="103" t="s">
        <v>326</v>
      </c>
      <c r="D436" s="41">
        <v>683.2</v>
      </c>
      <c r="E436" s="41">
        <v>583.20000000000005</v>
      </c>
      <c r="F436" s="41">
        <v>583.20000000000005</v>
      </c>
    </row>
    <row r="437" spans="1:6" ht="39" customHeight="1">
      <c r="A437" s="52" t="s">
        <v>81</v>
      </c>
      <c r="B437" s="16"/>
      <c r="C437" s="48" t="s">
        <v>384</v>
      </c>
      <c r="D437" s="98">
        <f t="shared" ref="D437:F437" si="204">D438</f>
        <v>5</v>
      </c>
      <c r="E437" s="98">
        <f t="shared" si="204"/>
        <v>5</v>
      </c>
      <c r="F437" s="98">
        <f t="shared" si="204"/>
        <v>5</v>
      </c>
    </row>
    <row r="438" spans="1:6" ht="63.75">
      <c r="A438" s="21" t="s">
        <v>339</v>
      </c>
      <c r="B438" s="16"/>
      <c r="C438" s="105" t="s">
        <v>489</v>
      </c>
      <c r="D438" s="104">
        <f t="shared" ref="D438:E438" si="205">D439+D441</f>
        <v>5</v>
      </c>
      <c r="E438" s="104">
        <f t="shared" si="205"/>
        <v>5</v>
      </c>
      <c r="F438" s="104">
        <f t="shared" ref="F438" si="206">F439+F441</f>
        <v>5</v>
      </c>
    </row>
    <row r="439" spans="1:6" ht="25.5">
      <c r="A439" s="74" t="s">
        <v>82</v>
      </c>
      <c r="B439" s="16"/>
      <c r="C439" s="103" t="s">
        <v>385</v>
      </c>
      <c r="D439" s="41">
        <f>D440</f>
        <v>4</v>
      </c>
      <c r="E439" s="41">
        <f>E440</f>
        <v>4</v>
      </c>
      <c r="F439" s="41">
        <f>F440</f>
        <v>4</v>
      </c>
    </row>
    <row r="440" spans="1:6" ht="38.25">
      <c r="A440" s="74" t="s">
        <v>82</v>
      </c>
      <c r="B440" s="85" t="s">
        <v>325</v>
      </c>
      <c r="C440" s="103" t="s">
        <v>326</v>
      </c>
      <c r="D440" s="41">
        <v>4</v>
      </c>
      <c r="E440" s="41">
        <v>4</v>
      </c>
      <c r="F440" s="41">
        <v>4</v>
      </c>
    </row>
    <row r="441" spans="1:6" ht="24" customHeight="1">
      <c r="A441" s="74" t="s">
        <v>83</v>
      </c>
      <c r="B441" s="16"/>
      <c r="C441" s="103" t="s">
        <v>340</v>
      </c>
      <c r="D441" s="41">
        <f>D442</f>
        <v>1</v>
      </c>
      <c r="E441" s="41">
        <f>E442</f>
        <v>1</v>
      </c>
      <c r="F441" s="41">
        <f>F442</f>
        <v>1</v>
      </c>
    </row>
    <row r="442" spans="1:6" ht="38.25">
      <c r="A442" s="74" t="s">
        <v>83</v>
      </c>
      <c r="B442" s="85" t="s">
        <v>325</v>
      </c>
      <c r="C442" s="103" t="s">
        <v>326</v>
      </c>
      <c r="D442" s="41">
        <v>1</v>
      </c>
      <c r="E442" s="41">
        <v>1</v>
      </c>
      <c r="F442" s="41">
        <v>1</v>
      </c>
    </row>
    <row r="443" spans="1:6" ht="51">
      <c r="A443" s="52" t="s">
        <v>84</v>
      </c>
      <c r="B443" s="16"/>
      <c r="C443" s="48" t="s">
        <v>306</v>
      </c>
      <c r="D443" s="98">
        <f t="shared" ref="D443:F443" si="207">D444</f>
        <v>15</v>
      </c>
      <c r="E443" s="98">
        <f t="shared" si="207"/>
        <v>15</v>
      </c>
      <c r="F443" s="98">
        <f t="shared" si="207"/>
        <v>15</v>
      </c>
    </row>
    <row r="444" spans="1:6" ht="51">
      <c r="A444" s="21" t="s">
        <v>452</v>
      </c>
      <c r="B444" s="85"/>
      <c r="C444" s="103" t="s">
        <v>341</v>
      </c>
      <c r="D444" s="41">
        <f t="shared" ref="D444:E444" si="208">D445+D447</f>
        <v>15</v>
      </c>
      <c r="E444" s="41">
        <f t="shared" si="208"/>
        <v>15</v>
      </c>
      <c r="F444" s="41">
        <f t="shared" ref="F444" si="209">F445+F447</f>
        <v>15</v>
      </c>
    </row>
    <row r="445" spans="1:6" ht="25.5">
      <c r="A445" s="74" t="s">
        <v>85</v>
      </c>
      <c r="B445" s="16"/>
      <c r="C445" s="103" t="s">
        <v>385</v>
      </c>
      <c r="D445" s="41">
        <f>D446</f>
        <v>12</v>
      </c>
      <c r="E445" s="41">
        <f>E446</f>
        <v>12</v>
      </c>
      <c r="F445" s="41">
        <f>F446</f>
        <v>12</v>
      </c>
    </row>
    <row r="446" spans="1:6" ht="38.25">
      <c r="A446" s="74" t="s">
        <v>85</v>
      </c>
      <c r="B446" s="85" t="s">
        <v>325</v>
      </c>
      <c r="C446" s="103" t="s">
        <v>326</v>
      </c>
      <c r="D446" s="41">
        <v>12</v>
      </c>
      <c r="E446" s="41">
        <v>12</v>
      </c>
      <c r="F446" s="41">
        <v>12</v>
      </c>
    </row>
    <row r="447" spans="1:6" ht="29.25" customHeight="1">
      <c r="A447" s="74" t="s">
        <v>86</v>
      </c>
      <c r="B447" s="16"/>
      <c r="C447" s="103" t="s">
        <v>342</v>
      </c>
      <c r="D447" s="41">
        <f>D448</f>
        <v>3</v>
      </c>
      <c r="E447" s="41">
        <f>E448</f>
        <v>3</v>
      </c>
      <c r="F447" s="41">
        <f>F448</f>
        <v>3</v>
      </c>
    </row>
    <row r="448" spans="1:6" ht="38.25">
      <c r="A448" s="74" t="s">
        <v>86</v>
      </c>
      <c r="B448" s="85" t="s">
        <v>325</v>
      </c>
      <c r="C448" s="103" t="s">
        <v>326</v>
      </c>
      <c r="D448" s="41">
        <v>3</v>
      </c>
      <c r="E448" s="41">
        <v>3</v>
      </c>
      <c r="F448" s="41">
        <v>3</v>
      </c>
    </row>
    <row r="449" spans="1:7" ht="51">
      <c r="A449" s="73" t="s">
        <v>87</v>
      </c>
      <c r="B449" s="16"/>
      <c r="C449" s="53" t="s">
        <v>550</v>
      </c>
      <c r="D449" s="101">
        <f>D450+D465+D472+D480+D494+D567</f>
        <v>77078</v>
      </c>
      <c r="E449" s="101">
        <f>E450+E465+E472+E480+E494+E567</f>
        <v>13231.2</v>
      </c>
      <c r="F449" s="101">
        <f>F450+F465+F472+F480+F494+F567</f>
        <v>5142.3999999999996</v>
      </c>
      <c r="G449" s="109"/>
    </row>
    <row r="450" spans="1:7" ht="38.25">
      <c r="A450" s="52" t="s">
        <v>88</v>
      </c>
      <c r="B450" s="47"/>
      <c r="C450" s="48" t="s">
        <v>280</v>
      </c>
      <c r="D450" s="98">
        <f>D451+D458</f>
        <v>16568.700000000004</v>
      </c>
      <c r="E450" s="98">
        <f>E451+E458</f>
        <v>480.2</v>
      </c>
      <c r="F450" s="98">
        <f>F451+F458</f>
        <v>480.2</v>
      </c>
      <c r="G450" s="109"/>
    </row>
    <row r="451" spans="1:7" ht="25.5">
      <c r="A451" s="21" t="s">
        <v>365</v>
      </c>
      <c r="B451" s="47"/>
      <c r="C451" s="105" t="s">
        <v>386</v>
      </c>
      <c r="D451" s="98">
        <f>D452+D454+D456</f>
        <v>14447.300000000001</v>
      </c>
      <c r="E451" s="98">
        <f t="shared" ref="E451:F451" si="210">E452+E454+E456</f>
        <v>450</v>
      </c>
      <c r="F451" s="98">
        <f t="shared" si="210"/>
        <v>450</v>
      </c>
    </row>
    <row r="452" spans="1:7" ht="25.5">
      <c r="A452" s="74" t="s">
        <v>89</v>
      </c>
      <c r="B452" s="21"/>
      <c r="C452" s="103" t="s">
        <v>28</v>
      </c>
      <c r="D452" s="41">
        <f t="shared" ref="D452:F452" si="211">D453</f>
        <v>9501.7000000000007</v>
      </c>
      <c r="E452" s="41">
        <f t="shared" si="211"/>
        <v>100</v>
      </c>
      <c r="F452" s="41">
        <f t="shared" si="211"/>
        <v>100</v>
      </c>
    </row>
    <row r="453" spans="1:7" ht="38.25">
      <c r="A453" s="74" t="s">
        <v>89</v>
      </c>
      <c r="B453" s="85" t="s">
        <v>325</v>
      </c>
      <c r="C453" s="103" t="s">
        <v>326</v>
      </c>
      <c r="D453" s="39">
        <f>350+3770.5+5261.1-0.1+142.7-8.9-42.8-326.7+1571.3-800.6+200-350-264.8</f>
        <v>9501.7000000000007</v>
      </c>
      <c r="E453" s="39">
        <v>100</v>
      </c>
      <c r="F453" s="39">
        <v>100</v>
      </c>
    </row>
    <row r="454" spans="1:7" ht="63.75">
      <c r="A454" s="74" t="s">
        <v>90</v>
      </c>
      <c r="B454" s="21"/>
      <c r="C454" s="103" t="s">
        <v>366</v>
      </c>
      <c r="D454" s="41">
        <f t="shared" ref="D454:F454" si="212">D455</f>
        <v>3945.6</v>
      </c>
      <c r="E454" s="41">
        <f t="shared" si="212"/>
        <v>300</v>
      </c>
      <c r="F454" s="41">
        <f t="shared" si="212"/>
        <v>300</v>
      </c>
    </row>
    <row r="455" spans="1:7" ht="38.25">
      <c r="A455" s="74" t="s">
        <v>90</v>
      </c>
      <c r="B455" s="85" t="s">
        <v>325</v>
      </c>
      <c r="C455" s="103" t="s">
        <v>326</v>
      </c>
      <c r="D455" s="41">
        <f>4100+372.9-1453+232.4+91.5+101.3+500.5</f>
        <v>3945.6</v>
      </c>
      <c r="E455" s="41">
        <v>300</v>
      </c>
      <c r="F455" s="41">
        <v>300</v>
      </c>
    </row>
    <row r="456" spans="1:7" ht="25.5">
      <c r="A456" s="74" t="s">
        <v>281</v>
      </c>
      <c r="B456" s="16"/>
      <c r="C456" s="103" t="s">
        <v>29</v>
      </c>
      <c r="D456" s="41">
        <f t="shared" ref="D456:F456" si="213">D457</f>
        <v>1000</v>
      </c>
      <c r="E456" s="41">
        <f t="shared" si="213"/>
        <v>50</v>
      </c>
      <c r="F456" s="41">
        <f t="shared" si="213"/>
        <v>50</v>
      </c>
    </row>
    <row r="457" spans="1:7" ht="38.25">
      <c r="A457" s="74" t="s">
        <v>281</v>
      </c>
      <c r="B457" s="85" t="s">
        <v>325</v>
      </c>
      <c r="C457" s="103" t="s">
        <v>326</v>
      </c>
      <c r="D457" s="41">
        <v>1000</v>
      </c>
      <c r="E457" s="41">
        <v>50</v>
      </c>
      <c r="F457" s="41">
        <v>50</v>
      </c>
    </row>
    <row r="458" spans="1:7" ht="25.5">
      <c r="A458" s="21" t="s">
        <v>450</v>
      </c>
      <c r="B458" s="85"/>
      <c r="C458" s="105" t="s">
        <v>451</v>
      </c>
      <c r="D458" s="41">
        <f t="shared" ref="D458:E458" si="214">D459+D461+D463</f>
        <v>2121.4000000000015</v>
      </c>
      <c r="E458" s="41">
        <f t="shared" si="214"/>
        <v>30.2</v>
      </c>
      <c r="F458" s="41">
        <f t="shared" ref="F458" si="215">F459+F461+F463</f>
        <v>30.2</v>
      </c>
    </row>
    <row r="459" spans="1:7" ht="25.5">
      <c r="A459" s="74" t="s">
        <v>91</v>
      </c>
      <c r="B459" s="16"/>
      <c r="C459" s="103" t="s">
        <v>30</v>
      </c>
      <c r="D459" s="41">
        <f t="shared" ref="D459:F459" si="216">D460</f>
        <v>10</v>
      </c>
      <c r="E459" s="41">
        <f t="shared" si="216"/>
        <v>10</v>
      </c>
      <c r="F459" s="41">
        <f t="shared" si="216"/>
        <v>10</v>
      </c>
    </row>
    <row r="460" spans="1:7" ht="38.25">
      <c r="A460" s="74" t="s">
        <v>91</v>
      </c>
      <c r="B460" s="85" t="s">
        <v>325</v>
      </c>
      <c r="C460" s="103" t="s">
        <v>326</v>
      </c>
      <c r="D460" s="39">
        <v>10</v>
      </c>
      <c r="E460" s="39">
        <v>10</v>
      </c>
      <c r="F460" s="39">
        <v>10</v>
      </c>
    </row>
    <row r="461" spans="1:7" ht="25.5">
      <c r="A461" s="74" t="s">
        <v>332</v>
      </c>
      <c r="B461" s="16"/>
      <c r="C461" s="103" t="s">
        <v>367</v>
      </c>
      <c r="D461" s="41">
        <f t="shared" ref="D461:F461" si="217">D462</f>
        <v>300</v>
      </c>
      <c r="E461" s="41">
        <f t="shared" si="217"/>
        <v>20.2</v>
      </c>
      <c r="F461" s="41">
        <f t="shared" si="217"/>
        <v>20.2</v>
      </c>
    </row>
    <row r="462" spans="1:7" ht="38.25">
      <c r="A462" s="74" t="s">
        <v>332</v>
      </c>
      <c r="B462" s="85" t="s">
        <v>325</v>
      </c>
      <c r="C462" s="103" t="s">
        <v>326</v>
      </c>
      <c r="D462" s="39">
        <v>300</v>
      </c>
      <c r="E462" s="39">
        <v>20.2</v>
      </c>
      <c r="F462" s="39">
        <v>20.2</v>
      </c>
    </row>
    <row r="463" spans="1:7" ht="25.5">
      <c r="A463" s="74" t="s">
        <v>638</v>
      </c>
      <c r="B463" s="85"/>
      <c r="C463" s="103" t="s">
        <v>639</v>
      </c>
      <c r="D463" s="41">
        <f t="shared" ref="D463" si="218">D464</f>
        <v>1811.4000000000012</v>
      </c>
      <c r="E463" s="41">
        <f t="shared" ref="E463:F463" si="219">E464</f>
        <v>0</v>
      </c>
      <c r="F463" s="41">
        <f t="shared" si="219"/>
        <v>0</v>
      </c>
    </row>
    <row r="464" spans="1:7" ht="38.25">
      <c r="A464" s="74" t="s">
        <v>638</v>
      </c>
      <c r="B464" s="85" t="s">
        <v>325</v>
      </c>
      <c r="C464" s="103" t="s">
        <v>326</v>
      </c>
      <c r="D464" s="39">
        <f>22300-9243.3+1077.6-6528.9-1840.1-4218.7+264.8</f>
        <v>1811.4000000000012</v>
      </c>
      <c r="E464" s="39">
        <v>0</v>
      </c>
      <c r="F464" s="39">
        <v>0</v>
      </c>
    </row>
    <row r="465" spans="1:7" ht="25.5">
      <c r="A465" s="52" t="s">
        <v>93</v>
      </c>
      <c r="B465" s="47"/>
      <c r="C465" s="48" t="s">
        <v>33</v>
      </c>
      <c r="D465" s="98">
        <f>D466+D469</f>
        <v>1103</v>
      </c>
      <c r="E465" s="98">
        <f t="shared" ref="E465:F465" si="220">E466+E469</f>
        <v>700</v>
      </c>
      <c r="F465" s="98">
        <f t="shared" si="220"/>
        <v>700</v>
      </c>
      <c r="G465" s="109"/>
    </row>
    <row r="466" spans="1:7">
      <c r="A466" s="21" t="s">
        <v>368</v>
      </c>
      <c r="B466" s="47"/>
      <c r="C466" s="105" t="s">
        <v>369</v>
      </c>
      <c r="D466" s="104">
        <f>D467</f>
        <v>700</v>
      </c>
      <c r="E466" s="104">
        <f t="shared" ref="E466:F466" si="221">E467</f>
        <v>700</v>
      </c>
      <c r="F466" s="104">
        <f t="shared" si="221"/>
        <v>700</v>
      </c>
    </row>
    <row r="467" spans="1:7" ht="25.5">
      <c r="A467" s="80" t="s">
        <v>92</v>
      </c>
      <c r="B467" s="16"/>
      <c r="C467" s="103" t="s">
        <v>282</v>
      </c>
      <c r="D467" s="41">
        <f t="shared" ref="D467:F467" si="222">D468</f>
        <v>700</v>
      </c>
      <c r="E467" s="41">
        <f t="shared" si="222"/>
        <v>700</v>
      </c>
      <c r="F467" s="41">
        <f t="shared" si="222"/>
        <v>700</v>
      </c>
    </row>
    <row r="468" spans="1:7" ht="38.25">
      <c r="A468" s="80" t="s">
        <v>92</v>
      </c>
      <c r="B468" s="85" t="s">
        <v>325</v>
      </c>
      <c r="C468" s="103" t="s">
        <v>326</v>
      </c>
      <c r="D468" s="41">
        <v>700</v>
      </c>
      <c r="E468" s="41">
        <v>700</v>
      </c>
      <c r="F468" s="41">
        <v>700</v>
      </c>
    </row>
    <row r="469" spans="1:7" ht="38.25">
      <c r="A469" s="21" t="s">
        <v>763</v>
      </c>
      <c r="B469" s="85"/>
      <c r="C469" s="103" t="s">
        <v>764</v>
      </c>
      <c r="D469" s="41">
        <f>D470</f>
        <v>403</v>
      </c>
      <c r="E469" s="41">
        <f t="shared" ref="E469:F469" si="223">E470</f>
        <v>0</v>
      </c>
      <c r="F469" s="41">
        <f t="shared" si="223"/>
        <v>0</v>
      </c>
    </row>
    <row r="470" spans="1:7" ht="25.5">
      <c r="A470" s="80" t="s">
        <v>595</v>
      </c>
      <c r="B470" s="16"/>
      <c r="C470" s="103" t="s">
        <v>283</v>
      </c>
      <c r="D470" s="41">
        <f t="shared" ref="D470:F470" si="224">D471</f>
        <v>403</v>
      </c>
      <c r="E470" s="41">
        <f t="shared" si="224"/>
        <v>0</v>
      </c>
      <c r="F470" s="41">
        <f t="shared" si="224"/>
        <v>0</v>
      </c>
    </row>
    <row r="471" spans="1:7" ht="38.25">
      <c r="A471" s="80" t="s">
        <v>595</v>
      </c>
      <c r="B471" s="85" t="s">
        <v>325</v>
      </c>
      <c r="C471" s="103" t="s">
        <v>326</v>
      </c>
      <c r="D471" s="39">
        <v>403</v>
      </c>
      <c r="E471" s="39">
        <v>0</v>
      </c>
      <c r="F471" s="39">
        <v>0</v>
      </c>
    </row>
    <row r="472" spans="1:7" ht="25.5">
      <c r="A472" s="52" t="s">
        <v>94</v>
      </c>
      <c r="B472" s="47"/>
      <c r="C472" s="48" t="s">
        <v>284</v>
      </c>
      <c r="D472" s="98">
        <f t="shared" ref="D472:F472" si="225">D473</f>
        <v>6194</v>
      </c>
      <c r="E472" s="98">
        <f t="shared" si="225"/>
        <v>2835</v>
      </c>
      <c r="F472" s="98">
        <f t="shared" si="225"/>
        <v>2835</v>
      </c>
    </row>
    <row r="473" spans="1:7" ht="39.75" customHeight="1">
      <c r="A473" s="21" t="s">
        <v>370</v>
      </c>
      <c r="B473" s="47"/>
      <c r="C473" s="105" t="s">
        <v>374</v>
      </c>
      <c r="D473" s="104">
        <f t="shared" ref="D473:E473" si="226">D474+D476+D478</f>
        <v>6194</v>
      </c>
      <c r="E473" s="104">
        <f t="shared" si="226"/>
        <v>2835</v>
      </c>
      <c r="F473" s="104">
        <f t="shared" ref="F473" si="227">F474+F476+F478</f>
        <v>2835</v>
      </c>
    </row>
    <row r="474" spans="1:7" ht="25.5">
      <c r="A474" s="21" t="s">
        <v>95</v>
      </c>
      <c r="B474" s="16"/>
      <c r="C474" s="103" t="s">
        <v>478</v>
      </c>
      <c r="D474" s="41">
        <f t="shared" ref="D474:F474" si="228">D475</f>
        <v>3070.2999999999997</v>
      </c>
      <c r="E474" s="41">
        <f t="shared" si="228"/>
        <v>2800</v>
      </c>
      <c r="F474" s="41">
        <f t="shared" si="228"/>
        <v>2800</v>
      </c>
    </row>
    <row r="475" spans="1:7" ht="38.25">
      <c r="A475" s="21" t="s">
        <v>95</v>
      </c>
      <c r="B475" s="85" t="s">
        <v>325</v>
      </c>
      <c r="C475" s="103" t="s">
        <v>326</v>
      </c>
      <c r="D475" s="41">
        <f>3500+141.2-599.9+29</f>
        <v>3070.2999999999997</v>
      </c>
      <c r="E475" s="41">
        <v>2800</v>
      </c>
      <c r="F475" s="41">
        <v>2800</v>
      </c>
    </row>
    <row r="476" spans="1:7" ht="25.5">
      <c r="A476" s="21" t="s">
        <v>96</v>
      </c>
      <c r="B476" s="16"/>
      <c r="C476" s="103" t="s">
        <v>31</v>
      </c>
      <c r="D476" s="41">
        <f t="shared" ref="D476:F476" si="229">D477</f>
        <v>2998.7</v>
      </c>
      <c r="E476" s="41">
        <f t="shared" si="229"/>
        <v>30</v>
      </c>
      <c r="F476" s="41">
        <f t="shared" si="229"/>
        <v>30</v>
      </c>
    </row>
    <row r="477" spans="1:7" ht="38.25">
      <c r="A477" s="21" t="s">
        <v>96</v>
      </c>
      <c r="B477" s="85" t="s">
        <v>325</v>
      </c>
      <c r="C477" s="103" t="s">
        <v>326</v>
      </c>
      <c r="D477" s="41">
        <f>4170-350-1171.3+350</f>
        <v>2998.7</v>
      </c>
      <c r="E477" s="41">
        <v>30</v>
      </c>
      <c r="F477" s="41">
        <v>30</v>
      </c>
    </row>
    <row r="478" spans="1:7" ht="25.5">
      <c r="A478" s="21" t="s">
        <v>97</v>
      </c>
      <c r="B478" s="16"/>
      <c r="C478" s="103" t="s">
        <v>287</v>
      </c>
      <c r="D478" s="41">
        <f t="shared" ref="D478:F478" si="230">D479</f>
        <v>125</v>
      </c>
      <c r="E478" s="41">
        <f t="shared" si="230"/>
        <v>5</v>
      </c>
      <c r="F478" s="41">
        <f t="shared" si="230"/>
        <v>5</v>
      </c>
    </row>
    <row r="479" spans="1:7" ht="38.25">
      <c r="A479" s="21" t="s">
        <v>97</v>
      </c>
      <c r="B479" s="85" t="s">
        <v>325</v>
      </c>
      <c r="C479" s="103" t="s">
        <v>326</v>
      </c>
      <c r="D479" s="41">
        <v>125</v>
      </c>
      <c r="E479" s="41">
        <v>5</v>
      </c>
      <c r="F479" s="41">
        <v>5</v>
      </c>
    </row>
    <row r="480" spans="1:7" ht="38.25">
      <c r="A480" s="52" t="s">
        <v>98</v>
      </c>
      <c r="B480" s="47"/>
      <c r="C480" s="48" t="s">
        <v>604</v>
      </c>
      <c r="D480" s="98">
        <f>D481+D488+D491</f>
        <v>2263.8000000000002</v>
      </c>
      <c r="E480" s="98">
        <f>E481+E488+E491</f>
        <v>1127.2</v>
      </c>
      <c r="F480" s="98">
        <f>F481+F488+F491</f>
        <v>1127.2</v>
      </c>
    </row>
    <row r="481" spans="1:6" ht="25.5">
      <c r="A481" s="21" t="s">
        <v>371</v>
      </c>
      <c r="B481" s="47"/>
      <c r="C481" s="105" t="s">
        <v>372</v>
      </c>
      <c r="D481" s="98">
        <f>D482+D484+D486</f>
        <v>1763.8</v>
      </c>
      <c r="E481" s="98">
        <f t="shared" ref="E481:F481" si="231">E482+E484+E486</f>
        <v>434</v>
      </c>
      <c r="F481" s="98">
        <f t="shared" si="231"/>
        <v>434</v>
      </c>
    </row>
    <row r="482" spans="1:6" ht="38.25">
      <c r="A482" s="80" t="s">
        <v>99</v>
      </c>
      <c r="B482" s="16"/>
      <c r="C482" s="103" t="s">
        <v>285</v>
      </c>
      <c r="D482" s="41">
        <f t="shared" ref="D482:F482" si="232">D483</f>
        <v>783.8</v>
      </c>
      <c r="E482" s="41">
        <f t="shared" si="232"/>
        <v>334</v>
      </c>
      <c r="F482" s="41">
        <f t="shared" si="232"/>
        <v>334</v>
      </c>
    </row>
    <row r="483" spans="1:6" ht="38.25">
      <c r="A483" s="80" t="s">
        <v>99</v>
      </c>
      <c r="B483" s="85" t="s">
        <v>325</v>
      </c>
      <c r="C483" s="103" t="s">
        <v>326</v>
      </c>
      <c r="D483" s="41">
        <f>683.8+100</f>
        <v>783.8</v>
      </c>
      <c r="E483" s="39">
        <v>334</v>
      </c>
      <c r="F483" s="39">
        <v>334</v>
      </c>
    </row>
    <row r="484" spans="1:6" ht="76.5">
      <c r="A484" s="80" t="s">
        <v>100</v>
      </c>
      <c r="B484" s="16"/>
      <c r="C484" s="103" t="s">
        <v>286</v>
      </c>
      <c r="D484" s="41">
        <f t="shared" ref="D484:F484" si="233">D485</f>
        <v>830</v>
      </c>
      <c r="E484" s="41">
        <f t="shared" si="233"/>
        <v>100</v>
      </c>
      <c r="F484" s="41">
        <f t="shared" si="233"/>
        <v>100</v>
      </c>
    </row>
    <row r="485" spans="1:6" ht="38.25">
      <c r="A485" s="80" t="s">
        <v>100</v>
      </c>
      <c r="B485" s="85" t="s">
        <v>325</v>
      </c>
      <c r="C485" s="103" t="s">
        <v>326</v>
      </c>
      <c r="D485" s="41">
        <f>330+500</f>
        <v>830</v>
      </c>
      <c r="E485" s="41">
        <v>100</v>
      </c>
      <c r="F485" s="41">
        <v>100</v>
      </c>
    </row>
    <row r="486" spans="1:6" ht="38.25">
      <c r="A486" s="80">
        <v>1240110920</v>
      </c>
      <c r="B486" s="85"/>
      <c r="C486" s="183" t="s">
        <v>895</v>
      </c>
      <c r="D486" s="41">
        <f>D487</f>
        <v>150</v>
      </c>
      <c r="E486" s="41">
        <f t="shared" ref="E486:F486" si="234">E487</f>
        <v>0</v>
      </c>
      <c r="F486" s="41">
        <f t="shared" si="234"/>
        <v>0</v>
      </c>
    </row>
    <row r="487" spans="1:6" ht="38.25">
      <c r="A487" s="80">
        <v>1240110920</v>
      </c>
      <c r="B487" s="85" t="s">
        <v>325</v>
      </c>
      <c r="C487" s="103" t="s">
        <v>326</v>
      </c>
      <c r="D487" s="41">
        <v>150</v>
      </c>
      <c r="E487" s="41">
        <v>0</v>
      </c>
      <c r="F487" s="41">
        <v>0</v>
      </c>
    </row>
    <row r="488" spans="1:6" ht="38.25">
      <c r="A488" s="21" t="s">
        <v>547</v>
      </c>
      <c r="B488" s="47"/>
      <c r="C488" s="105" t="s">
        <v>387</v>
      </c>
      <c r="D488" s="41">
        <f t="shared" ref="D488:F488" si="235">D489</f>
        <v>500</v>
      </c>
      <c r="E488" s="41">
        <f t="shared" si="235"/>
        <v>393.2</v>
      </c>
      <c r="F488" s="41">
        <f t="shared" si="235"/>
        <v>393.2</v>
      </c>
    </row>
    <row r="489" spans="1:6" ht="25.5">
      <c r="A489" s="80" t="s">
        <v>546</v>
      </c>
      <c r="B489" s="16"/>
      <c r="C489" s="103" t="s">
        <v>307</v>
      </c>
      <c r="D489" s="41">
        <f>D490</f>
        <v>500</v>
      </c>
      <c r="E489" s="41">
        <f>E490</f>
        <v>393.2</v>
      </c>
      <c r="F489" s="41">
        <f>F490</f>
        <v>393.2</v>
      </c>
    </row>
    <row r="490" spans="1:6" ht="38.25">
      <c r="A490" s="80" t="s">
        <v>546</v>
      </c>
      <c r="B490" s="85" t="s">
        <v>325</v>
      </c>
      <c r="C490" s="103" t="s">
        <v>326</v>
      </c>
      <c r="D490" s="41">
        <v>500</v>
      </c>
      <c r="E490" s="41">
        <v>393.2</v>
      </c>
      <c r="F490" s="41">
        <v>393.2</v>
      </c>
    </row>
    <row r="491" spans="1:6" ht="39.75" customHeight="1">
      <c r="A491" s="21" t="s">
        <v>548</v>
      </c>
      <c r="B491" s="47"/>
      <c r="C491" s="105" t="s">
        <v>374</v>
      </c>
      <c r="D491" s="41">
        <f t="shared" ref="D491:F492" si="236">D492</f>
        <v>0</v>
      </c>
      <c r="E491" s="41">
        <f t="shared" si="236"/>
        <v>300</v>
      </c>
      <c r="F491" s="41">
        <f t="shared" si="236"/>
        <v>300</v>
      </c>
    </row>
    <row r="492" spans="1:6" ht="38.25">
      <c r="A492" s="80" t="s">
        <v>549</v>
      </c>
      <c r="B492" s="16"/>
      <c r="C492" s="103" t="s">
        <v>375</v>
      </c>
      <c r="D492" s="41">
        <f t="shared" si="236"/>
        <v>0</v>
      </c>
      <c r="E492" s="41">
        <f t="shared" si="236"/>
        <v>300</v>
      </c>
      <c r="F492" s="41">
        <f t="shared" si="236"/>
        <v>300</v>
      </c>
    </row>
    <row r="493" spans="1:6" ht="38.25">
      <c r="A493" s="80" t="s">
        <v>549</v>
      </c>
      <c r="B493" s="85" t="s">
        <v>325</v>
      </c>
      <c r="C493" s="103" t="s">
        <v>326</v>
      </c>
      <c r="D493" s="41">
        <v>0</v>
      </c>
      <c r="E493" s="41">
        <v>300</v>
      </c>
      <c r="F493" s="41">
        <v>300</v>
      </c>
    </row>
    <row r="494" spans="1:6" ht="51">
      <c r="A494" s="52" t="s">
        <v>778</v>
      </c>
      <c r="B494" s="16"/>
      <c r="C494" s="60" t="s">
        <v>779</v>
      </c>
      <c r="D494" s="98">
        <f>D495+D502+D515+D550</f>
        <v>13744.1</v>
      </c>
      <c r="E494" s="98">
        <f>E495+E502+E515+E550</f>
        <v>8088.8000000000011</v>
      </c>
      <c r="F494" s="98">
        <f t="shared" ref="F494" si="237">F495+F502+F515+F550</f>
        <v>0</v>
      </c>
    </row>
    <row r="495" spans="1:6" ht="63.75">
      <c r="A495" s="21" t="s">
        <v>781</v>
      </c>
      <c r="B495" s="16"/>
      <c r="C495" s="103" t="s">
        <v>782</v>
      </c>
      <c r="D495" s="104">
        <f>D496+D498+D500</f>
        <v>1199.5999999999999</v>
      </c>
      <c r="E495" s="104">
        <f>E496+E498+E500</f>
        <v>0</v>
      </c>
      <c r="F495" s="104">
        <f t="shared" ref="F495" si="238">F496</f>
        <v>0</v>
      </c>
    </row>
    <row r="496" spans="1:6" ht="76.5">
      <c r="A496" s="21" t="s">
        <v>840</v>
      </c>
      <c r="B496" s="85"/>
      <c r="C496" s="103" t="s">
        <v>845</v>
      </c>
      <c r="D496" s="41">
        <f>D497</f>
        <v>539.6</v>
      </c>
      <c r="E496" s="41">
        <f>E497</f>
        <v>0</v>
      </c>
      <c r="F496" s="41">
        <f>F497</f>
        <v>0</v>
      </c>
    </row>
    <row r="497" spans="1:6" ht="38.25">
      <c r="A497" s="21" t="s">
        <v>840</v>
      </c>
      <c r="B497" s="85" t="s">
        <v>325</v>
      </c>
      <c r="C497" s="103" t="s">
        <v>326</v>
      </c>
      <c r="D497" s="41">
        <f>525.7+132+1-143+2.5+21.4</f>
        <v>539.6</v>
      </c>
      <c r="E497" s="41">
        <v>0</v>
      </c>
      <c r="F497" s="39">
        <v>0</v>
      </c>
    </row>
    <row r="498" spans="1:6" ht="63.75">
      <c r="A498" s="21" t="s">
        <v>841</v>
      </c>
      <c r="B498" s="85"/>
      <c r="C498" s="54" t="s">
        <v>847</v>
      </c>
      <c r="D498" s="41">
        <f>D499</f>
        <v>650</v>
      </c>
      <c r="E498" s="41">
        <f t="shared" ref="E498:F498" si="239">E499</f>
        <v>0</v>
      </c>
      <c r="F498" s="41">
        <f t="shared" si="239"/>
        <v>0</v>
      </c>
    </row>
    <row r="499" spans="1:6" ht="38.25">
      <c r="A499" s="21" t="s">
        <v>841</v>
      </c>
      <c r="B499" s="85" t="s">
        <v>325</v>
      </c>
      <c r="C499" s="103" t="s">
        <v>326</v>
      </c>
      <c r="D499" s="41">
        <v>650</v>
      </c>
      <c r="E499" s="41">
        <v>0</v>
      </c>
      <c r="F499" s="41">
        <v>0</v>
      </c>
    </row>
    <row r="500" spans="1:6" ht="90.75" customHeight="1">
      <c r="A500" s="21" t="s">
        <v>842</v>
      </c>
      <c r="B500" s="85"/>
      <c r="C500" s="184" t="s">
        <v>843</v>
      </c>
      <c r="D500" s="41">
        <f>D501</f>
        <v>10</v>
      </c>
      <c r="E500" s="41">
        <f t="shared" ref="E500:F500" si="240">E501</f>
        <v>0</v>
      </c>
      <c r="F500" s="41">
        <f t="shared" si="240"/>
        <v>0</v>
      </c>
    </row>
    <row r="501" spans="1:6" ht="38.25">
      <c r="A501" s="21" t="s">
        <v>842</v>
      </c>
      <c r="B501" s="85" t="s">
        <v>325</v>
      </c>
      <c r="C501" s="103" t="s">
        <v>326</v>
      </c>
      <c r="D501" s="41">
        <v>10</v>
      </c>
      <c r="E501" s="41">
        <v>0</v>
      </c>
      <c r="F501" s="41">
        <v>0</v>
      </c>
    </row>
    <row r="502" spans="1:6" ht="63.75">
      <c r="A502" s="21" t="s">
        <v>898</v>
      </c>
      <c r="B502" s="84"/>
      <c r="C502" s="184" t="s">
        <v>899</v>
      </c>
      <c r="D502" s="41">
        <f>D503+D509</f>
        <v>4056.1</v>
      </c>
      <c r="E502" s="41">
        <f>E503</f>
        <v>442.6</v>
      </c>
      <c r="F502" s="41">
        <f t="shared" ref="F502" si="241">F503</f>
        <v>0</v>
      </c>
    </row>
    <row r="503" spans="1:6" ht="51">
      <c r="A503" s="21" t="s">
        <v>900</v>
      </c>
      <c r="B503" s="84"/>
      <c r="C503" s="184" t="s">
        <v>780</v>
      </c>
      <c r="D503" s="41">
        <f>D504</f>
        <v>2191.1</v>
      </c>
      <c r="E503" s="41">
        <f>E504</f>
        <v>442.6</v>
      </c>
      <c r="F503" s="41">
        <f>F504</f>
        <v>0</v>
      </c>
    </row>
    <row r="504" spans="1:6" ht="38.25">
      <c r="A504" s="21" t="s">
        <v>900</v>
      </c>
      <c r="B504" s="84" t="s">
        <v>325</v>
      </c>
      <c r="C504" s="184" t="s">
        <v>326</v>
      </c>
      <c r="D504" s="41">
        <f>D506+D508</f>
        <v>2191.1</v>
      </c>
      <c r="E504" s="41">
        <v>442.6</v>
      </c>
      <c r="F504" s="39">
        <v>0</v>
      </c>
    </row>
    <row r="505" spans="1:6" ht="51">
      <c r="A505" s="21" t="s">
        <v>904</v>
      </c>
      <c r="B505" s="16"/>
      <c r="C505" s="105" t="s">
        <v>905</v>
      </c>
      <c r="D505" s="192">
        <f>D506</f>
        <v>1404.8</v>
      </c>
      <c r="E505" s="192">
        <f t="shared" ref="E505:F505" si="242">E506</f>
        <v>0</v>
      </c>
      <c r="F505" s="192">
        <f t="shared" si="242"/>
        <v>0</v>
      </c>
    </row>
    <row r="506" spans="1:6" ht="38.25">
      <c r="A506" s="21" t="s">
        <v>904</v>
      </c>
      <c r="B506" s="84" t="s">
        <v>325</v>
      </c>
      <c r="C506" s="184" t="s">
        <v>326</v>
      </c>
      <c r="D506" s="192">
        <f>1170.7+234.1</f>
        <v>1404.8</v>
      </c>
      <c r="E506" s="41">
        <v>0</v>
      </c>
      <c r="F506" s="39">
        <v>0</v>
      </c>
    </row>
    <row r="507" spans="1:6" ht="38.25">
      <c r="A507" s="21" t="s">
        <v>906</v>
      </c>
      <c r="B507" s="16"/>
      <c r="C507" s="105" t="s">
        <v>907</v>
      </c>
      <c r="D507" s="192">
        <f>D508</f>
        <v>786.3</v>
      </c>
      <c r="E507" s="192">
        <f t="shared" ref="E507:F507" si="243">E508</f>
        <v>0</v>
      </c>
      <c r="F507" s="192">
        <f t="shared" si="243"/>
        <v>0</v>
      </c>
    </row>
    <row r="508" spans="1:6" ht="38.25">
      <c r="A508" s="21" t="s">
        <v>906</v>
      </c>
      <c r="B508" s="84" t="s">
        <v>325</v>
      </c>
      <c r="C508" s="184" t="s">
        <v>326</v>
      </c>
      <c r="D508" s="192">
        <f>703.8+82.5</f>
        <v>786.3</v>
      </c>
      <c r="E508" s="41">
        <v>0</v>
      </c>
      <c r="F508" s="39">
        <v>0</v>
      </c>
    </row>
    <row r="509" spans="1:6" ht="38.25">
      <c r="A509" s="21" t="s">
        <v>908</v>
      </c>
      <c r="B509" s="85"/>
      <c r="C509" s="54" t="s">
        <v>835</v>
      </c>
      <c r="D509" s="41">
        <f>D510</f>
        <v>1865</v>
      </c>
      <c r="E509" s="41">
        <f t="shared" ref="E509:F509" si="244">E510</f>
        <v>0</v>
      </c>
      <c r="F509" s="41">
        <f t="shared" si="244"/>
        <v>0</v>
      </c>
    </row>
    <row r="510" spans="1:6" ht="38.25">
      <c r="A510" s="21" t="s">
        <v>908</v>
      </c>
      <c r="B510" s="85" t="s">
        <v>325</v>
      </c>
      <c r="C510" s="103" t="s">
        <v>326</v>
      </c>
      <c r="D510" s="41">
        <f>D512+D514</f>
        <v>1865</v>
      </c>
      <c r="E510" s="41">
        <f t="shared" ref="E510:F510" si="245">E512+E514</f>
        <v>0</v>
      </c>
      <c r="F510" s="41">
        <f t="shared" si="245"/>
        <v>0</v>
      </c>
    </row>
    <row r="511" spans="1:6" ht="51">
      <c r="A511" s="21" t="s">
        <v>909</v>
      </c>
      <c r="B511" s="84"/>
      <c r="C511" s="105" t="s">
        <v>905</v>
      </c>
      <c r="D511" s="192">
        <f>D512</f>
        <v>1170</v>
      </c>
      <c r="E511" s="192">
        <f t="shared" ref="E511:F511" si="246">E512</f>
        <v>0</v>
      </c>
      <c r="F511" s="192">
        <f t="shared" si="246"/>
        <v>0</v>
      </c>
    </row>
    <row r="512" spans="1:6" ht="38.25">
      <c r="A512" s="21" t="s">
        <v>909</v>
      </c>
      <c r="B512" s="85" t="s">
        <v>325</v>
      </c>
      <c r="C512" s="103" t="s">
        <v>326</v>
      </c>
      <c r="D512" s="192">
        <v>1170</v>
      </c>
      <c r="E512" s="41">
        <v>0</v>
      </c>
      <c r="F512" s="41">
        <v>0</v>
      </c>
    </row>
    <row r="513" spans="1:6" ht="38.25">
      <c r="A513" s="21" t="s">
        <v>910</v>
      </c>
      <c r="B513" s="84"/>
      <c r="C513" s="105" t="s">
        <v>907</v>
      </c>
      <c r="D513" s="192">
        <f>D514</f>
        <v>695</v>
      </c>
      <c r="E513" s="192">
        <f t="shared" ref="E513:F513" si="247">E514</f>
        <v>0</v>
      </c>
      <c r="F513" s="192">
        <f t="shared" si="247"/>
        <v>0</v>
      </c>
    </row>
    <row r="514" spans="1:6" ht="38.25">
      <c r="A514" s="21" t="s">
        <v>910</v>
      </c>
      <c r="B514" s="85" t="s">
        <v>325</v>
      </c>
      <c r="C514" s="103" t="s">
        <v>326</v>
      </c>
      <c r="D514" s="192">
        <v>695</v>
      </c>
      <c r="E514" s="41">
        <v>0</v>
      </c>
      <c r="F514" s="41">
        <v>0</v>
      </c>
    </row>
    <row r="515" spans="1:6" ht="51">
      <c r="A515" s="21" t="s">
        <v>783</v>
      </c>
      <c r="B515" s="85"/>
      <c r="C515" s="103" t="s">
        <v>784</v>
      </c>
      <c r="D515" s="41">
        <f>D516+D528+D540</f>
        <v>3693.8</v>
      </c>
      <c r="E515" s="41">
        <f t="shared" ref="E515:F515" si="248">E516+E528+E540</f>
        <v>3116.3</v>
      </c>
      <c r="F515" s="41">
        <f t="shared" si="248"/>
        <v>0</v>
      </c>
    </row>
    <row r="516" spans="1:6" ht="51">
      <c r="A516" s="21" t="s">
        <v>785</v>
      </c>
      <c r="B516" s="85"/>
      <c r="C516" s="103" t="s">
        <v>780</v>
      </c>
      <c r="D516" s="41">
        <f>D517</f>
        <v>1825.8000000000002</v>
      </c>
      <c r="E516" s="41">
        <f>E517</f>
        <v>3116.3</v>
      </c>
      <c r="F516" s="41">
        <f>F517</f>
        <v>0</v>
      </c>
    </row>
    <row r="517" spans="1:6" ht="38.25">
      <c r="A517" s="21" t="s">
        <v>785</v>
      </c>
      <c r="B517" s="85" t="s">
        <v>325</v>
      </c>
      <c r="C517" s="103" t="s">
        <v>326</v>
      </c>
      <c r="D517" s="41">
        <f>D519+D521+D523+D525+D527</f>
        <v>1825.8000000000002</v>
      </c>
      <c r="E517" s="41">
        <v>3116.3</v>
      </c>
      <c r="F517" s="41">
        <f t="shared" ref="F517" si="249">F519+F521+F523+F525+F527</f>
        <v>0</v>
      </c>
    </row>
    <row r="518" spans="1:6" ht="38.25">
      <c r="A518" s="21" t="s">
        <v>844</v>
      </c>
      <c r="B518" s="85"/>
      <c r="C518" s="103" t="s">
        <v>941</v>
      </c>
      <c r="D518" s="41">
        <f>D519</f>
        <v>1422.7</v>
      </c>
      <c r="E518" s="41">
        <f t="shared" ref="E518:F518" si="250">E519</f>
        <v>0</v>
      </c>
      <c r="F518" s="41">
        <f t="shared" si="250"/>
        <v>0</v>
      </c>
    </row>
    <row r="519" spans="1:6" ht="38.25">
      <c r="A519" s="21" t="s">
        <v>844</v>
      </c>
      <c r="B519" s="85" t="s">
        <v>325</v>
      </c>
      <c r="C519" s="103" t="s">
        <v>326</v>
      </c>
      <c r="D519" s="41">
        <f>1123.8+317.2+3-27.7+6.4</f>
        <v>1422.7</v>
      </c>
      <c r="E519" s="41">
        <v>0</v>
      </c>
      <c r="F519" s="41">
        <v>0</v>
      </c>
    </row>
    <row r="520" spans="1:6" ht="41.25" customHeight="1">
      <c r="A520" s="21" t="s">
        <v>849</v>
      </c>
      <c r="B520" s="85"/>
      <c r="C520" s="103" t="s">
        <v>846</v>
      </c>
      <c r="D520" s="41">
        <f>D521</f>
        <v>143.69999999999999</v>
      </c>
      <c r="E520" s="41">
        <f t="shared" ref="E520:F520" si="251">E521</f>
        <v>0</v>
      </c>
      <c r="F520" s="41">
        <f t="shared" si="251"/>
        <v>0</v>
      </c>
    </row>
    <row r="521" spans="1:6" ht="38.25">
      <c r="A521" s="21" t="s">
        <v>849</v>
      </c>
      <c r="B521" s="85" t="s">
        <v>325</v>
      </c>
      <c r="C521" s="103" t="s">
        <v>326</v>
      </c>
      <c r="D521" s="41">
        <v>143.69999999999999</v>
      </c>
      <c r="E521" s="41">
        <v>0</v>
      </c>
      <c r="F521" s="41">
        <v>0</v>
      </c>
    </row>
    <row r="522" spans="1:6" ht="51">
      <c r="A522" s="21" t="s">
        <v>851</v>
      </c>
      <c r="B522" s="85"/>
      <c r="C522" s="103" t="s">
        <v>832</v>
      </c>
      <c r="D522" s="41">
        <f>D523</f>
        <v>80</v>
      </c>
      <c r="E522" s="41">
        <f t="shared" ref="E522:F522" si="252">E523</f>
        <v>0</v>
      </c>
      <c r="F522" s="41">
        <f t="shared" si="252"/>
        <v>0</v>
      </c>
    </row>
    <row r="523" spans="1:6" ht="38.25">
      <c r="A523" s="21" t="s">
        <v>851</v>
      </c>
      <c r="B523" s="85" t="s">
        <v>325</v>
      </c>
      <c r="C523" s="103" t="s">
        <v>326</v>
      </c>
      <c r="D523" s="41">
        <v>80</v>
      </c>
      <c r="E523" s="41">
        <v>0</v>
      </c>
      <c r="F523" s="41">
        <v>0</v>
      </c>
    </row>
    <row r="524" spans="1:6" ht="38.25">
      <c r="A524" s="21" t="s">
        <v>857</v>
      </c>
      <c r="B524" s="85"/>
      <c r="C524" s="103" t="s">
        <v>833</v>
      </c>
      <c r="D524" s="41">
        <f>D525</f>
        <v>99.4</v>
      </c>
      <c r="E524" s="41">
        <f t="shared" ref="E524:F524" si="253">E525</f>
        <v>0</v>
      </c>
      <c r="F524" s="41">
        <f t="shared" si="253"/>
        <v>0</v>
      </c>
    </row>
    <row r="525" spans="1:6" ht="38.25">
      <c r="A525" s="21" t="s">
        <v>857</v>
      </c>
      <c r="B525" s="85" t="s">
        <v>325</v>
      </c>
      <c r="C525" s="103" t="s">
        <v>326</v>
      </c>
      <c r="D525" s="41">
        <v>99.4</v>
      </c>
      <c r="E525" s="41">
        <v>0</v>
      </c>
      <c r="F525" s="41">
        <v>0</v>
      </c>
    </row>
    <row r="526" spans="1:6" ht="39.75" customHeight="1">
      <c r="A526" s="21" t="s">
        <v>858</v>
      </c>
      <c r="B526" s="85"/>
      <c r="C526" s="103" t="s">
        <v>834</v>
      </c>
      <c r="D526" s="41">
        <f>D527</f>
        <v>80</v>
      </c>
      <c r="E526" s="41">
        <f t="shared" ref="E526:F526" si="254">E527</f>
        <v>0</v>
      </c>
      <c r="F526" s="41">
        <f t="shared" si="254"/>
        <v>0</v>
      </c>
    </row>
    <row r="527" spans="1:6" ht="38.25">
      <c r="A527" s="21" t="s">
        <v>858</v>
      </c>
      <c r="B527" s="85" t="s">
        <v>325</v>
      </c>
      <c r="C527" s="103" t="s">
        <v>326</v>
      </c>
      <c r="D527" s="41">
        <v>80</v>
      </c>
      <c r="E527" s="41">
        <v>0</v>
      </c>
      <c r="F527" s="41">
        <v>0</v>
      </c>
    </row>
    <row r="528" spans="1:6" ht="38.25">
      <c r="A528" s="21" t="s">
        <v>838</v>
      </c>
      <c r="B528" s="85"/>
      <c r="C528" s="54" t="s">
        <v>835</v>
      </c>
      <c r="D528" s="41">
        <f>D529</f>
        <v>1828</v>
      </c>
      <c r="E528" s="41">
        <f t="shared" ref="E528:F528" si="255">E529</f>
        <v>0</v>
      </c>
      <c r="F528" s="41">
        <f t="shared" si="255"/>
        <v>0</v>
      </c>
    </row>
    <row r="529" spans="1:6" ht="38.25">
      <c r="A529" s="21" t="s">
        <v>838</v>
      </c>
      <c r="B529" s="85" t="s">
        <v>325</v>
      </c>
      <c r="C529" s="103" t="s">
        <v>326</v>
      </c>
      <c r="D529" s="41">
        <f>D531+D533+D535+D537+D539</f>
        <v>1828</v>
      </c>
      <c r="E529" s="41">
        <f t="shared" ref="E529:F529" si="256">E531+E533+E535+E537+E539</f>
        <v>0</v>
      </c>
      <c r="F529" s="41">
        <f t="shared" si="256"/>
        <v>0</v>
      </c>
    </row>
    <row r="530" spans="1:6" ht="38.25">
      <c r="A530" s="21" t="s">
        <v>848</v>
      </c>
      <c r="B530" s="85"/>
      <c r="C530" s="103" t="s">
        <v>954</v>
      </c>
      <c r="D530" s="41">
        <f>D531</f>
        <v>1440</v>
      </c>
      <c r="E530" s="41">
        <f t="shared" ref="E530:F530" si="257">E531</f>
        <v>0</v>
      </c>
      <c r="F530" s="41">
        <f t="shared" si="257"/>
        <v>0</v>
      </c>
    </row>
    <row r="531" spans="1:6" ht="38.25">
      <c r="A531" s="21" t="s">
        <v>848</v>
      </c>
      <c r="B531" s="85" t="s">
        <v>325</v>
      </c>
      <c r="C531" s="103" t="s">
        <v>326</v>
      </c>
      <c r="D531" s="41">
        <v>1440</v>
      </c>
      <c r="E531" s="41">
        <v>0</v>
      </c>
      <c r="F531" s="41">
        <v>0</v>
      </c>
    </row>
    <row r="532" spans="1:6" ht="51">
      <c r="A532" s="21" t="s">
        <v>850</v>
      </c>
      <c r="B532" s="85"/>
      <c r="C532" s="103" t="s">
        <v>846</v>
      </c>
      <c r="D532" s="41">
        <f>D533</f>
        <v>153.69999999999999</v>
      </c>
      <c r="E532" s="41">
        <f t="shared" ref="E532:F532" si="258">E533</f>
        <v>0</v>
      </c>
      <c r="F532" s="41">
        <f t="shared" si="258"/>
        <v>0</v>
      </c>
    </row>
    <row r="533" spans="1:6" ht="38.25">
      <c r="A533" s="21" t="s">
        <v>850</v>
      </c>
      <c r="B533" s="85" t="s">
        <v>325</v>
      </c>
      <c r="C533" s="103" t="s">
        <v>326</v>
      </c>
      <c r="D533" s="41">
        <v>153.69999999999999</v>
      </c>
      <c r="E533" s="41">
        <v>0</v>
      </c>
      <c r="F533" s="41">
        <v>0</v>
      </c>
    </row>
    <row r="534" spans="1:6" ht="51">
      <c r="A534" s="21" t="s">
        <v>852</v>
      </c>
      <c r="B534" s="85"/>
      <c r="C534" s="103" t="s">
        <v>832</v>
      </c>
      <c r="D534" s="41">
        <f>D535</f>
        <v>49.7</v>
      </c>
      <c r="E534" s="41">
        <f t="shared" ref="E534:F534" si="259">E535</f>
        <v>0</v>
      </c>
      <c r="F534" s="41">
        <f t="shared" si="259"/>
        <v>0</v>
      </c>
    </row>
    <row r="535" spans="1:6" ht="38.25">
      <c r="A535" s="21" t="s">
        <v>852</v>
      </c>
      <c r="B535" s="85" t="s">
        <v>325</v>
      </c>
      <c r="C535" s="103" t="s">
        <v>326</v>
      </c>
      <c r="D535" s="41">
        <v>49.7</v>
      </c>
      <c r="E535" s="41">
        <v>0</v>
      </c>
      <c r="F535" s="41">
        <v>0</v>
      </c>
    </row>
    <row r="536" spans="1:6" ht="38.25">
      <c r="A536" s="21" t="s">
        <v>855</v>
      </c>
      <c r="B536" s="85"/>
      <c r="C536" s="103" t="s">
        <v>833</v>
      </c>
      <c r="D536" s="41">
        <f>D537</f>
        <v>110</v>
      </c>
      <c r="E536" s="41">
        <f t="shared" ref="E536:F536" si="260">E537</f>
        <v>0</v>
      </c>
      <c r="F536" s="41">
        <f t="shared" si="260"/>
        <v>0</v>
      </c>
    </row>
    <row r="537" spans="1:6" ht="38.25">
      <c r="A537" s="21" t="s">
        <v>855</v>
      </c>
      <c r="B537" s="85" t="s">
        <v>325</v>
      </c>
      <c r="C537" s="103" t="s">
        <v>326</v>
      </c>
      <c r="D537" s="41">
        <v>110</v>
      </c>
      <c r="E537" s="41">
        <v>0</v>
      </c>
      <c r="F537" s="41">
        <v>0</v>
      </c>
    </row>
    <row r="538" spans="1:6" ht="40.5" customHeight="1">
      <c r="A538" s="21" t="s">
        <v>856</v>
      </c>
      <c r="B538" s="85"/>
      <c r="C538" s="103" t="s">
        <v>834</v>
      </c>
      <c r="D538" s="41">
        <f>D539</f>
        <v>74.599999999999994</v>
      </c>
      <c r="E538" s="41">
        <f t="shared" ref="E538:F538" si="261">E539</f>
        <v>0</v>
      </c>
      <c r="F538" s="41">
        <f t="shared" si="261"/>
        <v>0</v>
      </c>
    </row>
    <row r="539" spans="1:6" ht="38.25">
      <c r="A539" s="21" t="s">
        <v>856</v>
      </c>
      <c r="B539" s="85" t="s">
        <v>325</v>
      </c>
      <c r="C539" s="103" t="s">
        <v>326</v>
      </c>
      <c r="D539" s="41">
        <v>74.599999999999994</v>
      </c>
      <c r="E539" s="41">
        <v>0</v>
      </c>
      <c r="F539" s="41">
        <v>0</v>
      </c>
    </row>
    <row r="540" spans="1:6" ht="69" customHeight="1">
      <c r="A540" s="21" t="s">
        <v>839</v>
      </c>
      <c r="B540" s="85"/>
      <c r="C540" s="184" t="s">
        <v>836</v>
      </c>
      <c r="D540" s="41">
        <f>D541</f>
        <v>40</v>
      </c>
      <c r="E540" s="41">
        <f t="shared" ref="E540:F540" si="262">E541</f>
        <v>0</v>
      </c>
      <c r="F540" s="41">
        <f t="shared" si="262"/>
        <v>0</v>
      </c>
    </row>
    <row r="541" spans="1:6" ht="38.25">
      <c r="A541" s="21" t="s">
        <v>839</v>
      </c>
      <c r="B541" s="85" t="s">
        <v>325</v>
      </c>
      <c r="C541" s="103" t="s">
        <v>326</v>
      </c>
      <c r="D541" s="41">
        <f>D543+D545+D547+D549</f>
        <v>40</v>
      </c>
      <c r="E541" s="41">
        <f t="shared" ref="E541:F541" si="263">E543+E545+E547+E549</f>
        <v>0</v>
      </c>
      <c r="F541" s="41">
        <f t="shared" si="263"/>
        <v>0</v>
      </c>
    </row>
    <row r="542" spans="1:6" ht="51">
      <c r="A542" s="21" t="s">
        <v>853</v>
      </c>
      <c r="B542" s="85"/>
      <c r="C542" s="103" t="s">
        <v>846</v>
      </c>
      <c r="D542" s="41">
        <f>D543</f>
        <v>10</v>
      </c>
      <c r="E542" s="41">
        <f t="shared" ref="E542:F542" si="264">E543</f>
        <v>0</v>
      </c>
      <c r="F542" s="41">
        <f t="shared" si="264"/>
        <v>0</v>
      </c>
    </row>
    <row r="543" spans="1:6" ht="38.25">
      <c r="A543" s="21" t="s">
        <v>853</v>
      </c>
      <c r="B543" s="85" t="s">
        <v>325</v>
      </c>
      <c r="C543" s="103" t="s">
        <v>326</v>
      </c>
      <c r="D543" s="41">
        <v>10</v>
      </c>
      <c r="E543" s="41">
        <v>0</v>
      </c>
      <c r="F543" s="41">
        <v>0</v>
      </c>
    </row>
    <row r="544" spans="1:6" ht="51">
      <c r="A544" s="21" t="s">
        <v>854</v>
      </c>
      <c r="B544" s="85"/>
      <c r="C544" s="103" t="s">
        <v>832</v>
      </c>
      <c r="D544" s="41">
        <f>D545</f>
        <v>10</v>
      </c>
      <c r="E544" s="41">
        <f t="shared" ref="E544:F544" si="265">E545</f>
        <v>0</v>
      </c>
      <c r="F544" s="41">
        <f t="shared" si="265"/>
        <v>0</v>
      </c>
    </row>
    <row r="545" spans="1:6" ht="38.25">
      <c r="A545" s="21" t="s">
        <v>854</v>
      </c>
      <c r="B545" s="85" t="s">
        <v>325</v>
      </c>
      <c r="C545" s="103" t="s">
        <v>326</v>
      </c>
      <c r="D545" s="41">
        <v>10</v>
      </c>
      <c r="E545" s="41">
        <v>0</v>
      </c>
      <c r="F545" s="41">
        <v>0</v>
      </c>
    </row>
    <row r="546" spans="1:6" ht="38.25">
      <c r="A546" s="21" t="s">
        <v>859</v>
      </c>
      <c r="B546" s="85"/>
      <c r="C546" s="103" t="s">
        <v>833</v>
      </c>
      <c r="D546" s="41">
        <f>D547</f>
        <v>10</v>
      </c>
      <c r="E546" s="41">
        <f t="shared" ref="E546:F546" si="266">E547</f>
        <v>0</v>
      </c>
      <c r="F546" s="41">
        <f t="shared" si="266"/>
        <v>0</v>
      </c>
    </row>
    <row r="547" spans="1:6" ht="38.25">
      <c r="A547" s="21" t="s">
        <v>859</v>
      </c>
      <c r="B547" s="85" t="s">
        <v>325</v>
      </c>
      <c r="C547" s="103" t="s">
        <v>326</v>
      </c>
      <c r="D547" s="41">
        <v>10</v>
      </c>
      <c r="E547" s="41">
        <v>0</v>
      </c>
      <c r="F547" s="41">
        <v>0</v>
      </c>
    </row>
    <row r="548" spans="1:6" ht="51">
      <c r="A548" s="21" t="s">
        <v>860</v>
      </c>
      <c r="B548" s="85"/>
      <c r="C548" s="103" t="s">
        <v>834</v>
      </c>
      <c r="D548" s="41">
        <f>D549</f>
        <v>10</v>
      </c>
      <c r="E548" s="41">
        <f t="shared" ref="E548:F548" si="267">E549</f>
        <v>0</v>
      </c>
      <c r="F548" s="41">
        <f t="shared" si="267"/>
        <v>0</v>
      </c>
    </row>
    <row r="549" spans="1:6" ht="38.25">
      <c r="A549" s="21" t="s">
        <v>860</v>
      </c>
      <c r="B549" s="85" t="s">
        <v>325</v>
      </c>
      <c r="C549" s="103" t="s">
        <v>326</v>
      </c>
      <c r="D549" s="41">
        <v>10</v>
      </c>
      <c r="E549" s="41">
        <v>0</v>
      </c>
      <c r="F549" s="41">
        <v>0</v>
      </c>
    </row>
    <row r="550" spans="1:6" ht="51">
      <c r="A550" s="21" t="s">
        <v>921</v>
      </c>
      <c r="B550" s="84"/>
      <c r="C550" s="184" t="s">
        <v>922</v>
      </c>
      <c r="D550" s="41">
        <f>D551+D560</f>
        <v>4794.6000000000004</v>
      </c>
      <c r="E550" s="41">
        <f t="shared" ref="E550:F551" si="268">E551</f>
        <v>4529.9000000000005</v>
      </c>
      <c r="F550" s="41">
        <f t="shared" si="268"/>
        <v>0</v>
      </c>
    </row>
    <row r="551" spans="1:6" ht="51">
      <c r="A551" s="21" t="s">
        <v>923</v>
      </c>
      <c r="B551" s="84"/>
      <c r="C551" s="184" t="s">
        <v>780</v>
      </c>
      <c r="D551" s="192">
        <f>D552</f>
        <v>2602.6</v>
      </c>
      <c r="E551" s="192">
        <f t="shared" si="268"/>
        <v>4529.9000000000005</v>
      </c>
      <c r="F551" s="192">
        <f t="shared" si="268"/>
        <v>0</v>
      </c>
    </row>
    <row r="552" spans="1:6" ht="38.25">
      <c r="A552" s="21" t="s">
        <v>923</v>
      </c>
      <c r="B552" s="84" t="s">
        <v>325</v>
      </c>
      <c r="C552" s="184" t="s">
        <v>326</v>
      </c>
      <c r="D552" s="192">
        <f>D554+D556+D558</f>
        <v>2602.6</v>
      </c>
      <c r="E552" s="192">
        <f>412.6+4117.3</f>
        <v>4529.9000000000005</v>
      </c>
      <c r="F552" s="192">
        <f t="shared" ref="F552" si="269">F554+F556+F558</f>
        <v>0</v>
      </c>
    </row>
    <row r="553" spans="1:6" ht="38.25">
      <c r="A553" s="21" t="s">
        <v>924</v>
      </c>
      <c r="B553" s="16"/>
      <c r="C553" s="105" t="s">
        <v>901</v>
      </c>
      <c r="D553" s="192">
        <f>D554</f>
        <v>1145.5999999999999</v>
      </c>
      <c r="E553" s="192">
        <f t="shared" ref="E553:F553" si="270">E554</f>
        <v>0</v>
      </c>
      <c r="F553" s="192">
        <f t="shared" si="270"/>
        <v>0</v>
      </c>
    </row>
    <row r="554" spans="1:6" ht="38.25">
      <c r="A554" s="21" t="s">
        <v>924</v>
      </c>
      <c r="B554" s="84" t="s">
        <v>325</v>
      </c>
      <c r="C554" s="184" t="s">
        <v>326</v>
      </c>
      <c r="D554" s="192">
        <f>973.2+193.8-21.4</f>
        <v>1145.5999999999999</v>
      </c>
      <c r="E554" s="41">
        <v>0</v>
      </c>
      <c r="F554" s="39">
        <v>0</v>
      </c>
    </row>
    <row r="555" spans="1:6" ht="51">
      <c r="A555" s="21" t="s">
        <v>925</v>
      </c>
      <c r="B555" s="16"/>
      <c r="C555" s="105" t="s">
        <v>902</v>
      </c>
      <c r="D555" s="192">
        <f>D556</f>
        <v>813</v>
      </c>
      <c r="E555" s="192">
        <f t="shared" ref="E555:F555" si="271">E556</f>
        <v>0</v>
      </c>
      <c r="F555" s="192">
        <f t="shared" si="271"/>
        <v>0</v>
      </c>
    </row>
    <row r="556" spans="1:6" ht="38.25">
      <c r="A556" s="21" t="s">
        <v>925</v>
      </c>
      <c r="B556" s="84" t="s">
        <v>325</v>
      </c>
      <c r="C556" s="184" t="s">
        <v>326</v>
      </c>
      <c r="D556" s="192">
        <f>677.5+135.5</f>
        <v>813</v>
      </c>
      <c r="E556" s="41">
        <v>0</v>
      </c>
      <c r="F556" s="39">
        <v>0</v>
      </c>
    </row>
    <row r="557" spans="1:6" ht="38.25">
      <c r="A557" s="21" t="s">
        <v>926</v>
      </c>
      <c r="B557" s="16"/>
      <c r="C557" s="105" t="s">
        <v>903</v>
      </c>
      <c r="D557" s="192">
        <f>D558</f>
        <v>644</v>
      </c>
      <c r="E557" s="192">
        <f t="shared" ref="E557:F557" si="272">E558</f>
        <v>0</v>
      </c>
      <c r="F557" s="192">
        <f t="shared" si="272"/>
        <v>0</v>
      </c>
    </row>
    <row r="558" spans="1:6" ht="38.25">
      <c r="A558" s="21" t="s">
        <v>926</v>
      </c>
      <c r="B558" s="84" t="s">
        <v>325</v>
      </c>
      <c r="C558" s="184" t="s">
        <v>326</v>
      </c>
      <c r="D558" s="192">
        <f>535.4+108.6</f>
        <v>644</v>
      </c>
      <c r="E558" s="41">
        <v>0</v>
      </c>
      <c r="F558" s="39">
        <v>0</v>
      </c>
    </row>
    <row r="559" spans="1:6" ht="38.25">
      <c r="A559" s="21" t="s">
        <v>927</v>
      </c>
      <c r="B559" s="85"/>
      <c r="C559" s="54" t="s">
        <v>835</v>
      </c>
      <c r="D559" s="41">
        <f>D560</f>
        <v>2192</v>
      </c>
      <c r="E559" s="41">
        <f t="shared" ref="E559:F559" si="273">E560</f>
        <v>0</v>
      </c>
      <c r="F559" s="41">
        <f t="shared" si="273"/>
        <v>0</v>
      </c>
    </row>
    <row r="560" spans="1:6" ht="38.25">
      <c r="A560" s="21" t="s">
        <v>927</v>
      </c>
      <c r="B560" s="85" t="s">
        <v>325</v>
      </c>
      <c r="C560" s="103" t="s">
        <v>326</v>
      </c>
      <c r="D560" s="41">
        <f>D562+D564+D566</f>
        <v>2192</v>
      </c>
      <c r="E560" s="41">
        <f t="shared" ref="E560:F560" si="274">E562+E564+E566</f>
        <v>0</v>
      </c>
      <c r="F560" s="41">
        <f t="shared" si="274"/>
        <v>0</v>
      </c>
    </row>
    <row r="561" spans="1:6" ht="38.25">
      <c r="A561" s="21" t="s">
        <v>928</v>
      </c>
      <c r="B561" s="85"/>
      <c r="C561" s="105" t="s">
        <v>901</v>
      </c>
      <c r="D561" s="41">
        <f>D562</f>
        <v>965</v>
      </c>
      <c r="E561" s="41">
        <f t="shared" ref="E561:F561" si="275">E562</f>
        <v>0</v>
      </c>
      <c r="F561" s="41">
        <f t="shared" si="275"/>
        <v>0</v>
      </c>
    </row>
    <row r="562" spans="1:6" ht="38.25">
      <c r="A562" s="21" t="s">
        <v>928</v>
      </c>
      <c r="B562" s="85" t="s">
        <v>325</v>
      </c>
      <c r="C562" s="103" t="s">
        <v>326</v>
      </c>
      <c r="D562" s="41">
        <v>965</v>
      </c>
      <c r="E562" s="41">
        <v>0</v>
      </c>
      <c r="F562" s="41">
        <v>0</v>
      </c>
    </row>
    <row r="563" spans="1:6" ht="51">
      <c r="A563" s="21" t="s">
        <v>929</v>
      </c>
      <c r="B563" s="84"/>
      <c r="C563" s="105" t="s">
        <v>902</v>
      </c>
      <c r="D563" s="192">
        <f>D564</f>
        <v>677</v>
      </c>
      <c r="E563" s="192">
        <f t="shared" ref="E563:F563" si="276">E564</f>
        <v>0</v>
      </c>
      <c r="F563" s="192">
        <f t="shared" si="276"/>
        <v>0</v>
      </c>
    </row>
    <row r="564" spans="1:6" ht="38.25">
      <c r="A564" s="21" t="s">
        <v>929</v>
      </c>
      <c r="B564" s="85" t="s">
        <v>325</v>
      </c>
      <c r="C564" s="103" t="s">
        <v>326</v>
      </c>
      <c r="D564" s="192">
        <v>677</v>
      </c>
      <c r="E564" s="41">
        <v>0</v>
      </c>
      <c r="F564" s="41">
        <v>0</v>
      </c>
    </row>
    <row r="565" spans="1:6" ht="38.25">
      <c r="A565" s="21" t="s">
        <v>930</v>
      </c>
      <c r="B565" s="84"/>
      <c r="C565" s="105" t="s">
        <v>903</v>
      </c>
      <c r="D565" s="192">
        <f>D566</f>
        <v>550</v>
      </c>
      <c r="E565" s="192">
        <f t="shared" ref="E565:F565" si="277">E566</f>
        <v>0</v>
      </c>
      <c r="F565" s="192">
        <f t="shared" si="277"/>
        <v>0</v>
      </c>
    </row>
    <row r="566" spans="1:6" ht="38.25">
      <c r="A566" s="21" t="s">
        <v>930</v>
      </c>
      <c r="B566" s="85" t="s">
        <v>325</v>
      </c>
      <c r="C566" s="103" t="s">
        <v>326</v>
      </c>
      <c r="D566" s="192">
        <v>550</v>
      </c>
      <c r="E566" s="41">
        <v>0</v>
      </c>
      <c r="F566" s="41">
        <v>0</v>
      </c>
    </row>
    <row r="567" spans="1:6" ht="51">
      <c r="A567" s="126" t="s">
        <v>769</v>
      </c>
      <c r="B567" s="129"/>
      <c r="C567" s="60" t="s">
        <v>770</v>
      </c>
      <c r="D567" s="128">
        <f>D568+D583+D602+D605</f>
        <v>37204.399999999994</v>
      </c>
      <c r="E567" s="128">
        <f>E568+E583+E602</f>
        <v>0</v>
      </c>
      <c r="F567" s="128">
        <f>F568+F583+F602</f>
        <v>0</v>
      </c>
    </row>
    <row r="568" spans="1:6" ht="76.5">
      <c r="A568" s="21" t="s">
        <v>796</v>
      </c>
      <c r="B568" s="16"/>
      <c r="C568" s="103" t="s">
        <v>797</v>
      </c>
      <c r="D568" s="98">
        <f>D569</f>
        <v>13372.4</v>
      </c>
      <c r="E568" s="98">
        <f t="shared" ref="E568:F568" si="278">E569+E571</f>
        <v>0</v>
      </c>
      <c r="F568" s="98">
        <f t="shared" si="278"/>
        <v>0</v>
      </c>
    </row>
    <row r="569" spans="1:6" ht="51">
      <c r="A569" s="21" t="s">
        <v>874</v>
      </c>
      <c r="B569" s="85"/>
      <c r="C569" s="103" t="s">
        <v>795</v>
      </c>
      <c r="D569" s="41">
        <f>D570</f>
        <v>13372.4</v>
      </c>
      <c r="E569" s="41">
        <f t="shared" ref="E569:F569" si="279">E570</f>
        <v>0</v>
      </c>
      <c r="F569" s="41">
        <f t="shared" si="279"/>
        <v>0</v>
      </c>
    </row>
    <row r="570" spans="1:6" ht="38.25">
      <c r="A570" s="21" t="s">
        <v>874</v>
      </c>
      <c r="B570" s="85" t="s">
        <v>325</v>
      </c>
      <c r="C570" s="103" t="s">
        <v>326</v>
      </c>
      <c r="D570" s="41">
        <f>D572+D574+D576+D578+D580+D582</f>
        <v>13372.4</v>
      </c>
      <c r="E570" s="41">
        <f t="shared" ref="E570:F570" si="280">E572+E574+E576+E578+E580+E582</f>
        <v>0</v>
      </c>
      <c r="F570" s="41">
        <f t="shared" si="280"/>
        <v>0</v>
      </c>
    </row>
    <row r="571" spans="1:6" ht="38.25">
      <c r="A571" s="21" t="s">
        <v>870</v>
      </c>
      <c r="B571" s="85"/>
      <c r="C571" s="103" t="s">
        <v>955</v>
      </c>
      <c r="D571" s="41">
        <f>D572</f>
        <v>1338.2</v>
      </c>
      <c r="E571" s="41">
        <f t="shared" ref="E571:F571" si="281">E572</f>
        <v>0</v>
      </c>
      <c r="F571" s="41">
        <f t="shared" si="281"/>
        <v>0</v>
      </c>
    </row>
    <row r="572" spans="1:6" ht="38.25">
      <c r="A572" s="21" t="s">
        <v>870</v>
      </c>
      <c r="B572" s="85" t="s">
        <v>325</v>
      </c>
      <c r="C572" s="103" t="s">
        <v>326</v>
      </c>
      <c r="D572" s="41">
        <f>1310.7+27.5</f>
        <v>1338.2</v>
      </c>
      <c r="E572" s="41">
        <v>0</v>
      </c>
      <c r="F572" s="39">
        <v>0</v>
      </c>
    </row>
    <row r="573" spans="1:6" ht="38.25">
      <c r="A573" s="21" t="s">
        <v>871</v>
      </c>
      <c r="B573" s="85"/>
      <c r="C573" s="103" t="s">
        <v>936</v>
      </c>
      <c r="D573" s="41">
        <f>D574</f>
        <v>1086.8</v>
      </c>
      <c r="E573" s="41">
        <f t="shared" ref="E573:F573" si="282">E574</f>
        <v>0</v>
      </c>
      <c r="F573" s="41">
        <f t="shared" si="282"/>
        <v>0</v>
      </c>
    </row>
    <row r="574" spans="1:6" ht="38.25">
      <c r="A574" s="21" t="s">
        <v>871</v>
      </c>
      <c r="B574" s="85" t="s">
        <v>325</v>
      </c>
      <c r="C574" s="103" t="s">
        <v>326</v>
      </c>
      <c r="D574" s="41">
        <f>1022.6+21.4+42.8</f>
        <v>1086.8</v>
      </c>
      <c r="E574" s="41">
        <v>0</v>
      </c>
      <c r="F574" s="39">
        <v>0</v>
      </c>
    </row>
    <row r="575" spans="1:6" ht="25.5">
      <c r="A575" s="21" t="s">
        <v>872</v>
      </c>
      <c r="B575" s="85"/>
      <c r="C575" s="103" t="s">
        <v>937</v>
      </c>
      <c r="D575" s="41">
        <f>D576</f>
        <v>4042.7</v>
      </c>
      <c r="E575" s="41">
        <f t="shared" ref="E575:F575" si="283">E576</f>
        <v>0</v>
      </c>
      <c r="F575" s="41">
        <f t="shared" si="283"/>
        <v>0</v>
      </c>
    </row>
    <row r="576" spans="1:6" ht="38.25">
      <c r="A576" s="21" t="s">
        <v>872</v>
      </c>
      <c r="B576" s="85" t="s">
        <v>325</v>
      </c>
      <c r="C576" s="103" t="s">
        <v>326</v>
      </c>
      <c r="D576" s="41">
        <f>4012.6+30+0.1</f>
        <v>4042.7</v>
      </c>
      <c r="E576" s="41">
        <v>0</v>
      </c>
      <c r="F576" s="39">
        <v>0</v>
      </c>
    </row>
    <row r="577" spans="1:6" ht="25.5">
      <c r="A577" s="21" t="s">
        <v>873</v>
      </c>
      <c r="B577" s="85"/>
      <c r="C577" s="188" t="s">
        <v>938</v>
      </c>
      <c r="D577" s="41">
        <f>D578</f>
        <v>5398.2</v>
      </c>
      <c r="E577" s="41">
        <f t="shared" ref="E577:F577" si="284">E578</f>
        <v>0</v>
      </c>
      <c r="F577" s="41">
        <f t="shared" si="284"/>
        <v>0</v>
      </c>
    </row>
    <row r="578" spans="1:6" ht="38.25">
      <c r="A578" s="21" t="s">
        <v>873</v>
      </c>
      <c r="B578" s="85" t="s">
        <v>325</v>
      </c>
      <c r="C578" s="103" t="s">
        <v>326</v>
      </c>
      <c r="D578" s="41">
        <f>5368.2+30</f>
        <v>5398.2</v>
      </c>
      <c r="E578" s="41">
        <v>0</v>
      </c>
      <c r="F578" s="39">
        <v>0</v>
      </c>
    </row>
    <row r="579" spans="1:6" ht="25.5">
      <c r="A579" s="21" t="s">
        <v>913</v>
      </c>
      <c r="B579" s="85"/>
      <c r="C579" s="103" t="s">
        <v>939</v>
      </c>
      <c r="D579" s="41">
        <f>D580</f>
        <v>1278.5999999999999</v>
      </c>
      <c r="E579" s="41">
        <f t="shared" ref="E579:F579" si="285">E580</f>
        <v>0</v>
      </c>
      <c r="F579" s="41">
        <f t="shared" si="285"/>
        <v>0</v>
      </c>
    </row>
    <row r="580" spans="1:6" ht="38.25">
      <c r="A580" s="21" t="s">
        <v>913</v>
      </c>
      <c r="B580" s="85" t="s">
        <v>325</v>
      </c>
      <c r="C580" s="103" t="s">
        <v>326</v>
      </c>
      <c r="D580" s="41">
        <v>1278.5999999999999</v>
      </c>
      <c r="E580" s="41">
        <v>0</v>
      </c>
      <c r="F580" s="39">
        <v>0</v>
      </c>
    </row>
    <row r="581" spans="1:6" ht="25.5">
      <c r="A581" s="21" t="s">
        <v>969</v>
      </c>
      <c r="B581" s="85"/>
      <c r="C581" s="184" t="s">
        <v>970</v>
      </c>
      <c r="D581" s="158">
        <f>D582</f>
        <v>227.9</v>
      </c>
      <c r="E581" s="158">
        <f t="shared" ref="E581:F581" si="286">E582</f>
        <v>0</v>
      </c>
      <c r="F581" s="158">
        <f t="shared" si="286"/>
        <v>0</v>
      </c>
    </row>
    <row r="582" spans="1:6" ht="38.25">
      <c r="A582" s="21" t="s">
        <v>969</v>
      </c>
      <c r="B582" s="85" t="s">
        <v>325</v>
      </c>
      <c r="C582" s="103" t="s">
        <v>326</v>
      </c>
      <c r="D582" s="95">
        <v>227.9</v>
      </c>
      <c r="E582" s="41">
        <v>0</v>
      </c>
      <c r="F582" s="39">
        <v>0</v>
      </c>
    </row>
    <row r="583" spans="1:6" ht="66.75" customHeight="1">
      <c r="A583" s="130" t="s">
        <v>771</v>
      </c>
      <c r="B583" s="129"/>
      <c r="C583" s="103" t="s">
        <v>772</v>
      </c>
      <c r="D583" s="128">
        <f>D584+D586+D588</f>
        <v>18896.3</v>
      </c>
      <c r="E583" s="128">
        <f t="shared" ref="E583:F583" si="287">E584+E586+E588</f>
        <v>0</v>
      </c>
      <c r="F583" s="128">
        <f t="shared" si="287"/>
        <v>0</v>
      </c>
    </row>
    <row r="584" spans="1:6" ht="38.25" customHeight="1">
      <c r="A584" s="21" t="s">
        <v>886</v>
      </c>
      <c r="B584" s="84"/>
      <c r="C584" s="184" t="s">
        <v>768</v>
      </c>
      <c r="D584" s="41">
        <f>D585</f>
        <v>774.1</v>
      </c>
      <c r="E584" s="41">
        <f>E585</f>
        <v>0</v>
      </c>
      <c r="F584" s="41">
        <f>F585</f>
        <v>0</v>
      </c>
    </row>
    <row r="585" spans="1:6" ht="40.5" customHeight="1">
      <c r="A585" s="21" t="s">
        <v>886</v>
      </c>
      <c r="B585" s="84" t="s">
        <v>325</v>
      </c>
      <c r="C585" s="184" t="s">
        <v>326</v>
      </c>
      <c r="D585" s="41">
        <f>774.1</f>
        <v>774.1</v>
      </c>
      <c r="E585" s="41">
        <v>0</v>
      </c>
      <c r="F585" s="39">
        <v>0</v>
      </c>
    </row>
    <row r="586" spans="1:6" ht="52.5" customHeight="1">
      <c r="A586" s="21" t="s">
        <v>887</v>
      </c>
      <c r="B586" s="84"/>
      <c r="C586" s="184" t="s">
        <v>888</v>
      </c>
      <c r="D586" s="41">
        <f>D587</f>
        <v>105.5</v>
      </c>
      <c r="E586" s="41">
        <f t="shared" ref="E586:F586" si="288">E587</f>
        <v>0</v>
      </c>
      <c r="F586" s="41">
        <f t="shared" si="288"/>
        <v>0</v>
      </c>
    </row>
    <row r="587" spans="1:6" ht="39.75" customHeight="1">
      <c r="A587" s="21" t="s">
        <v>887</v>
      </c>
      <c r="B587" s="84" t="s">
        <v>325</v>
      </c>
      <c r="C587" s="184" t="s">
        <v>326</v>
      </c>
      <c r="D587" s="41">
        <v>105.5</v>
      </c>
      <c r="E587" s="41">
        <v>0</v>
      </c>
      <c r="F587" s="41">
        <v>0</v>
      </c>
    </row>
    <row r="588" spans="1:6" ht="38.25">
      <c r="A588" s="21" t="s">
        <v>875</v>
      </c>
      <c r="B588" s="85"/>
      <c r="C588" s="103" t="s">
        <v>768</v>
      </c>
      <c r="D588" s="113">
        <f>D589</f>
        <v>18016.7</v>
      </c>
      <c r="E588" s="113">
        <f t="shared" ref="E588:F588" si="289">E589</f>
        <v>0</v>
      </c>
      <c r="F588" s="113">
        <f t="shared" si="289"/>
        <v>0</v>
      </c>
    </row>
    <row r="589" spans="1:6" ht="38.25">
      <c r="A589" s="21" t="s">
        <v>875</v>
      </c>
      <c r="B589" s="85" t="s">
        <v>325</v>
      </c>
      <c r="C589" s="103" t="s">
        <v>326</v>
      </c>
      <c r="D589" s="113">
        <f>D591+D593+D595+D597+D599+D601</f>
        <v>18016.7</v>
      </c>
      <c r="E589" s="113">
        <f t="shared" ref="E589:F589" si="290">E591+E593+E595+E597+E599+E601</f>
        <v>0</v>
      </c>
      <c r="F589" s="113">
        <f t="shared" si="290"/>
        <v>0</v>
      </c>
    </row>
    <row r="590" spans="1:6" ht="25.5">
      <c r="A590" s="21" t="s">
        <v>876</v>
      </c>
      <c r="B590" s="85"/>
      <c r="C590" s="189" t="s">
        <v>943</v>
      </c>
      <c r="D590" s="113">
        <f>D591</f>
        <v>3648.8</v>
      </c>
      <c r="E590" s="113">
        <f t="shared" ref="E590:F590" si="291">E591</f>
        <v>0</v>
      </c>
      <c r="F590" s="113">
        <f t="shared" si="291"/>
        <v>0</v>
      </c>
    </row>
    <row r="591" spans="1:6" ht="38.25">
      <c r="A591" s="21" t="s">
        <v>876</v>
      </c>
      <c r="B591" s="85" t="s">
        <v>325</v>
      </c>
      <c r="C591" s="103" t="s">
        <v>326</v>
      </c>
      <c r="D591" s="113">
        <v>3648.8</v>
      </c>
      <c r="E591" s="113">
        <v>0</v>
      </c>
      <c r="F591" s="113">
        <v>0</v>
      </c>
    </row>
    <row r="592" spans="1:6" ht="25.5">
      <c r="A592" s="21" t="s">
        <v>877</v>
      </c>
      <c r="B592" s="85"/>
      <c r="C592" s="190" t="s">
        <v>944</v>
      </c>
      <c r="D592" s="113">
        <f>D593</f>
        <v>3702.6</v>
      </c>
      <c r="E592" s="113">
        <f t="shared" ref="E592:F592" si="292">E593</f>
        <v>0</v>
      </c>
      <c r="F592" s="113">
        <f t="shared" si="292"/>
        <v>0</v>
      </c>
    </row>
    <row r="593" spans="1:6" ht="38.25">
      <c r="A593" s="21" t="s">
        <v>877</v>
      </c>
      <c r="B593" s="85" t="s">
        <v>325</v>
      </c>
      <c r="C593" s="103" t="s">
        <v>326</v>
      </c>
      <c r="D593" s="113">
        <f>3789.1-86.5</f>
        <v>3702.6</v>
      </c>
      <c r="E593" s="113">
        <v>0</v>
      </c>
      <c r="F593" s="113">
        <v>0</v>
      </c>
    </row>
    <row r="594" spans="1:6" ht="25.5">
      <c r="A594" s="21" t="s">
        <v>878</v>
      </c>
      <c r="B594" s="85"/>
      <c r="C594" s="103" t="s">
        <v>945</v>
      </c>
      <c r="D594" s="113">
        <f>D595</f>
        <v>1895.4</v>
      </c>
      <c r="E594" s="113">
        <f t="shared" ref="E594:F594" si="293">E595</f>
        <v>0</v>
      </c>
      <c r="F594" s="113">
        <f t="shared" si="293"/>
        <v>0</v>
      </c>
    </row>
    <row r="595" spans="1:6" ht="38.25">
      <c r="A595" s="21" t="s">
        <v>878</v>
      </c>
      <c r="B595" s="85" t="s">
        <v>325</v>
      </c>
      <c r="C595" s="103" t="s">
        <v>326</v>
      </c>
      <c r="D595" s="113">
        <v>1895.4</v>
      </c>
      <c r="E595" s="113">
        <v>0</v>
      </c>
      <c r="F595" s="113">
        <v>0</v>
      </c>
    </row>
    <row r="596" spans="1:6" ht="25.5">
      <c r="A596" s="21" t="s">
        <v>880</v>
      </c>
      <c r="B596" s="85"/>
      <c r="C596" s="103" t="s">
        <v>946</v>
      </c>
      <c r="D596" s="113">
        <f>D597</f>
        <v>2269.6999999999998</v>
      </c>
      <c r="E596" s="113">
        <f t="shared" ref="E596:F596" si="294">E597</f>
        <v>0</v>
      </c>
      <c r="F596" s="113">
        <f t="shared" si="294"/>
        <v>0</v>
      </c>
    </row>
    <row r="597" spans="1:6" ht="38.25">
      <c r="A597" s="21" t="s">
        <v>880</v>
      </c>
      <c r="B597" s="85" t="s">
        <v>325</v>
      </c>
      <c r="C597" s="103" t="s">
        <v>326</v>
      </c>
      <c r="D597" s="113">
        <v>2269.6999999999998</v>
      </c>
      <c r="E597" s="113">
        <v>0</v>
      </c>
      <c r="F597" s="113">
        <v>0</v>
      </c>
    </row>
    <row r="598" spans="1:6" ht="25.5">
      <c r="A598" s="21" t="s">
        <v>883</v>
      </c>
      <c r="B598" s="85"/>
      <c r="C598" s="189" t="s">
        <v>947</v>
      </c>
      <c r="D598" s="113">
        <f>D599</f>
        <v>3777.9</v>
      </c>
      <c r="E598" s="113">
        <f t="shared" ref="E598:F598" si="295">E599</f>
        <v>0</v>
      </c>
      <c r="F598" s="113">
        <f t="shared" si="295"/>
        <v>0</v>
      </c>
    </row>
    <row r="599" spans="1:6" ht="38.25">
      <c r="A599" s="21" t="s">
        <v>883</v>
      </c>
      <c r="B599" s="85" t="s">
        <v>325</v>
      </c>
      <c r="C599" s="103" t="s">
        <v>326</v>
      </c>
      <c r="D599" s="113">
        <v>3777.9</v>
      </c>
      <c r="E599" s="113">
        <v>0</v>
      </c>
      <c r="F599" s="113">
        <v>0</v>
      </c>
    </row>
    <row r="600" spans="1:6" ht="25.5">
      <c r="A600" s="21" t="s">
        <v>885</v>
      </c>
      <c r="B600" s="85"/>
      <c r="C600" s="189" t="s">
        <v>948</v>
      </c>
      <c r="D600" s="113">
        <f>D601</f>
        <v>2722.3</v>
      </c>
      <c r="E600" s="113">
        <f t="shared" ref="E600:F600" si="296">E601</f>
        <v>0</v>
      </c>
      <c r="F600" s="113">
        <f t="shared" si="296"/>
        <v>0</v>
      </c>
    </row>
    <row r="601" spans="1:6" ht="38.25">
      <c r="A601" s="21" t="s">
        <v>885</v>
      </c>
      <c r="B601" s="85" t="s">
        <v>325</v>
      </c>
      <c r="C601" s="103" t="s">
        <v>326</v>
      </c>
      <c r="D601" s="113">
        <v>2722.3</v>
      </c>
      <c r="E601" s="113">
        <v>0</v>
      </c>
      <c r="F601" s="113">
        <v>0</v>
      </c>
    </row>
    <row r="602" spans="1:6" ht="25.5">
      <c r="A602" s="80">
        <v>1260300000</v>
      </c>
      <c r="B602" s="85"/>
      <c r="C602" s="103" t="s">
        <v>863</v>
      </c>
      <c r="D602" s="41">
        <f>D603</f>
        <v>3027.5</v>
      </c>
      <c r="E602" s="41">
        <f t="shared" ref="E602:F603" si="297">E603</f>
        <v>0</v>
      </c>
      <c r="F602" s="41">
        <f t="shared" si="297"/>
        <v>0</v>
      </c>
    </row>
    <row r="603" spans="1:6" ht="51">
      <c r="A603" s="21" t="s">
        <v>865</v>
      </c>
      <c r="B603" s="85"/>
      <c r="C603" s="103" t="s">
        <v>956</v>
      </c>
      <c r="D603" s="41">
        <f>D604</f>
        <v>3027.5</v>
      </c>
      <c r="E603" s="41">
        <f t="shared" si="297"/>
        <v>0</v>
      </c>
      <c r="F603" s="41">
        <f t="shared" si="297"/>
        <v>0</v>
      </c>
    </row>
    <row r="604" spans="1:6" ht="38.25">
      <c r="A604" s="21" t="s">
        <v>865</v>
      </c>
      <c r="B604" s="85" t="s">
        <v>325</v>
      </c>
      <c r="C604" s="103" t="s">
        <v>326</v>
      </c>
      <c r="D604" s="41">
        <f>481.4+2500+527.5-481.4</f>
        <v>3027.5</v>
      </c>
      <c r="E604" s="41">
        <v>0</v>
      </c>
      <c r="F604" s="41">
        <v>0</v>
      </c>
    </row>
    <row r="605" spans="1:6" ht="51">
      <c r="A605" s="21" t="s">
        <v>916</v>
      </c>
      <c r="B605" s="85"/>
      <c r="C605" s="103" t="s">
        <v>915</v>
      </c>
      <c r="D605" s="41">
        <f>D606</f>
        <v>1908.2</v>
      </c>
      <c r="E605" s="41">
        <f t="shared" ref="E605:F606" si="298">E606</f>
        <v>0</v>
      </c>
      <c r="F605" s="41">
        <f t="shared" si="298"/>
        <v>0</v>
      </c>
    </row>
    <row r="606" spans="1:6" ht="45">
      <c r="A606" s="21" t="s">
        <v>917</v>
      </c>
      <c r="B606" s="85"/>
      <c r="C606" s="193" t="s">
        <v>957</v>
      </c>
      <c r="D606" s="41">
        <f>D607</f>
        <v>1908.2</v>
      </c>
      <c r="E606" s="41">
        <f t="shared" si="298"/>
        <v>0</v>
      </c>
      <c r="F606" s="41">
        <f t="shared" si="298"/>
        <v>0</v>
      </c>
    </row>
    <row r="607" spans="1:6">
      <c r="A607" s="21" t="s">
        <v>917</v>
      </c>
      <c r="B607" s="85" t="s">
        <v>382</v>
      </c>
      <c r="C607" s="108" t="s">
        <v>381</v>
      </c>
      <c r="D607" s="41">
        <v>1908.2</v>
      </c>
      <c r="E607" s="41">
        <v>0</v>
      </c>
      <c r="F607" s="41">
        <v>0</v>
      </c>
    </row>
    <row r="608" spans="1:6" ht="51.75">
      <c r="A608" s="73" t="s">
        <v>48</v>
      </c>
      <c r="B608" s="3"/>
      <c r="C608" s="64" t="s">
        <v>551</v>
      </c>
      <c r="D608" s="59">
        <f>D609+D623</f>
        <v>30590.2</v>
      </c>
      <c r="E608" s="59">
        <f>E609+E623</f>
        <v>9030.2999999999993</v>
      </c>
      <c r="F608" s="59">
        <f>F609+F623</f>
        <v>10346.799999999999</v>
      </c>
    </row>
    <row r="609" spans="1:6" ht="26.25">
      <c r="A609" s="52" t="s">
        <v>49</v>
      </c>
      <c r="B609" s="3"/>
      <c r="C609" s="46" t="s">
        <v>135</v>
      </c>
      <c r="D609" s="41">
        <f>D610+D615+D620</f>
        <v>26972.5</v>
      </c>
      <c r="E609" s="41">
        <f>E610+E615+E620</f>
        <v>5350.1</v>
      </c>
      <c r="F609" s="41">
        <f>F610+F615+F620</f>
        <v>6666.6</v>
      </c>
    </row>
    <row r="610" spans="1:6" ht="26.25">
      <c r="A610" s="21" t="s">
        <v>414</v>
      </c>
      <c r="B610" s="3"/>
      <c r="C610" s="116" t="s">
        <v>415</v>
      </c>
      <c r="D610" s="41">
        <f>D611+D613</f>
        <v>3133.3</v>
      </c>
      <c r="E610" s="41">
        <f t="shared" ref="E610:F610" si="299">E611+E613</f>
        <v>629.20000000000005</v>
      </c>
      <c r="F610" s="41">
        <f t="shared" si="299"/>
        <v>419.5</v>
      </c>
    </row>
    <row r="611" spans="1:6" ht="39">
      <c r="A611" s="21" t="s">
        <v>480</v>
      </c>
      <c r="B611" s="3"/>
      <c r="C611" s="135" t="s">
        <v>304</v>
      </c>
      <c r="D611" s="41">
        <f t="shared" ref="D611:F611" si="300">D612</f>
        <v>626.6</v>
      </c>
      <c r="E611" s="41">
        <f t="shared" si="300"/>
        <v>629.20000000000005</v>
      </c>
      <c r="F611" s="41">
        <f t="shared" si="300"/>
        <v>419.5</v>
      </c>
    </row>
    <row r="612" spans="1:6">
      <c r="A612" s="21" t="s">
        <v>480</v>
      </c>
      <c r="B612" s="85" t="s">
        <v>382</v>
      </c>
      <c r="C612" s="108" t="s">
        <v>381</v>
      </c>
      <c r="D612" s="41">
        <f>629.2-2.6</f>
        <v>626.6</v>
      </c>
      <c r="E612" s="41">
        <v>629.20000000000005</v>
      </c>
      <c r="F612" s="41">
        <v>419.5</v>
      </c>
    </row>
    <row r="613" spans="1:6" ht="38.25">
      <c r="A613" s="21" t="s">
        <v>890</v>
      </c>
      <c r="B613" s="85"/>
      <c r="C613" s="54" t="s">
        <v>889</v>
      </c>
      <c r="D613" s="41">
        <f>D614</f>
        <v>2506.7000000000003</v>
      </c>
      <c r="E613" s="41">
        <f t="shared" ref="E613:F613" si="301">E614</f>
        <v>0</v>
      </c>
      <c r="F613" s="41">
        <f t="shared" si="301"/>
        <v>0</v>
      </c>
    </row>
    <row r="614" spans="1:6">
      <c r="A614" s="21" t="s">
        <v>890</v>
      </c>
      <c r="B614" s="85" t="s">
        <v>382</v>
      </c>
      <c r="C614" s="108" t="s">
        <v>381</v>
      </c>
      <c r="D614" s="41">
        <f>2516.8-10.1</f>
        <v>2506.7000000000003</v>
      </c>
      <c r="E614" s="41">
        <v>0</v>
      </c>
      <c r="F614" s="41">
        <v>0</v>
      </c>
    </row>
    <row r="615" spans="1:6" ht="76.5">
      <c r="A615" s="21" t="s">
        <v>416</v>
      </c>
      <c r="B615" s="35"/>
      <c r="C615" s="102" t="s">
        <v>472</v>
      </c>
      <c r="D615" s="104">
        <f t="shared" ref="D615:F615" si="302">D616+D618</f>
        <v>9787.7000000000007</v>
      </c>
      <c r="E615" s="104">
        <f t="shared" si="302"/>
        <v>2261.9</v>
      </c>
      <c r="F615" s="104">
        <f t="shared" si="302"/>
        <v>3392.9</v>
      </c>
    </row>
    <row r="616" spans="1:6" ht="51">
      <c r="A616" s="80">
        <v>1310210820</v>
      </c>
      <c r="B616" s="16"/>
      <c r="C616" s="103" t="s">
        <v>244</v>
      </c>
      <c r="D616" s="39">
        <f t="shared" ref="D616:F616" si="303">D617</f>
        <v>2936.3</v>
      </c>
      <c r="E616" s="39">
        <f t="shared" si="303"/>
        <v>0</v>
      </c>
      <c r="F616" s="39">
        <f t="shared" si="303"/>
        <v>1131</v>
      </c>
    </row>
    <row r="617" spans="1:6">
      <c r="A617" s="80">
        <v>1310210820</v>
      </c>
      <c r="B617" s="85" t="s">
        <v>382</v>
      </c>
      <c r="C617" s="108" t="s">
        <v>381</v>
      </c>
      <c r="D617" s="39">
        <v>2936.3</v>
      </c>
      <c r="E617" s="39">
        <f>978.8-978.8</f>
        <v>0</v>
      </c>
      <c r="F617" s="39">
        <v>1131</v>
      </c>
    </row>
    <row r="618" spans="1:6" ht="38.25">
      <c r="A618" s="80" t="s">
        <v>605</v>
      </c>
      <c r="B618" s="16"/>
      <c r="C618" s="103" t="s">
        <v>491</v>
      </c>
      <c r="D618" s="39">
        <f t="shared" ref="D618:F618" si="304">D619</f>
        <v>6851.4</v>
      </c>
      <c r="E618" s="39">
        <f t="shared" si="304"/>
        <v>2261.9</v>
      </c>
      <c r="F618" s="39">
        <f t="shared" si="304"/>
        <v>2261.9</v>
      </c>
    </row>
    <row r="619" spans="1:6">
      <c r="A619" s="80" t="s">
        <v>605</v>
      </c>
      <c r="B619" s="85" t="s">
        <v>382</v>
      </c>
      <c r="C619" s="108" t="s">
        <v>381</v>
      </c>
      <c r="D619" s="39">
        <v>6851.4</v>
      </c>
      <c r="E619" s="39">
        <v>2261.9</v>
      </c>
      <c r="F619" s="39">
        <v>2261.9</v>
      </c>
    </row>
    <row r="620" spans="1:6" ht="25.5">
      <c r="A620" s="21" t="s">
        <v>467</v>
      </c>
      <c r="B620" s="85"/>
      <c r="C620" s="116" t="s">
        <v>545</v>
      </c>
      <c r="D620" s="41">
        <f t="shared" ref="D620:F620" si="305">D621</f>
        <v>14051.5</v>
      </c>
      <c r="E620" s="41">
        <f t="shared" si="305"/>
        <v>2459</v>
      </c>
      <c r="F620" s="41">
        <f t="shared" si="305"/>
        <v>2854.2</v>
      </c>
    </row>
    <row r="621" spans="1:6" ht="51">
      <c r="A621" s="74" t="s">
        <v>544</v>
      </c>
      <c r="B621" s="16"/>
      <c r="C621" s="103" t="s">
        <v>507</v>
      </c>
      <c r="D621" s="99">
        <f t="shared" ref="D621:F621" si="306">D622</f>
        <v>14051.5</v>
      </c>
      <c r="E621" s="99">
        <f t="shared" si="306"/>
        <v>2459</v>
      </c>
      <c r="F621" s="99">
        <f t="shared" si="306"/>
        <v>2854.2</v>
      </c>
    </row>
    <row r="622" spans="1:6" ht="26.25" customHeight="1">
      <c r="A622" s="74" t="s">
        <v>544</v>
      </c>
      <c r="B622" s="85" t="s">
        <v>396</v>
      </c>
      <c r="C622" s="103" t="s">
        <v>383</v>
      </c>
      <c r="D622" s="99">
        <f>2810.3+11241.2</f>
        <v>14051.5</v>
      </c>
      <c r="E622" s="99">
        <v>2459</v>
      </c>
      <c r="F622" s="99">
        <v>2854.2</v>
      </c>
    </row>
    <row r="623" spans="1:6" ht="25.5">
      <c r="A623" s="52" t="s">
        <v>50</v>
      </c>
      <c r="B623" s="16"/>
      <c r="C623" s="46" t="s">
        <v>132</v>
      </c>
      <c r="D623" s="98">
        <f t="shared" ref="D623:F623" si="307">D624+D627+D630</f>
        <v>3617.7</v>
      </c>
      <c r="E623" s="98">
        <f t="shared" si="307"/>
        <v>3680.2</v>
      </c>
      <c r="F623" s="98">
        <f t="shared" si="307"/>
        <v>3680.2</v>
      </c>
    </row>
    <row r="624" spans="1:6" ht="38.25">
      <c r="A624" s="21" t="s">
        <v>417</v>
      </c>
      <c r="B624" s="16"/>
      <c r="C624" s="116" t="s">
        <v>418</v>
      </c>
      <c r="D624" s="104">
        <f t="shared" ref="D624:F625" si="308">D625</f>
        <v>190</v>
      </c>
      <c r="E624" s="104">
        <f t="shared" si="308"/>
        <v>200</v>
      </c>
      <c r="F624" s="104">
        <f t="shared" si="308"/>
        <v>200</v>
      </c>
    </row>
    <row r="625" spans="1:6" ht="38.25">
      <c r="A625" s="80" t="s">
        <v>221</v>
      </c>
      <c r="B625" s="16"/>
      <c r="C625" s="103" t="s">
        <v>245</v>
      </c>
      <c r="D625" s="41">
        <f t="shared" si="308"/>
        <v>190</v>
      </c>
      <c r="E625" s="41">
        <f t="shared" si="308"/>
        <v>200</v>
      </c>
      <c r="F625" s="41">
        <f t="shared" si="308"/>
        <v>200</v>
      </c>
    </row>
    <row r="626" spans="1:6">
      <c r="A626" s="80" t="s">
        <v>221</v>
      </c>
      <c r="B626" s="16" t="s">
        <v>133</v>
      </c>
      <c r="C626" s="103" t="s">
        <v>134</v>
      </c>
      <c r="D626" s="41">
        <f>200+200-200-10</f>
        <v>190</v>
      </c>
      <c r="E626" s="41">
        <v>200</v>
      </c>
      <c r="F626" s="41">
        <v>200</v>
      </c>
    </row>
    <row r="627" spans="1:6" ht="51">
      <c r="A627" s="21" t="s">
        <v>419</v>
      </c>
      <c r="B627" s="16"/>
      <c r="C627" s="116" t="s">
        <v>468</v>
      </c>
      <c r="D627" s="41">
        <f t="shared" ref="D627:F628" si="309">D628</f>
        <v>668</v>
      </c>
      <c r="E627" s="41">
        <f t="shared" si="309"/>
        <v>588</v>
      </c>
      <c r="F627" s="41">
        <f t="shared" si="309"/>
        <v>588</v>
      </c>
    </row>
    <row r="628" spans="1:6" ht="51">
      <c r="A628" s="80" t="s">
        <v>222</v>
      </c>
      <c r="B628" s="16"/>
      <c r="C628" s="103" t="s">
        <v>3</v>
      </c>
      <c r="D628" s="41">
        <f t="shared" si="309"/>
        <v>668</v>
      </c>
      <c r="E628" s="41">
        <f t="shared" si="309"/>
        <v>588</v>
      </c>
      <c r="F628" s="41">
        <f t="shared" si="309"/>
        <v>588</v>
      </c>
    </row>
    <row r="629" spans="1:6" ht="63.75">
      <c r="A629" s="80" t="s">
        <v>222</v>
      </c>
      <c r="B629" s="16" t="s">
        <v>24</v>
      </c>
      <c r="C629" s="105" t="s">
        <v>655</v>
      </c>
      <c r="D629" s="41">
        <f>638+30</f>
        <v>668</v>
      </c>
      <c r="E629" s="41">
        <v>588</v>
      </c>
      <c r="F629" s="41">
        <v>588</v>
      </c>
    </row>
    <row r="630" spans="1:6" ht="26.25">
      <c r="A630" s="21" t="s">
        <v>422</v>
      </c>
      <c r="B630" s="3"/>
      <c r="C630" s="116" t="s">
        <v>423</v>
      </c>
      <c r="D630" s="104">
        <f>D631</f>
        <v>2759.7</v>
      </c>
      <c r="E630" s="104">
        <f>E631</f>
        <v>2892.2</v>
      </c>
      <c r="F630" s="104">
        <f>F631</f>
        <v>2892.2</v>
      </c>
    </row>
    <row r="631" spans="1:6" ht="26.25">
      <c r="A631" s="80" t="s">
        <v>220</v>
      </c>
      <c r="B631" s="3"/>
      <c r="C631" s="162" t="s">
        <v>656</v>
      </c>
      <c r="D631" s="41">
        <f>прил.4!F716</f>
        <v>2759.7</v>
      </c>
      <c r="E631" s="41">
        <f>E632</f>
        <v>2892.2</v>
      </c>
      <c r="F631" s="41">
        <f>F632</f>
        <v>2892.2</v>
      </c>
    </row>
    <row r="632" spans="1:6" ht="25.5">
      <c r="A632" s="80" t="s">
        <v>220</v>
      </c>
      <c r="B632" s="85" t="s">
        <v>420</v>
      </c>
      <c r="C632" s="103" t="s">
        <v>421</v>
      </c>
      <c r="E632" s="39">
        <v>2892.2</v>
      </c>
      <c r="F632" s="39">
        <v>2892.2</v>
      </c>
    </row>
    <row r="633" spans="1:6" ht="51">
      <c r="A633" s="76">
        <v>1400000000</v>
      </c>
      <c r="B633" s="16"/>
      <c r="C633" s="53" t="s">
        <v>706</v>
      </c>
      <c r="D633" s="101">
        <f t="shared" ref="D633:F633" si="310">D634</f>
        <v>29326.199999999997</v>
      </c>
      <c r="E633" s="101">
        <f t="shared" si="310"/>
        <v>717.4</v>
      </c>
      <c r="F633" s="101">
        <f t="shared" si="310"/>
        <v>717.4</v>
      </c>
    </row>
    <row r="634" spans="1:6" ht="76.5">
      <c r="A634" s="75">
        <v>1410000000</v>
      </c>
      <c r="B634" s="16"/>
      <c r="C634" s="48" t="s">
        <v>333</v>
      </c>
      <c r="D634" s="98">
        <f>D635+D640+D647</f>
        <v>29326.199999999997</v>
      </c>
      <c r="E634" s="98">
        <f>E635+E640+E647</f>
        <v>717.4</v>
      </c>
      <c r="F634" s="98">
        <f>F635+F640+F647</f>
        <v>717.4</v>
      </c>
    </row>
    <row r="635" spans="1:6" ht="102">
      <c r="A635" s="74">
        <v>1410100000</v>
      </c>
      <c r="B635" s="16"/>
      <c r="C635" s="103" t="s">
        <v>657</v>
      </c>
      <c r="D635" s="41">
        <f>+D636+D638</f>
        <v>443.1</v>
      </c>
      <c r="E635" s="41">
        <f t="shared" ref="E635:F635" si="311">+E636+E638</f>
        <v>0</v>
      </c>
      <c r="F635" s="41">
        <f t="shared" si="311"/>
        <v>0</v>
      </c>
    </row>
    <row r="636" spans="1:6" ht="25.5">
      <c r="A636" s="74" t="s">
        <v>669</v>
      </c>
      <c r="B636" s="85"/>
      <c r="C636" s="103" t="s">
        <v>670</v>
      </c>
      <c r="D636" s="41">
        <f t="shared" ref="D636:F636" si="312">D637</f>
        <v>313</v>
      </c>
      <c r="E636" s="41">
        <f t="shared" si="312"/>
        <v>0</v>
      </c>
      <c r="F636" s="41">
        <f t="shared" si="312"/>
        <v>0</v>
      </c>
    </row>
    <row r="637" spans="1:6" ht="38.25">
      <c r="A637" s="74" t="s">
        <v>669</v>
      </c>
      <c r="B637" s="85" t="s">
        <v>325</v>
      </c>
      <c r="C637" s="103" t="s">
        <v>326</v>
      </c>
      <c r="D637" s="41">
        <v>313</v>
      </c>
      <c r="E637" s="41">
        <v>0</v>
      </c>
      <c r="F637" s="41">
        <v>0</v>
      </c>
    </row>
    <row r="638" spans="1:6" ht="51">
      <c r="A638" s="74" t="s">
        <v>694</v>
      </c>
      <c r="B638" s="85"/>
      <c r="C638" s="103" t="s">
        <v>695</v>
      </c>
      <c r="D638" s="41">
        <f t="shared" ref="D638:F638" si="313">D639</f>
        <v>130.1</v>
      </c>
      <c r="E638" s="41">
        <f t="shared" si="313"/>
        <v>0</v>
      </c>
      <c r="F638" s="41">
        <f t="shared" si="313"/>
        <v>0</v>
      </c>
    </row>
    <row r="639" spans="1:6" ht="38.25">
      <c r="A639" s="74" t="s">
        <v>694</v>
      </c>
      <c r="B639" s="85" t="s">
        <v>325</v>
      </c>
      <c r="C639" s="103" t="s">
        <v>326</v>
      </c>
      <c r="D639" s="41">
        <v>130.1</v>
      </c>
      <c r="E639" s="41">
        <v>0</v>
      </c>
      <c r="F639" s="41">
        <v>0</v>
      </c>
    </row>
    <row r="640" spans="1:6" ht="89.25">
      <c r="A640" s="74">
        <v>1410200000</v>
      </c>
      <c r="B640" s="16"/>
      <c r="C640" s="103" t="s">
        <v>658</v>
      </c>
      <c r="D640" s="41">
        <f>D641+D643+D645</f>
        <v>16904.5</v>
      </c>
      <c r="E640" s="41">
        <f t="shared" ref="E640:F640" si="314">E641+E643+E645</f>
        <v>0</v>
      </c>
      <c r="F640" s="41">
        <f t="shared" si="314"/>
        <v>0</v>
      </c>
    </row>
    <row r="641" spans="1:7" ht="25.5">
      <c r="A641" s="74" t="s">
        <v>696</v>
      </c>
      <c r="B641" s="85"/>
      <c r="C641" s="103" t="s">
        <v>670</v>
      </c>
      <c r="D641" s="41">
        <f t="shared" ref="D641:F641" si="315">D642</f>
        <v>416</v>
      </c>
      <c r="E641" s="41">
        <f t="shared" si="315"/>
        <v>0</v>
      </c>
      <c r="F641" s="41">
        <f t="shared" si="315"/>
        <v>0</v>
      </c>
    </row>
    <row r="642" spans="1:7" ht="38.25">
      <c r="A642" s="74" t="s">
        <v>696</v>
      </c>
      <c r="B642" s="85" t="s">
        <v>325</v>
      </c>
      <c r="C642" s="103" t="s">
        <v>326</v>
      </c>
      <c r="D642" s="41">
        <v>416</v>
      </c>
      <c r="E642" s="41">
        <v>0</v>
      </c>
      <c r="F642" s="41">
        <v>0</v>
      </c>
    </row>
    <row r="643" spans="1:7" ht="25.5">
      <c r="A643" s="74" t="s">
        <v>659</v>
      </c>
      <c r="B643" s="85"/>
      <c r="C643" s="103" t="s">
        <v>949</v>
      </c>
      <c r="D643" s="41">
        <f t="shared" ref="D643:F643" si="316">D644</f>
        <v>12851.2</v>
      </c>
      <c r="E643" s="41">
        <f t="shared" si="316"/>
        <v>0</v>
      </c>
      <c r="F643" s="41">
        <f t="shared" si="316"/>
        <v>0</v>
      </c>
    </row>
    <row r="644" spans="1:7" ht="38.25">
      <c r="A644" s="74" t="s">
        <v>659</v>
      </c>
      <c r="B644" s="85" t="s">
        <v>325</v>
      </c>
      <c r="C644" s="103" t="s">
        <v>326</v>
      </c>
      <c r="D644" s="41">
        <v>12851.2</v>
      </c>
      <c r="E644" s="41">
        <v>0</v>
      </c>
      <c r="F644" s="41">
        <v>0</v>
      </c>
    </row>
    <row r="645" spans="1:7" ht="29.25" customHeight="1">
      <c r="A645" s="74" t="s">
        <v>811</v>
      </c>
      <c r="B645" s="16"/>
      <c r="C645" s="103" t="s">
        <v>802</v>
      </c>
      <c r="D645" s="41">
        <f t="shared" ref="D645:F645" si="317">D646</f>
        <v>3637.3</v>
      </c>
      <c r="E645" s="41">
        <f t="shared" si="317"/>
        <v>0</v>
      </c>
      <c r="F645" s="41">
        <f t="shared" si="317"/>
        <v>0</v>
      </c>
    </row>
    <row r="646" spans="1:7" ht="38.25">
      <c r="A646" s="74" t="s">
        <v>811</v>
      </c>
      <c r="B646" s="85" t="s">
        <v>325</v>
      </c>
      <c r="C646" s="103" t="s">
        <v>326</v>
      </c>
      <c r="D646" s="41">
        <f>7000-3362.7</f>
        <v>3637.3</v>
      </c>
      <c r="E646" s="41">
        <v>0</v>
      </c>
      <c r="F646" s="41">
        <v>0</v>
      </c>
    </row>
    <row r="647" spans="1:7" ht="51">
      <c r="A647" s="74" t="s">
        <v>803</v>
      </c>
      <c r="B647" s="85"/>
      <c r="C647" s="103" t="s">
        <v>810</v>
      </c>
      <c r="D647" s="41">
        <f>D648+D650</f>
        <v>11978.599999999999</v>
      </c>
      <c r="E647" s="41">
        <f t="shared" ref="E647:F647" si="318">E648+E650</f>
        <v>717.4</v>
      </c>
      <c r="F647" s="41">
        <f t="shared" si="318"/>
        <v>717.4</v>
      </c>
    </row>
    <row r="648" spans="1:7" ht="38.25">
      <c r="A648" s="74" t="s">
        <v>630</v>
      </c>
      <c r="B648" s="16"/>
      <c r="C648" s="103" t="s">
        <v>505</v>
      </c>
      <c r="D648" s="41">
        <f t="shared" ref="D648" si="319">D649</f>
        <v>5985.2999999999993</v>
      </c>
      <c r="E648" s="41">
        <f t="shared" ref="E648:F648" si="320">E649</f>
        <v>478.3</v>
      </c>
      <c r="F648" s="41">
        <f t="shared" si="320"/>
        <v>478.3</v>
      </c>
    </row>
    <row r="649" spans="1:7" ht="38.25">
      <c r="A649" s="74" t="s">
        <v>630</v>
      </c>
      <c r="B649" s="85" t="s">
        <v>325</v>
      </c>
      <c r="C649" s="103" t="s">
        <v>326</v>
      </c>
      <c r="D649" s="41">
        <f>5634.9+350.4</f>
        <v>5985.2999999999993</v>
      </c>
      <c r="E649" s="41">
        <v>478.3</v>
      </c>
      <c r="F649" s="41">
        <v>478.3</v>
      </c>
    </row>
    <row r="650" spans="1:7" ht="25.5">
      <c r="A650" s="74" t="s">
        <v>631</v>
      </c>
      <c r="B650" s="16"/>
      <c r="C650" s="103" t="s">
        <v>506</v>
      </c>
      <c r="D650" s="41">
        <f t="shared" ref="D650" si="321">D651</f>
        <v>5993.3</v>
      </c>
      <c r="E650" s="41">
        <f t="shared" ref="E650:F650" si="322">E651</f>
        <v>239.1</v>
      </c>
      <c r="F650" s="41">
        <f t="shared" si="322"/>
        <v>239.1</v>
      </c>
    </row>
    <row r="651" spans="1:7" ht="38.25">
      <c r="A651" s="74" t="s">
        <v>631</v>
      </c>
      <c r="B651" s="85" t="s">
        <v>325</v>
      </c>
      <c r="C651" s="103" t="s">
        <v>326</v>
      </c>
      <c r="D651" s="41">
        <f>5331.5+1012.2-350.4</f>
        <v>5993.3</v>
      </c>
      <c r="E651" s="41">
        <v>239.1</v>
      </c>
      <c r="F651" s="41">
        <v>239.1</v>
      </c>
    </row>
    <row r="652" spans="1:7" ht="51.75">
      <c r="A652" s="73" t="s">
        <v>347</v>
      </c>
      <c r="B652" s="16"/>
      <c r="C652" s="64" t="s">
        <v>527</v>
      </c>
      <c r="D652" s="59">
        <f t="shared" ref="D652:F652" si="323">D653</f>
        <v>7286.6</v>
      </c>
      <c r="E652" s="59">
        <f t="shared" si="323"/>
        <v>4999.2</v>
      </c>
      <c r="F652" s="59">
        <f t="shared" si="323"/>
        <v>4992.3</v>
      </c>
      <c r="G652" s="109"/>
    </row>
    <row r="653" spans="1:7" ht="38.25">
      <c r="A653" s="52" t="s">
        <v>348</v>
      </c>
      <c r="B653" s="47"/>
      <c r="C653" s="48" t="s">
        <v>349</v>
      </c>
      <c r="D653" s="98">
        <f>D654+D667</f>
        <v>7286.6</v>
      </c>
      <c r="E653" s="98">
        <f t="shared" ref="E653:F653" si="324">E654+E667</f>
        <v>4999.2</v>
      </c>
      <c r="F653" s="98">
        <f t="shared" si="324"/>
        <v>4992.3</v>
      </c>
      <c r="G653" s="109"/>
    </row>
    <row r="654" spans="1:7" ht="38.25">
      <c r="A654" s="21" t="s">
        <v>350</v>
      </c>
      <c r="B654" s="85"/>
      <c r="C654" s="103" t="s">
        <v>351</v>
      </c>
      <c r="D654" s="41">
        <f>D655+D657+D659+D661+D663+D665</f>
        <v>3062.4</v>
      </c>
      <c r="E654" s="41">
        <f t="shared" ref="E654:F654" si="325">E655+E657+E659+E661+E663+E665</f>
        <v>775</v>
      </c>
      <c r="F654" s="41">
        <f t="shared" si="325"/>
        <v>775</v>
      </c>
      <c r="G654" s="109"/>
    </row>
    <row r="655" spans="1:7" ht="38.25">
      <c r="A655" s="21" t="s">
        <v>352</v>
      </c>
      <c r="B655" s="85"/>
      <c r="C655" s="103" t="s">
        <v>615</v>
      </c>
      <c r="D655" s="41">
        <f t="shared" ref="D655:F655" si="326">D656</f>
        <v>1893.1</v>
      </c>
      <c r="E655" s="41">
        <f t="shared" si="326"/>
        <v>500</v>
      </c>
      <c r="F655" s="41">
        <f t="shared" si="326"/>
        <v>500</v>
      </c>
      <c r="G655" s="109"/>
    </row>
    <row r="656" spans="1:7" ht="38.25">
      <c r="A656" s="21" t="s">
        <v>352</v>
      </c>
      <c r="B656" s="85" t="s">
        <v>325</v>
      </c>
      <c r="C656" s="103" t="s">
        <v>326</v>
      </c>
      <c r="D656" s="41">
        <f>2381.2-488.1</f>
        <v>1893.1</v>
      </c>
      <c r="E656" s="41">
        <v>500</v>
      </c>
      <c r="F656" s="41">
        <v>500</v>
      </c>
    </row>
    <row r="657" spans="1:6">
      <c r="A657" s="21" t="s">
        <v>530</v>
      </c>
      <c r="B657" s="16"/>
      <c r="C657" s="103" t="s">
        <v>531</v>
      </c>
      <c r="D657" s="41">
        <f t="shared" ref="D657:F657" si="327">D658</f>
        <v>362.6</v>
      </c>
      <c r="E657" s="41">
        <f t="shared" si="327"/>
        <v>275</v>
      </c>
      <c r="F657" s="41">
        <f t="shared" si="327"/>
        <v>275</v>
      </c>
    </row>
    <row r="658" spans="1:6" ht="38.25">
      <c r="A658" s="21" t="s">
        <v>530</v>
      </c>
      <c r="B658" s="85" t="s">
        <v>325</v>
      </c>
      <c r="C658" s="103" t="s">
        <v>326</v>
      </c>
      <c r="D658" s="41">
        <f>350+22.6-10</f>
        <v>362.6</v>
      </c>
      <c r="E658" s="41">
        <v>275</v>
      </c>
      <c r="F658" s="41">
        <v>275</v>
      </c>
    </row>
    <row r="659" spans="1:6" ht="38.25">
      <c r="A659" s="21" t="s">
        <v>647</v>
      </c>
      <c r="B659" s="16"/>
      <c r="C659" s="103" t="s">
        <v>662</v>
      </c>
      <c r="D659" s="99">
        <f t="shared" ref="D659:F661" si="328">D660</f>
        <v>16.3</v>
      </c>
      <c r="E659" s="99">
        <f t="shared" si="328"/>
        <v>0</v>
      </c>
      <c r="F659" s="99">
        <f t="shared" si="328"/>
        <v>0</v>
      </c>
    </row>
    <row r="660" spans="1:6" ht="38.25">
      <c r="A660" s="21" t="s">
        <v>647</v>
      </c>
      <c r="B660" s="85" t="s">
        <v>325</v>
      </c>
      <c r="C660" s="103" t="s">
        <v>326</v>
      </c>
      <c r="D660" s="41">
        <v>16.3</v>
      </c>
      <c r="E660" s="41">
        <v>0</v>
      </c>
      <c r="F660" s="41">
        <v>0</v>
      </c>
    </row>
    <row r="661" spans="1:6" ht="25.5">
      <c r="A661" s="21" t="s">
        <v>648</v>
      </c>
      <c r="B661" s="16"/>
      <c r="C661" s="103" t="s">
        <v>649</v>
      </c>
      <c r="D661" s="99">
        <f t="shared" si="328"/>
        <v>6</v>
      </c>
      <c r="E661" s="99">
        <f t="shared" si="328"/>
        <v>0</v>
      </c>
      <c r="F661" s="99">
        <f t="shared" si="328"/>
        <v>0</v>
      </c>
    </row>
    <row r="662" spans="1:6" ht="38.25">
      <c r="A662" s="21" t="s">
        <v>648</v>
      </c>
      <c r="B662" s="85" t="s">
        <v>325</v>
      </c>
      <c r="C662" s="103" t="s">
        <v>326</v>
      </c>
      <c r="D662" s="41">
        <v>6</v>
      </c>
      <c r="E662" s="41">
        <v>0</v>
      </c>
      <c r="F662" s="41">
        <v>0</v>
      </c>
    </row>
    <row r="663" spans="1:6" ht="38.25">
      <c r="A663" s="21" t="s">
        <v>812</v>
      </c>
      <c r="B663" s="85"/>
      <c r="C663" s="54" t="s">
        <v>739</v>
      </c>
      <c r="D663" s="41">
        <f>D664</f>
        <v>184.4</v>
      </c>
      <c r="E663" s="41">
        <f t="shared" ref="E663:F663" si="329">E664</f>
        <v>0</v>
      </c>
      <c r="F663" s="41">
        <f t="shared" si="329"/>
        <v>0</v>
      </c>
    </row>
    <row r="664" spans="1:6" ht="38.25">
      <c r="A664" s="21" t="s">
        <v>812</v>
      </c>
      <c r="B664" s="85" t="s">
        <v>325</v>
      </c>
      <c r="C664" s="103" t="s">
        <v>326</v>
      </c>
      <c r="D664" s="41">
        <v>184.4</v>
      </c>
      <c r="E664" s="41">
        <v>0</v>
      </c>
      <c r="F664" s="41">
        <v>0</v>
      </c>
    </row>
    <row r="665" spans="1:6">
      <c r="A665" s="21" t="s">
        <v>813</v>
      </c>
      <c r="B665" s="85"/>
      <c r="C665" s="54" t="s">
        <v>798</v>
      </c>
      <c r="D665" s="41">
        <f>D666</f>
        <v>600</v>
      </c>
      <c r="E665" s="41">
        <f t="shared" ref="E665:F665" si="330">E666</f>
        <v>0</v>
      </c>
      <c r="F665" s="41">
        <f t="shared" si="330"/>
        <v>0</v>
      </c>
    </row>
    <row r="666" spans="1:6" ht="38.25">
      <c r="A666" s="21" t="s">
        <v>813</v>
      </c>
      <c r="B666" s="85" t="s">
        <v>325</v>
      </c>
      <c r="C666" s="103" t="s">
        <v>326</v>
      </c>
      <c r="D666" s="41">
        <v>600</v>
      </c>
      <c r="E666" s="41">
        <v>0</v>
      </c>
      <c r="F666" s="41">
        <v>0</v>
      </c>
    </row>
    <row r="667" spans="1:6" ht="51.75" customHeight="1">
      <c r="A667" s="51" t="s">
        <v>804</v>
      </c>
      <c r="B667" s="85"/>
      <c r="C667" s="103" t="s">
        <v>809</v>
      </c>
      <c r="D667" s="41">
        <f>D668+D670</f>
        <v>4224.2</v>
      </c>
      <c r="E667" s="41">
        <f t="shared" ref="E667:F667" si="331">E668+E670</f>
        <v>4224.2</v>
      </c>
      <c r="F667" s="41">
        <f t="shared" si="331"/>
        <v>4217.3</v>
      </c>
    </row>
    <row r="668" spans="1:6" ht="38.25">
      <c r="A668" s="51" t="s">
        <v>636</v>
      </c>
      <c r="B668" s="85"/>
      <c r="C668" s="103" t="s">
        <v>632</v>
      </c>
      <c r="D668" s="41">
        <f t="shared" ref="D668:F668" si="332">D669</f>
        <v>844.8</v>
      </c>
      <c r="E668" s="41">
        <f t="shared" si="332"/>
        <v>844.8</v>
      </c>
      <c r="F668" s="41">
        <f t="shared" si="332"/>
        <v>843.5</v>
      </c>
    </row>
    <row r="669" spans="1:6" ht="38.25">
      <c r="A669" s="51" t="s">
        <v>636</v>
      </c>
      <c r="B669" s="85" t="s">
        <v>325</v>
      </c>
      <c r="C669" s="103" t="s">
        <v>326</v>
      </c>
      <c r="D669" s="41">
        <v>844.8</v>
      </c>
      <c r="E669" s="41">
        <v>844.8</v>
      </c>
      <c r="F669" s="41">
        <v>843.5</v>
      </c>
    </row>
    <row r="670" spans="1:6" ht="51">
      <c r="A670" s="51" t="s">
        <v>637</v>
      </c>
      <c r="B670" s="85"/>
      <c r="C670" s="103" t="s">
        <v>629</v>
      </c>
      <c r="D670" s="41">
        <f t="shared" ref="D670:F670" si="333">D671</f>
        <v>3379.4</v>
      </c>
      <c r="E670" s="41">
        <f t="shared" si="333"/>
        <v>3379.4</v>
      </c>
      <c r="F670" s="41">
        <f t="shared" si="333"/>
        <v>3373.8</v>
      </c>
    </row>
    <row r="671" spans="1:6" ht="38.25">
      <c r="A671" s="51" t="s">
        <v>637</v>
      </c>
      <c r="B671" s="85" t="s">
        <v>325</v>
      </c>
      <c r="C671" s="103" t="s">
        <v>326</v>
      </c>
      <c r="D671" s="41">
        <v>3379.4</v>
      </c>
      <c r="E671" s="41">
        <v>3379.4</v>
      </c>
      <c r="F671" s="41">
        <v>3373.8</v>
      </c>
    </row>
    <row r="672" spans="1:6" ht="25.5">
      <c r="A672" s="87">
        <v>9900000000</v>
      </c>
      <c r="B672" s="73"/>
      <c r="C672" s="154" t="s">
        <v>202</v>
      </c>
      <c r="D672" s="101">
        <f>D673+D676+D690+D705+D718+D732</f>
        <v>112767.9</v>
      </c>
      <c r="E672" s="101">
        <f>E673+E676+E690+E705+E718+E732</f>
        <v>101715.6</v>
      </c>
      <c r="F672" s="101">
        <f>F673+F676+F690+F705+F718+F732</f>
        <v>101591.1</v>
      </c>
    </row>
    <row r="673" spans="1:6">
      <c r="A673" s="80">
        <v>9920000000</v>
      </c>
      <c r="B673" s="73"/>
      <c r="C673" s="168" t="s">
        <v>5</v>
      </c>
      <c r="D673" s="104">
        <f t="shared" ref="D673:F673" si="334">D674</f>
        <v>250</v>
      </c>
      <c r="E673" s="104">
        <f t="shared" si="334"/>
        <v>250</v>
      </c>
      <c r="F673" s="104">
        <f t="shared" si="334"/>
        <v>250</v>
      </c>
    </row>
    <row r="674" spans="1:6" ht="16.5" customHeight="1">
      <c r="A674" s="80" t="s">
        <v>54</v>
      </c>
      <c r="B674" s="21"/>
      <c r="C674" s="105" t="s">
        <v>13</v>
      </c>
      <c r="D674" s="39">
        <f>SUM(D675:D675)</f>
        <v>250</v>
      </c>
      <c r="E674" s="39">
        <f>SUM(E675:E675)</f>
        <v>250</v>
      </c>
      <c r="F674" s="39">
        <f>SUM(F675:F675)</f>
        <v>250</v>
      </c>
    </row>
    <row r="675" spans="1:6">
      <c r="A675" s="80" t="s">
        <v>54</v>
      </c>
      <c r="B675" s="16" t="s">
        <v>136</v>
      </c>
      <c r="C675" s="103" t="s">
        <v>137</v>
      </c>
      <c r="D675" s="39">
        <v>250</v>
      </c>
      <c r="E675" s="39">
        <v>250</v>
      </c>
      <c r="F675" s="39">
        <v>250</v>
      </c>
    </row>
    <row r="676" spans="1:6" ht="25.5">
      <c r="A676" s="80">
        <v>9930000000</v>
      </c>
      <c r="B676" s="16"/>
      <c r="C676" s="22" t="s">
        <v>58</v>
      </c>
      <c r="D676" s="39">
        <f>D677+D680+D683+D685+D687</f>
        <v>2290.3000000000002</v>
      </c>
      <c r="E676" s="39">
        <f t="shared" ref="E676:F676" si="335">E677+E680+E683+E685+E687</f>
        <v>1802.6</v>
      </c>
      <c r="F676" s="39">
        <f t="shared" si="335"/>
        <v>1678.1000000000001</v>
      </c>
    </row>
    <row r="677" spans="1:6" ht="63.75">
      <c r="A677" s="80">
        <v>9930010510</v>
      </c>
      <c r="B677" s="16"/>
      <c r="C677" s="105" t="s">
        <v>20</v>
      </c>
      <c r="D677" s="39">
        <f>D678+D679</f>
        <v>385.1</v>
      </c>
      <c r="E677" s="39">
        <f>E678+E679</f>
        <v>388.3</v>
      </c>
      <c r="F677" s="39">
        <f>F678+F679</f>
        <v>391.6</v>
      </c>
    </row>
    <row r="678" spans="1:6" ht="25.5">
      <c r="A678" s="80">
        <v>9930010510</v>
      </c>
      <c r="B678" s="16" t="s">
        <v>105</v>
      </c>
      <c r="C678" s="108" t="s">
        <v>106</v>
      </c>
      <c r="D678" s="39">
        <v>375.5</v>
      </c>
      <c r="E678" s="39">
        <v>375.5</v>
      </c>
      <c r="F678" s="39">
        <v>375.5</v>
      </c>
    </row>
    <row r="679" spans="1:6" ht="38.25">
      <c r="A679" s="80">
        <v>9930010510</v>
      </c>
      <c r="B679" s="85" t="s">
        <v>325</v>
      </c>
      <c r="C679" s="103" t="s">
        <v>326</v>
      </c>
      <c r="D679" s="39">
        <v>9.6</v>
      </c>
      <c r="E679" s="39">
        <v>12.8</v>
      </c>
      <c r="F679" s="39">
        <v>16.100000000000001</v>
      </c>
    </row>
    <row r="680" spans="1:6" ht="38.25">
      <c r="A680" s="80">
        <v>9930010540</v>
      </c>
      <c r="B680" s="16"/>
      <c r="C680" s="105" t="s">
        <v>21</v>
      </c>
      <c r="D680" s="39">
        <f>D681+D682</f>
        <v>199.8</v>
      </c>
      <c r="E680" s="39">
        <f>E681+E682</f>
        <v>201.70000000000002</v>
      </c>
      <c r="F680" s="39">
        <f>F681+F682</f>
        <v>203.60000000000002</v>
      </c>
    </row>
    <row r="681" spans="1:6" ht="25.5">
      <c r="A681" s="80">
        <v>9930010540</v>
      </c>
      <c r="B681" s="16" t="s">
        <v>105</v>
      </c>
      <c r="C681" s="108" t="s">
        <v>106</v>
      </c>
      <c r="D681" s="39">
        <v>171.3</v>
      </c>
      <c r="E681" s="39">
        <v>171.3</v>
      </c>
      <c r="F681" s="39">
        <v>171.3</v>
      </c>
    </row>
    <row r="682" spans="1:6" ht="38.25">
      <c r="A682" s="80">
        <v>9930010540</v>
      </c>
      <c r="B682" s="85" t="s">
        <v>325</v>
      </c>
      <c r="C682" s="103" t="s">
        <v>326</v>
      </c>
      <c r="D682" s="39">
        <v>28.5</v>
      </c>
      <c r="E682" s="39">
        <v>30.4</v>
      </c>
      <c r="F682" s="39">
        <v>32.299999999999997</v>
      </c>
    </row>
    <row r="683" spans="1:6" ht="63.75">
      <c r="A683" s="80">
        <v>9930051200</v>
      </c>
      <c r="B683" s="72"/>
      <c r="C683" s="54" t="s">
        <v>424</v>
      </c>
      <c r="D683" s="119">
        <f t="shared" ref="D683:F683" si="336">D684</f>
        <v>15.6</v>
      </c>
      <c r="E683" s="119">
        <f t="shared" si="336"/>
        <v>94.3</v>
      </c>
      <c r="F683" s="119">
        <f t="shared" si="336"/>
        <v>7.5</v>
      </c>
    </row>
    <row r="684" spans="1:6" ht="38.25">
      <c r="A684" s="80">
        <v>9930051200</v>
      </c>
      <c r="B684" s="85" t="s">
        <v>325</v>
      </c>
      <c r="C684" s="103" t="s">
        <v>326</v>
      </c>
      <c r="D684" s="119">
        <v>15.6</v>
      </c>
      <c r="E684" s="119">
        <v>94.3</v>
      </c>
      <c r="F684" s="119">
        <v>7.5</v>
      </c>
    </row>
    <row r="685" spans="1:6" ht="25.5">
      <c r="A685" s="80">
        <v>9930054690</v>
      </c>
      <c r="B685" s="85"/>
      <c r="C685" s="103" t="s">
        <v>742</v>
      </c>
      <c r="D685" s="39">
        <f>D686</f>
        <v>565.4</v>
      </c>
      <c r="E685" s="39">
        <f t="shared" ref="E685:F685" si="337">E686</f>
        <v>0</v>
      </c>
      <c r="F685" s="39">
        <f t="shared" si="337"/>
        <v>0</v>
      </c>
    </row>
    <row r="686" spans="1:6" ht="38.25">
      <c r="A686" s="80">
        <v>9930054690</v>
      </c>
      <c r="B686" s="85" t="s">
        <v>325</v>
      </c>
      <c r="C686" s="103" t="s">
        <v>326</v>
      </c>
      <c r="D686" s="39">
        <f>577.4-12</f>
        <v>565.4</v>
      </c>
      <c r="E686" s="39">
        <v>0</v>
      </c>
      <c r="F686" s="39">
        <v>0</v>
      </c>
    </row>
    <row r="687" spans="1:6" ht="38.25" customHeight="1">
      <c r="A687" s="80">
        <v>9930059302</v>
      </c>
      <c r="B687" s="16"/>
      <c r="C687" s="156" t="s">
        <v>661</v>
      </c>
      <c r="D687" s="39">
        <f t="shared" ref="D687:E687" si="338">SUM(D688:D689)</f>
        <v>1124.4000000000001</v>
      </c>
      <c r="E687" s="39">
        <f t="shared" si="338"/>
        <v>1118.3</v>
      </c>
      <c r="F687" s="39">
        <f t="shared" ref="F687" si="339">SUM(F688:F689)</f>
        <v>1075.4000000000001</v>
      </c>
    </row>
    <row r="688" spans="1:6" ht="25.5">
      <c r="A688" s="80">
        <v>9930059302</v>
      </c>
      <c r="B688" s="16" t="s">
        <v>105</v>
      </c>
      <c r="C688" s="55" t="s">
        <v>106</v>
      </c>
      <c r="D688" s="39">
        <v>1124.4000000000001</v>
      </c>
      <c r="E688" s="39">
        <v>1118.3</v>
      </c>
      <c r="F688" s="39">
        <v>1075.4000000000001</v>
      </c>
    </row>
    <row r="689" spans="1:6" ht="38.25">
      <c r="A689" s="80">
        <v>9930059302</v>
      </c>
      <c r="B689" s="85" t="s">
        <v>325</v>
      </c>
      <c r="C689" s="103" t="s">
        <v>326</v>
      </c>
      <c r="D689" s="39">
        <v>0</v>
      </c>
      <c r="E689" s="39">
        <v>0</v>
      </c>
      <c r="F689" s="39">
        <v>0</v>
      </c>
    </row>
    <row r="690" spans="1:6" ht="25.5">
      <c r="A690" s="16" t="s">
        <v>32</v>
      </c>
      <c r="B690" s="16"/>
      <c r="C690" s="105" t="s">
        <v>56</v>
      </c>
      <c r="D690" s="39">
        <f>D691+D696+D700+D702+D693</f>
        <v>5434.3</v>
      </c>
      <c r="E690" s="39">
        <f t="shared" ref="E690:F690" si="340">E691+E696+E700+E702+E693</f>
        <v>1202</v>
      </c>
      <c r="F690" s="39">
        <f t="shared" si="340"/>
        <v>1202</v>
      </c>
    </row>
    <row r="691" spans="1:6" ht="25.5">
      <c r="A691" s="80" t="s">
        <v>432</v>
      </c>
      <c r="B691" s="16"/>
      <c r="C691" s="22" t="s">
        <v>12</v>
      </c>
      <c r="D691" s="39">
        <f t="shared" ref="D691:F691" si="341">D692</f>
        <v>35</v>
      </c>
      <c r="E691" s="39">
        <f t="shared" si="341"/>
        <v>0</v>
      </c>
      <c r="F691" s="39">
        <f t="shared" si="341"/>
        <v>0</v>
      </c>
    </row>
    <row r="692" spans="1:6">
      <c r="A692" s="80" t="s">
        <v>432</v>
      </c>
      <c r="B692" s="16" t="s">
        <v>17</v>
      </c>
      <c r="C692" s="103" t="s">
        <v>18</v>
      </c>
      <c r="D692" s="39">
        <v>35</v>
      </c>
      <c r="E692" s="39">
        <v>0</v>
      </c>
      <c r="F692" s="39">
        <v>0</v>
      </c>
    </row>
    <row r="693" spans="1:6" ht="25.5">
      <c r="A693" s="74" t="s">
        <v>824</v>
      </c>
      <c r="B693" s="85"/>
      <c r="C693" s="103" t="s">
        <v>825</v>
      </c>
      <c r="D693" s="39">
        <f>D694+D695</f>
        <v>126.10000000000001</v>
      </c>
      <c r="E693" s="39">
        <f t="shared" ref="E693:F693" si="342">E694+E695</f>
        <v>0</v>
      </c>
      <c r="F693" s="39">
        <f t="shared" si="342"/>
        <v>0</v>
      </c>
    </row>
    <row r="694" spans="1:6" ht="38.25">
      <c r="A694" s="74" t="s">
        <v>824</v>
      </c>
      <c r="B694" s="85" t="s">
        <v>325</v>
      </c>
      <c r="C694" s="103" t="s">
        <v>326</v>
      </c>
      <c r="D694" s="41">
        <f>85.9+5.7</f>
        <v>91.600000000000009</v>
      </c>
      <c r="E694" s="39">
        <v>0</v>
      </c>
      <c r="F694" s="39">
        <v>0</v>
      </c>
    </row>
    <row r="695" spans="1:6">
      <c r="A695" s="74" t="s">
        <v>824</v>
      </c>
      <c r="B695" s="85" t="s">
        <v>475</v>
      </c>
      <c r="C695" s="103" t="s">
        <v>476</v>
      </c>
      <c r="D695" s="41">
        <f>7.7+26.8</f>
        <v>34.5</v>
      </c>
      <c r="E695" s="39">
        <v>0</v>
      </c>
      <c r="F695" s="39">
        <v>0</v>
      </c>
    </row>
    <row r="696" spans="1:6" ht="25.5">
      <c r="A696" s="84" t="s">
        <v>293</v>
      </c>
      <c r="B696" s="16"/>
      <c r="C696" s="105" t="s">
        <v>57</v>
      </c>
      <c r="D696" s="39">
        <f>SUM(D697:D699)</f>
        <v>2728.4</v>
      </c>
      <c r="E696" s="39">
        <f>SUM(E697:E699)</f>
        <v>1202</v>
      </c>
      <c r="F696" s="39">
        <f>SUM(F697:F699)</f>
        <v>1202</v>
      </c>
    </row>
    <row r="697" spans="1:6" ht="38.25">
      <c r="A697" s="84" t="s">
        <v>293</v>
      </c>
      <c r="B697" s="85" t="s">
        <v>325</v>
      </c>
      <c r="C697" s="103" t="s">
        <v>326</v>
      </c>
      <c r="D697" s="39">
        <v>241</v>
      </c>
      <c r="E697" s="39">
        <v>241</v>
      </c>
      <c r="F697" s="39">
        <v>241</v>
      </c>
    </row>
    <row r="698" spans="1:6">
      <c r="A698" s="84" t="s">
        <v>293</v>
      </c>
      <c r="B698" s="16" t="s">
        <v>133</v>
      </c>
      <c r="C698" s="103" t="s">
        <v>134</v>
      </c>
      <c r="D698" s="39">
        <f>359-101</f>
        <v>258</v>
      </c>
      <c r="E698" s="39">
        <v>359</v>
      </c>
      <c r="F698" s="39">
        <v>359</v>
      </c>
    </row>
    <row r="699" spans="1:6">
      <c r="A699" s="84" t="s">
        <v>293</v>
      </c>
      <c r="B699" s="84" t="s">
        <v>183</v>
      </c>
      <c r="C699" s="103" t="s">
        <v>184</v>
      </c>
      <c r="D699" s="39">
        <f>602+127.4+750+350+300+100</f>
        <v>2229.4</v>
      </c>
      <c r="E699" s="39">
        <v>602</v>
      </c>
      <c r="F699" s="39">
        <v>602</v>
      </c>
    </row>
    <row r="700" spans="1:6" ht="25.5" customHeight="1">
      <c r="A700" s="80" t="s">
        <v>717</v>
      </c>
      <c r="B700" s="21"/>
      <c r="C700" s="165" t="s">
        <v>718</v>
      </c>
      <c r="D700" s="39">
        <f t="shared" ref="D700:F700" si="343">D701</f>
        <v>1844.8</v>
      </c>
      <c r="E700" s="39">
        <f t="shared" si="343"/>
        <v>0</v>
      </c>
      <c r="F700" s="39">
        <f t="shared" si="343"/>
        <v>0</v>
      </c>
    </row>
    <row r="701" spans="1:6">
      <c r="A701" s="80" t="s">
        <v>717</v>
      </c>
      <c r="B701" s="85" t="s">
        <v>723</v>
      </c>
      <c r="C701" s="103" t="s">
        <v>724</v>
      </c>
      <c r="D701" s="39">
        <v>1844.8</v>
      </c>
      <c r="E701" s="39">
        <v>0</v>
      </c>
      <c r="F701" s="39">
        <v>0</v>
      </c>
    </row>
    <row r="702" spans="1:6" ht="38.25">
      <c r="A702" s="85" t="s">
        <v>592</v>
      </c>
      <c r="B702" s="16"/>
      <c r="C702" s="54" t="s">
        <v>593</v>
      </c>
      <c r="D702" s="41">
        <f>SUM(D703:D704)</f>
        <v>700</v>
      </c>
      <c r="E702" s="41">
        <f t="shared" ref="E702:F702" si="344">SUM(E703:E704)</f>
        <v>0</v>
      </c>
      <c r="F702" s="41">
        <f t="shared" si="344"/>
        <v>0</v>
      </c>
    </row>
    <row r="703" spans="1:6" ht="38.25">
      <c r="A703" s="85" t="s">
        <v>592</v>
      </c>
      <c r="B703" s="85" t="s">
        <v>325</v>
      </c>
      <c r="C703" s="103" t="s">
        <v>326</v>
      </c>
      <c r="D703" s="39">
        <v>125</v>
      </c>
      <c r="E703" s="39">
        <v>0</v>
      </c>
      <c r="F703" s="39">
        <v>0</v>
      </c>
    </row>
    <row r="704" spans="1:6">
      <c r="A704" s="85" t="s">
        <v>633</v>
      </c>
      <c r="B704" s="85" t="s">
        <v>344</v>
      </c>
      <c r="C704" s="103" t="s">
        <v>343</v>
      </c>
      <c r="D704" s="39">
        <v>575</v>
      </c>
      <c r="E704" s="39">
        <v>0</v>
      </c>
      <c r="F704" s="39">
        <v>0</v>
      </c>
    </row>
    <row r="705" spans="1:6">
      <c r="A705" s="84" t="s">
        <v>290</v>
      </c>
      <c r="B705" s="84"/>
      <c r="C705" s="103" t="s">
        <v>435</v>
      </c>
      <c r="D705" s="39">
        <f>D706+D710+D714</f>
        <v>43799</v>
      </c>
      <c r="E705" s="39">
        <f>E706+E710+E714</f>
        <v>37352</v>
      </c>
      <c r="F705" s="39">
        <f>F706+F710+F714</f>
        <v>37352</v>
      </c>
    </row>
    <row r="706" spans="1:6" ht="25.5">
      <c r="A706" s="21" t="s">
        <v>289</v>
      </c>
      <c r="B706" s="47"/>
      <c r="C706" s="54" t="s">
        <v>425</v>
      </c>
      <c r="D706" s="41">
        <f>D707+D708+D709</f>
        <v>4905.7000000000007</v>
      </c>
      <c r="E706" s="41">
        <f t="shared" ref="E706:F706" si="345">E707+E708+E709</f>
        <v>4905.7000000000007</v>
      </c>
      <c r="F706" s="41">
        <f t="shared" si="345"/>
        <v>4905.7000000000007</v>
      </c>
    </row>
    <row r="707" spans="1:6" ht="25.5">
      <c r="A707" s="21" t="s">
        <v>289</v>
      </c>
      <c r="B707" s="16" t="s">
        <v>107</v>
      </c>
      <c r="C707" s="108" t="s">
        <v>182</v>
      </c>
      <c r="D707" s="41">
        <v>4615.6000000000004</v>
      </c>
      <c r="E707" s="41">
        <v>4615.6000000000004</v>
      </c>
      <c r="F707" s="41">
        <v>4615.6000000000004</v>
      </c>
    </row>
    <row r="708" spans="1:6" ht="38.25">
      <c r="A708" s="21" t="s">
        <v>289</v>
      </c>
      <c r="B708" s="85" t="s">
        <v>325</v>
      </c>
      <c r="C708" s="103" t="s">
        <v>326</v>
      </c>
      <c r="D708" s="41">
        <f>290.1-0.5</f>
        <v>289.60000000000002</v>
      </c>
      <c r="E708" s="41">
        <v>290.10000000000002</v>
      </c>
      <c r="F708" s="41">
        <v>290.10000000000002</v>
      </c>
    </row>
    <row r="709" spans="1:6">
      <c r="A709" s="21" t="s">
        <v>289</v>
      </c>
      <c r="B709" s="85" t="s">
        <v>183</v>
      </c>
      <c r="C709" s="103" t="s">
        <v>184</v>
      </c>
      <c r="D709" s="41">
        <v>0.5</v>
      </c>
      <c r="E709" s="41">
        <v>0</v>
      </c>
      <c r="F709" s="41">
        <v>0</v>
      </c>
    </row>
    <row r="710" spans="1:6" ht="38.25">
      <c r="A710" s="21" t="s">
        <v>292</v>
      </c>
      <c r="B710" s="47"/>
      <c r="C710" s="54" t="s">
        <v>433</v>
      </c>
      <c r="D710" s="41">
        <f>SUM(D711:D713)</f>
        <v>8869.2000000000007</v>
      </c>
      <c r="E710" s="41">
        <f t="shared" ref="E710:F710" si="346">SUM(E711:E713)</f>
        <v>8869.2000000000007</v>
      </c>
      <c r="F710" s="41">
        <f t="shared" si="346"/>
        <v>8869.2000000000007</v>
      </c>
    </row>
    <row r="711" spans="1:6" ht="25.5">
      <c r="A711" s="21" t="s">
        <v>292</v>
      </c>
      <c r="B711" s="16" t="s">
        <v>107</v>
      </c>
      <c r="C711" s="108" t="s">
        <v>182</v>
      </c>
      <c r="D711" s="41">
        <v>8108.8</v>
      </c>
      <c r="E711" s="41">
        <v>8108.8</v>
      </c>
      <c r="F711" s="41">
        <v>8108.8</v>
      </c>
    </row>
    <row r="712" spans="1:6" ht="38.25">
      <c r="A712" s="21" t="s">
        <v>292</v>
      </c>
      <c r="B712" s="85" t="s">
        <v>325</v>
      </c>
      <c r="C712" s="103" t="s">
        <v>326</v>
      </c>
      <c r="D712" s="41">
        <f>760.4-2.2</f>
        <v>758.19999999999993</v>
      </c>
      <c r="E712" s="41">
        <v>760.4</v>
      </c>
      <c r="F712" s="41">
        <v>760.4</v>
      </c>
    </row>
    <row r="713" spans="1:6">
      <c r="A713" s="21" t="s">
        <v>292</v>
      </c>
      <c r="B713" s="85" t="s">
        <v>183</v>
      </c>
      <c r="C713" s="103" t="s">
        <v>184</v>
      </c>
      <c r="D713" s="41">
        <v>2.2000000000000002</v>
      </c>
      <c r="E713" s="41">
        <v>0</v>
      </c>
      <c r="F713" s="41">
        <v>0</v>
      </c>
    </row>
    <row r="714" spans="1:6" ht="25.5">
      <c r="A714" s="21" t="s">
        <v>294</v>
      </c>
      <c r="B714" s="47"/>
      <c r="C714" s="54" t="s">
        <v>434</v>
      </c>
      <c r="D714" s="41">
        <f>SUM(D715:D717)</f>
        <v>30024.1</v>
      </c>
      <c r="E714" s="41">
        <f>SUM(E715:E717)</f>
        <v>23577.1</v>
      </c>
      <c r="F714" s="41">
        <f>SUM(F715:F717)</f>
        <v>23577.1</v>
      </c>
    </row>
    <row r="715" spans="1:6" ht="25.5">
      <c r="A715" s="21" t="s">
        <v>294</v>
      </c>
      <c r="B715" s="16" t="s">
        <v>107</v>
      </c>
      <c r="C715" s="108" t="s">
        <v>182</v>
      </c>
      <c r="D715" s="41">
        <f>8142.2-25+260</f>
        <v>8377.2000000000007</v>
      </c>
      <c r="E715" s="41">
        <v>8142.2</v>
      </c>
      <c r="F715" s="41">
        <v>8142.2</v>
      </c>
    </row>
    <row r="716" spans="1:6" ht="38.25">
      <c r="A716" s="21" t="s">
        <v>294</v>
      </c>
      <c r="B716" s="85" t="s">
        <v>325</v>
      </c>
      <c r="C716" s="103" t="s">
        <v>326</v>
      </c>
      <c r="D716" s="41">
        <f>15321.3+1000+8072-15-2500-100-260</f>
        <v>21518.3</v>
      </c>
      <c r="E716" s="41">
        <v>15321.3</v>
      </c>
      <c r="F716" s="41">
        <v>15321.3</v>
      </c>
    </row>
    <row r="717" spans="1:6">
      <c r="A717" s="21" t="s">
        <v>294</v>
      </c>
      <c r="B717" s="85" t="s">
        <v>183</v>
      </c>
      <c r="C717" s="103" t="s">
        <v>184</v>
      </c>
      <c r="D717" s="119">
        <f>113.6+15</f>
        <v>128.6</v>
      </c>
      <c r="E717" s="119">
        <v>113.6</v>
      </c>
      <c r="F717" s="119">
        <v>113.6</v>
      </c>
    </row>
    <row r="718" spans="1:6" ht="38.25">
      <c r="A718" s="117">
        <v>9980000000</v>
      </c>
      <c r="B718" s="118"/>
      <c r="C718" s="103" t="s">
        <v>38</v>
      </c>
      <c r="D718" s="119">
        <f>D719+D721+D725+D729</f>
        <v>55695.299999999996</v>
      </c>
      <c r="E718" s="119">
        <f>E719+E721+E725+E729</f>
        <v>55810</v>
      </c>
      <c r="F718" s="119">
        <f>F719+F721+F725+F729</f>
        <v>55810</v>
      </c>
    </row>
    <row r="719" spans="1:6">
      <c r="A719" s="80" t="s">
        <v>195</v>
      </c>
      <c r="B719" s="16"/>
      <c r="C719" s="22" t="s">
        <v>166</v>
      </c>
      <c r="D719" s="39">
        <f t="shared" ref="D719:F719" si="347">D720</f>
        <v>1577.6</v>
      </c>
      <c r="E719" s="39">
        <f t="shared" si="347"/>
        <v>1577.6</v>
      </c>
      <c r="F719" s="39">
        <f t="shared" si="347"/>
        <v>1577.6</v>
      </c>
    </row>
    <row r="720" spans="1:6" ht="25.5">
      <c r="A720" s="80" t="s">
        <v>195</v>
      </c>
      <c r="B720" s="16" t="s">
        <v>105</v>
      </c>
      <c r="C720" s="134" t="s">
        <v>130</v>
      </c>
      <c r="D720" s="39">
        <v>1577.6</v>
      </c>
      <c r="E720" s="39">
        <v>1577.6</v>
      </c>
      <c r="F720" s="39">
        <v>1577.6</v>
      </c>
    </row>
    <row r="721" spans="1:6">
      <c r="A721" s="80" t="s">
        <v>53</v>
      </c>
      <c r="B721" s="21"/>
      <c r="C721" s="22" t="s">
        <v>167</v>
      </c>
      <c r="D721" s="39">
        <f>D722+D723+D724</f>
        <v>44361</v>
      </c>
      <c r="E721" s="39">
        <f>E722+E723+E724</f>
        <v>44478.700000000004</v>
      </c>
      <c r="F721" s="39">
        <f>F722+F723+F724</f>
        <v>44478.700000000004</v>
      </c>
    </row>
    <row r="722" spans="1:6" ht="25.5">
      <c r="A722" s="80" t="s">
        <v>53</v>
      </c>
      <c r="B722" s="16" t="s">
        <v>105</v>
      </c>
      <c r="C722" s="55" t="s">
        <v>106</v>
      </c>
      <c r="D722" s="39">
        <f>41587.8-124</f>
        <v>41463.800000000003</v>
      </c>
      <c r="E722" s="39">
        <v>41587.800000000003</v>
      </c>
      <c r="F722" s="39">
        <v>41587.800000000003</v>
      </c>
    </row>
    <row r="723" spans="1:6" ht="38.25">
      <c r="A723" s="80" t="s">
        <v>53</v>
      </c>
      <c r="B723" s="85" t="s">
        <v>325</v>
      </c>
      <c r="C723" s="103" t="s">
        <v>326</v>
      </c>
      <c r="D723" s="39">
        <f>2846.5-7.2+99.9-93.6</f>
        <v>2845.6000000000004</v>
      </c>
      <c r="E723" s="39">
        <v>2846.5</v>
      </c>
      <c r="F723" s="39">
        <v>2846.5</v>
      </c>
    </row>
    <row r="724" spans="1:6">
      <c r="A724" s="80" t="s">
        <v>53</v>
      </c>
      <c r="B724" s="84" t="s">
        <v>183</v>
      </c>
      <c r="C724" s="103" t="s">
        <v>184</v>
      </c>
      <c r="D724" s="41">
        <f>44.4+7.2</f>
        <v>51.6</v>
      </c>
      <c r="E724" s="41">
        <v>44.4</v>
      </c>
      <c r="F724" s="41">
        <v>44.4</v>
      </c>
    </row>
    <row r="725" spans="1:6">
      <c r="A725" s="80" t="s">
        <v>53</v>
      </c>
      <c r="B725" s="21"/>
      <c r="C725" s="22" t="s">
        <v>167</v>
      </c>
      <c r="D725" s="39">
        <f>SUM(D726:D728)</f>
        <v>9239.1999999999989</v>
      </c>
      <c r="E725" s="39">
        <f t="shared" ref="E725:F725" si="348">SUM(E726:E728)</f>
        <v>9236.1999999999989</v>
      </c>
      <c r="F725" s="39">
        <f t="shared" si="348"/>
        <v>9236.1999999999989</v>
      </c>
    </row>
    <row r="726" spans="1:6" ht="25.5">
      <c r="A726" s="80" t="s">
        <v>53</v>
      </c>
      <c r="B726" s="16" t="s">
        <v>105</v>
      </c>
      <c r="C726" s="108" t="s">
        <v>106</v>
      </c>
      <c r="D726" s="39">
        <v>8788.2999999999993</v>
      </c>
      <c r="E726" s="39">
        <v>8788.2999999999993</v>
      </c>
      <c r="F726" s="39">
        <v>8788.2999999999993</v>
      </c>
    </row>
    <row r="727" spans="1:6" ht="38.25">
      <c r="A727" s="80" t="s">
        <v>53</v>
      </c>
      <c r="B727" s="85" t="s">
        <v>325</v>
      </c>
      <c r="C727" s="103" t="s">
        <v>326</v>
      </c>
      <c r="D727" s="39">
        <v>447.9</v>
      </c>
      <c r="E727" s="39">
        <v>447.9</v>
      </c>
      <c r="F727" s="39">
        <v>447.9</v>
      </c>
    </row>
    <row r="728" spans="1:6">
      <c r="A728" s="80" t="s">
        <v>53</v>
      </c>
      <c r="B728" s="85" t="s">
        <v>475</v>
      </c>
      <c r="C728" s="103" t="s">
        <v>476</v>
      </c>
      <c r="D728" s="39">
        <v>3</v>
      </c>
      <c r="E728" s="39">
        <v>0</v>
      </c>
      <c r="F728" s="39">
        <v>0</v>
      </c>
    </row>
    <row r="729" spans="1:6">
      <c r="A729" s="80" t="s">
        <v>55</v>
      </c>
      <c r="B729" s="16"/>
      <c r="C729" s="110" t="s">
        <v>436</v>
      </c>
      <c r="D729" s="39">
        <f t="shared" ref="D729:E729" si="349">D730+D731</f>
        <v>517.5</v>
      </c>
      <c r="E729" s="39">
        <f t="shared" si="349"/>
        <v>517.5</v>
      </c>
      <c r="F729" s="39">
        <f t="shared" ref="F729" si="350">F730+F731</f>
        <v>517.5</v>
      </c>
    </row>
    <row r="730" spans="1:6" s="32" customFormat="1" ht="25.5">
      <c r="A730" s="80" t="s">
        <v>55</v>
      </c>
      <c r="B730" s="16" t="s">
        <v>105</v>
      </c>
      <c r="C730" s="55" t="s">
        <v>106</v>
      </c>
      <c r="D730" s="39">
        <v>203.6</v>
      </c>
      <c r="E730" s="39">
        <v>203.6</v>
      </c>
      <c r="F730" s="39">
        <v>203.6</v>
      </c>
    </row>
    <row r="731" spans="1:6" s="32" customFormat="1" ht="38.25">
      <c r="A731" s="80" t="s">
        <v>55</v>
      </c>
      <c r="B731" s="85" t="s">
        <v>325</v>
      </c>
      <c r="C731" s="103" t="s">
        <v>326</v>
      </c>
      <c r="D731" s="39">
        <v>313.89999999999998</v>
      </c>
      <c r="E731" s="39">
        <v>313.89999999999998</v>
      </c>
      <c r="F731" s="39">
        <v>313.89999999999998</v>
      </c>
    </row>
    <row r="732" spans="1:6" s="32" customFormat="1" ht="38.25">
      <c r="A732" s="80">
        <v>9990000000</v>
      </c>
      <c r="B732" s="16"/>
      <c r="C732" s="54" t="s">
        <v>37</v>
      </c>
      <c r="D732" s="41">
        <f>D733+D735+D738</f>
        <v>5299</v>
      </c>
      <c r="E732" s="41">
        <f>E733+E735+E738</f>
        <v>5299</v>
      </c>
      <c r="F732" s="41">
        <f>F733+F735+F738</f>
        <v>5299</v>
      </c>
    </row>
    <row r="733" spans="1:6" s="32" customFormat="1" ht="14.25">
      <c r="A733" s="80" t="s">
        <v>194</v>
      </c>
      <c r="B733" s="16"/>
      <c r="C733" s="103" t="s">
        <v>193</v>
      </c>
      <c r="D733" s="41">
        <f t="shared" ref="D733:F733" si="351">D734</f>
        <v>1397.6</v>
      </c>
      <c r="E733" s="41">
        <f t="shared" si="351"/>
        <v>1319.6</v>
      </c>
      <c r="F733" s="41">
        <f t="shared" si="351"/>
        <v>1319.6</v>
      </c>
    </row>
    <row r="734" spans="1:6" s="32" customFormat="1" ht="25.5">
      <c r="A734" s="80" t="s">
        <v>194</v>
      </c>
      <c r="B734" s="16" t="s">
        <v>105</v>
      </c>
      <c r="C734" s="55" t="s">
        <v>106</v>
      </c>
      <c r="D734" s="39">
        <f>1319.6+78</f>
        <v>1397.6</v>
      </c>
      <c r="E734" s="39">
        <v>1319.6</v>
      </c>
      <c r="F734" s="39">
        <v>1319.6</v>
      </c>
    </row>
    <row r="735" spans="1:6" s="32" customFormat="1" ht="14.25">
      <c r="A735" s="80" t="s">
        <v>51</v>
      </c>
      <c r="B735" s="21"/>
      <c r="C735" s="22" t="s">
        <v>36</v>
      </c>
      <c r="D735" s="41">
        <f>SUM(D736:D737)</f>
        <v>2480.3000000000002</v>
      </c>
      <c r="E735" s="41">
        <f>SUM(E736:E737)</f>
        <v>2558.3000000000002</v>
      </c>
      <c r="F735" s="41">
        <f>SUM(F736:F737)</f>
        <v>2558.3000000000002</v>
      </c>
    </row>
    <row r="736" spans="1:6" s="32" customFormat="1" ht="25.5">
      <c r="A736" s="80" t="s">
        <v>51</v>
      </c>
      <c r="B736" s="16" t="s">
        <v>105</v>
      </c>
      <c r="C736" s="55" t="s">
        <v>106</v>
      </c>
      <c r="D736" s="39">
        <f>2455.5-78</f>
        <v>2377.5</v>
      </c>
      <c r="E736" s="39">
        <v>2455.5</v>
      </c>
      <c r="F736" s="39">
        <v>2455.5</v>
      </c>
    </row>
    <row r="737" spans="1:6" s="32" customFormat="1" ht="38.25">
      <c r="A737" s="80" t="s">
        <v>51</v>
      </c>
      <c r="B737" s="85" t="s">
        <v>325</v>
      </c>
      <c r="C737" s="103" t="s">
        <v>326</v>
      </c>
      <c r="D737" s="39">
        <f>98.8+4</f>
        <v>102.8</v>
      </c>
      <c r="E737" s="39">
        <f t="shared" ref="E737:F737" si="352">98.8+4</f>
        <v>102.8</v>
      </c>
      <c r="F737" s="39">
        <f t="shared" si="352"/>
        <v>102.8</v>
      </c>
    </row>
    <row r="738" spans="1:6" s="32" customFormat="1" ht="25.5">
      <c r="A738" s="80" t="s">
        <v>52</v>
      </c>
      <c r="B738" s="21"/>
      <c r="C738" s="153" t="s">
        <v>302</v>
      </c>
      <c r="D738" s="41">
        <f>D739+D740</f>
        <v>1421.1</v>
      </c>
      <c r="E738" s="41">
        <f>E739+E740</f>
        <v>1421.1</v>
      </c>
      <c r="F738" s="41">
        <f>F739+F740</f>
        <v>1421.1</v>
      </c>
    </row>
    <row r="739" spans="1:6" s="32" customFormat="1" ht="25.5">
      <c r="A739" s="80" t="s">
        <v>52</v>
      </c>
      <c r="B739" s="16" t="s">
        <v>105</v>
      </c>
      <c r="C739" s="153" t="s">
        <v>130</v>
      </c>
      <c r="D739" s="39">
        <v>1417.6</v>
      </c>
      <c r="E739" s="39">
        <v>1417.6</v>
      </c>
      <c r="F739" s="39">
        <v>1417.6</v>
      </c>
    </row>
    <row r="740" spans="1:6" s="32" customFormat="1" ht="38.25">
      <c r="A740" s="80" t="s">
        <v>52</v>
      </c>
      <c r="B740" s="85" t="s">
        <v>325</v>
      </c>
      <c r="C740" s="103" t="s">
        <v>326</v>
      </c>
      <c r="D740" s="39">
        <v>3.5</v>
      </c>
      <c r="E740" s="39">
        <v>3.5</v>
      </c>
      <c r="F740" s="39">
        <v>3.5</v>
      </c>
    </row>
  </sheetData>
  <mergeCells count="7">
    <mergeCell ref="A16:F16"/>
    <mergeCell ref="B19:B21"/>
    <mergeCell ref="A19:A21"/>
    <mergeCell ref="C19:C21"/>
    <mergeCell ref="D19:F19"/>
    <mergeCell ref="D20:D21"/>
    <mergeCell ref="E20:F20"/>
  </mergeCells>
  <phoneticPr fontId="2" type="noConversion"/>
  <pageMargins left="0.70866141732283472" right="0.70866141732283472" top="0.74803149606299213" bottom="0.74803149606299213" header="0.31496062992125984" footer="0.31496062992125984"/>
  <pageSetup paperSize="9" fitToHeight="0" orientation="portrait" r:id="rId1"/>
  <headerFooter alignWithMargins="0">
    <oddFooter>&amp;R&amp;P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K30"/>
  <sheetViews>
    <sheetView tabSelected="1" view="pageBreakPreview" zoomScale="60" zoomScaleNormal="100" workbookViewId="0">
      <selection activeCell="H5" sqref="H5"/>
    </sheetView>
  </sheetViews>
  <sheetFormatPr defaultRowHeight="12.75"/>
  <cols>
    <col min="1" max="1" width="14.5703125" style="95" customWidth="1"/>
    <col min="2" max="2" width="2.7109375" style="95" customWidth="1"/>
    <col min="3" max="3" width="9" style="95" customWidth="1"/>
    <col min="4" max="4" width="9.85546875" style="95" customWidth="1"/>
    <col min="5" max="5" width="4" style="95" customWidth="1"/>
    <col min="6" max="6" width="13.42578125" style="95" customWidth="1"/>
    <col min="7" max="7" width="5" style="95" customWidth="1"/>
    <col min="8" max="8" width="10.85546875" style="95" customWidth="1"/>
    <col min="9" max="9" width="6.5703125" style="95" customWidth="1"/>
    <col min="10" max="10" width="6.7109375" style="95" customWidth="1"/>
    <col min="11" max="11" width="6.5703125" style="95" customWidth="1"/>
    <col min="12" max="16384" width="9.140625" style="95"/>
  </cols>
  <sheetData>
    <row r="1" spans="1:11">
      <c r="B1" s="202" t="s">
        <v>288</v>
      </c>
    </row>
    <row r="2" spans="1:11">
      <c r="B2" s="202" t="s">
        <v>196</v>
      </c>
    </row>
    <row r="3" spans="1:11">
      <c r="B3" s="202" t="s">
        <v>826</v>
      </c>
      <c r="H3" s="95" t="s">
        <v>1005</v>
      </c>
    </row>
    <row r="4" spans="1:11">
      <c r="B4" s="202" t="s">
        <v>773</v>
      </c>
    </row>
    <row r="5" spans="1:11">
      <c r="B5" s="202" t="s">
        <v>774</v>
      </c>
    </row>
    <row r="6" spans="1:11">
      <c r="B6" s="202" t="s">
        <v>200</v>
      </c>
    </row>
    <row r="7" spans="1:11">
      <c r="B7" s="202" t="s">
        <v>711</v>
      </c>
    </row>
    <row r="10" spans="1:11">
      <c r="B10" s="202" t="s">
        <v>974</v>
      </c>
      <c r="C10" s="203"/>
      <c r="D10" s="203"/>
      <c r="E10" s="203"/>
      <c r="F10" s="203"/>
      <c r="G10" s="203"/>
      <c r="H10" s="203"/>
      <c r="I10" s="203"/>
    </row>
    <row r="11" spans="1:11">
      <c r="B11" s="202" t="s">
        <v>975</v>
      </c>
      <c r="C11" s="202"/>
      <c r="D11" s="202"/>
      <c r="E11" s="202"/>
      <c r="F11" s="202"/>
      <c r="G11" s="202"/>
      <c r="H11" s="202"/>
      <c r="I11" s="202"/>
    </row>
    <row r="12" spans="1:11">
      <c r="B12" s="202" t="s">
        <v>999</v>
      </c>
      <c r="C12" s="202"/>
      <c r="D12" s="202"/>
      <c r="E12" s="202"/>
      <c r="F12" s="202"/>
      <c r="G12" s="202"/>
      <c r="H12" s="202"/>
      <c r="I12" s="202"/>
    </row>
    <row r="13" spans="1:11">
      <c r="B13" s="202" t="s">
        <v>976</v>
      </c>
      <c r="C13" s="202"/>
      <c r="D13" s="203"/>
      <c r="E13" s="203"/>
      <c r="F13" s="203"/>
      <c r="G13" s="203"/>
      <c r="H13" s="203"/>
      <c r="I13" s="203"/>
    </row>
    <row r="14" spans="1:11">
      <c r="B14" s="202" t="s">
        <v>977</v>
      </c>
      <c r="C14" s="200"/>
      <c r="D14" s="200"/>
      <c r="E14" s="200"/>
      <c r="F14" s="200"/>
      <c r="G14" s="200"/>
      <c r="H14" s="200"/>
      <c r="I14" s="200"/>
      <c r="J14" s="200"/>
      <c r="K14" s="200"/>
    </row>
    <row r="15" spans="1:11">
      <c r="D15" s="7"/>
    </row>
    <row r="16" spans="1:11" ht="44.25" customHeight="1">
      <c r="A16" s="216" t="s">
        <v>978</v>
      </c>
      <c r="B16" s="216"/>
      <c r="C16" s="216"/>
      <c r="D16" s="216"/>
      <c r="E16" s="218"/>
      <c r="F16" s="218"/>
      <c r="G16" s="218"/>
      <c r="H16" s="218"/>
      <c r="I16" s="218"/>
      <c r="J16" s="218"/>
      <c r="K16" s="218"/>
    </row>
    <row r="17" spans="1:11" ht="18">
      <c r="A17" s="204"/>
      <c r="B17" s="199"/>
      <c r="C17" s="199"/>
      <c r="D17" s="199"/>
    </row>
    <row r="18" spans="1:11" ht="18">
      <c r="C18" s="205"/>
    </row>
    <row r="19" spans="1:11" ht="12.75" customHeight="1">
      <c r="A19" s="222" t="s">
        <v>979</v>
      </c>
      <c r="B19" s="222" t="s">
        <v>980</v>
      </c>
      <c r="C19" s="239" t="s">
        <v>981</v>
      </c>
      <c r="D19" s="243"/>
      <c r="E19" s="244"/>
      <c r="F19" s="215" t="s">
        <v>982</v>
      </c>
      <c r="G19" s="247" t="s">
        <v>983</v>
      </c>
      <c r="H19" s="248"/>
      <c r="I19" s="228" t="s">
        <v>35</v>
      </c>
      <c r="J19" s="215"/>
      <c r="K19" s="215"/>
    </row>
    <row r="20" spans="1:11">
      <c r="A20" s="223"/>
      <c r="B20" s="223"/>
      <c r="C20" s="240"/>
      <c r="D20" s="245"/>
      <c r="E20" s="246"/>
      <c r="F20" s="215"/>
      <c r="G20" s="249"/>
      <c r="H20" s="250"/>
      <c r="I20" s="232" t="s">
        <v>525</v>
      </c>
      <c r="J20" s="215" t="s">
        <v>197</v>
      </c>
      <c r="K20" s="215"/>
    </row>
    <row r="21" spans="1:11" ht="38.25">
      <c r="A21" s="224"/>
      <c r="B21" s="242"/>
      <c r="C21" s="197" t="s">
        <v>984</v>
      </c>
      <c r="D21" s="206" t="s">
        <v>985</v>
      </c>
      <c r="E21" s="198" t="s">
        <v>986</v>
      </c>
      <c r="F21" s="215"/>
      <c r="G21" s="158" t="s">
        <v>987</v>
      </c>
      <c r="H21" s="158" t="s">
        <v>988</v>
      </c>
      <c r="I21" s="234"/>
      <c r="J21" s="196" t="s">
        <v>642</v>
      </c>
      <c r="K21" s="196" t="s">
        <v>713</v>
      </c>
    </row>
    <row r="22" spans="1:11">
      <c r="A22" s="215" t="s">
        <v>989</v>
      </c>
      <c r="B22" s="215"/>
      <c r="C22" s="215"/>
      <c r="D22" s="215"/>
      <c r="E22" s="215"/>
      <c r="F22" s="215"/>
      <c r="G22" s="215"/>
      <c r="H22" s="215"/>
      <c r="I22" s="215"/>
      <c r="J22" s="215"/>
      <c r="K22" s="215"/>
    </row>
    <row r="23" spans="1:11" ht="246" customHeight="1">
      <c r="A23" s="102" t="s">
        <v>990</v>
      </c>
      <c r="B23" s="85" t="s">
        <v>140</v>
      </c>
      <c r="C23" s="105" t="s">
        <v>991</v>
      </c>
      <c r="D23" s="207">
        <v>40899</v>
      </c>
      <c r="E23" s="196" t="s">
        <v>992</v>
      </c>
      <c r="F23" s="196" t="s">
        <v>993</v>
      </c>
      <c r="G23" s="158" t="s">
        <v>994</v>
      </c>
      <c r="H23" s="80">
        <v>110210560</v>
      </c>
      <c r="I23" s="39">
        <v>1116</v>
      </c>
      <c r="J23" s="39">
        <v>1116</v>
      </c>
      <c r="K23" s="39">
        <v>1116</v>
      </c>
    </row>
    <row r="24" spans="1:11">
      <c r="A24" s="215" t="s">
        <v>995</v>
      </c>
      <c r="B24" s="215"/>
      <c r="C24" s="215"/>
      <c r="D24" s="215"/>
      <c r="E24" s="215"/>
      <c r="F24" s="215"/>
      <c r="G24" s="215"/>
      <c r="H24" s="215"/>
      <c r="I24" s="215"/>
      <c r="J24" s="215"/>
      <c r="K24" s="215"/>
    </row>
    <row r="25" spans="1:11" ht="140.25">
      <c r="A25" s="22" t="s">
        <v>656</v>
      </c>
      <c r="B25" s="84" t="s">
        <v>141</v>
      </c>
      <c r="C25" s="102" t="s">
        <v>996</v>
      </c>
      <c r="D25" s="207">
        <v>42723</v>
      </c>
      <c r="E25" s="158">
        <v>115</v>
      </c>
      <c r="F25" s="196" t="s">
        <v>997</v>
      </c>
      <c r="G25" s="158" t="s">
        <v>998</v>
      </c>
      <c r="H25" s="80" t="s">
        <v>220</v>
      </c>
      <c r="I25" s="39">
        <f>2892.2-132.5</f>
        <v>2759.7</v>
      </c>
      <c r="J25" s="39">
        <v>2892.2</v>
      </c>
      <c r="K25" s="39">
        <v>2892.2</v>
      </c>
    </row>
    <row r="26" spans="1:11">
      <c r="A26" s="208"/>
      <c r="B26" s="209"/>
      <c r="C26" s="210"/>
      <c r="D26" s="211"/>
    </row>
    <row r="27" spans="1:11">
      <c r="A27" s="208"/>
      <c r="B27" s="209"/>
      <c r="C27" s="210"/>
      <c r="D27" s="211"/>
    </row>
    <row r="28" spans="1:11">
      <c r="A28" s="208"/>
      <c r="B28" s="209"/>
      <c r="C28" s="210"/>
      <c r="D28" s="211"/>
    </row>
    <row r="29" spans="1:11">
      <c r="A29" s="212"/>
      <c r="B29" s="212"/>
      <c r="C29" s="54"/>
      <c r="D29" s="213"/>
    </row>
    <row r="30" spans="1:11" ht="14.25">
      <c r="A30" s="19"/>
    </row>
  </sheetData>
  <mergeCells count="11">
    <mergeCell ref="A22:K22"/>
    <mergeCell ref="A24:K24"/>
    <mergeCell ref="A16:K16"/>
    <mergeCell ref="A19:A21"/>
    <mergeCell ref="B19:B21"/>
    <mergeCell ref="C19:E20"/>
    <mergeCell ref="F19:F21"/>
    <mergeCell ref="G19:H20"/>
    <mergeCell ref="I19:K19"/>
    <mergeCell ref="I20:I21"/>
    <mergeCell ref="J20:K2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прил.1</vt:lpstr>
      <vt:lpstr>прил.3</vt:lpstr>
      <vt:lpstr>прил.4</vt:lpstr>
      <vt:lpstr>прил.5</vt:lpstr>
      <vt:lpstr>прил.6</vt:lpstr>
      <vt:lpstr>прил.7</vt:lpstr>
    </vt:vector>
  </TitlesOfParts>
  <Company>***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</dc:creator>
  <cp:lastModifiedBy>Ivanova V</cp:lastModifiedBy>
  <cp:lastPrinted>2021-10-22T07:06:08Z</cp:lastPrinted>
  <dcterms:created xsi:type="dcterms:W3CDTF">2007-02-27T13:35:41Z</dcterms:created>
  <dcterms:modified xsi:type="dcterms:W3CDTF">2021-10-22T07:07:01Z</dcterms:modified>
</cp:coreProperties>
</file>