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L:\Удомельская городская Дума\Комарова\От Кочетковой Т.И\Исполнение за 2022 год\"/>
    </mc:Choice>
  </mc:AlternateContent>
  <bookViews>
    <workbookView xWindow="0" yWindow="0" windowWidth="22932" windowHeight="9264" activeTab="2"/>
  </bookViews>
  <sheets>
    <sheet name="прил.1" sheetId="62" r:id="rId1"/>
    <sheet name="прил.3" sheetId="1" r:id="rId2"/>
    <sheet name="прил.4" sheetId="61" r:id="rId3"/>
    <sheet name="прил.5" sheetId="65" r:id="rId4"/>
    <sheet name="прил.6" sheetId="3" r:id="rId5"/>
    <sheet name="прил.7" sheetId="64" r:id="rId6"/>
    <sheet name="прил.8" sheetId="66" r:id="rId7"/>
  </sheets>
  <calcPr calcId="152511"/>
</workbook>
</file>

<file path=xl/calcChain.xml><?xml version="1.0" encoding="utf-8"?>
<calcChain xmlns="http://schemas.openxmlformats.org/spreadsheetml/2006/main">
  <c r="F33" i="1" l="1"/>
  <c r="G37" i="1"/>
  <c r="G548" i="61" l="1"/>
  <c r="E582" i="3"/>
  <c r="E574" i="3"/>
  <c r="G562" i="61"/>
  <c r="I697" i="65"/>
  <c r="E187" i="3"/>
  <c r="E172" i="3"/>
  <c r="E170" i="3"/>
  <c r="I687" i="65"/>
  <c r="G554" i="61"/>
  <c r="I685" i="65"/>
  <c r="G552" i="61"/>
  <c r="E155" i="3"/>
  <c r="E154" i="3" s="1"/>
  <c r="E156" i="3"/>
  <c r="G549" i="61"/>
  <c r="G550" i="61"/>
  <c r="I681" i="65"/>
  <c r="I680" i="65" s="1"/>
  <c r="I682" i="65"/>
  <c r="E273" i="3"/>
  <c r="E271" i="3"/>
  <c r="I435" i="65"/>
  <c r="I437" i="65"/>
  <c r="I434" i="65"/>
  <c r="I436" i="65"/>
  <c r="I438" i="65"/>
  <c r="I440" i="65"/>
  <c r="I441" i="65"/>
  <c r="I443" i="65"/>
  <c r="G639" i="61"/>
  <c r="G641" i="61"/>
  <c r="G589" i="61"/>
  <c r="G588" i="61" s="1"/>
  <c r="G587" i="61" s="1"/>
  <c r="G586" i="61" s="1"/>
  <c r="G608" i="61"/>
  <c r="G607" i="61" s="1"/>
  <c r="G606" i="61" s="1"/>
  <c r="G605" i="61" s="1"/>
  <c r="G619" i="61"/>
  <c r="G617" i="61"/>
  <c r="E464" i="3"/>
  <c r="E462" i="3"/>
  <c r="E472" i="3"/>
  <c r="I408" i="65"/>
  <c r="G600" i="61"/>
  <c r="E285" i="3"/>
  <c r="E284" i="3"/>
  <c r="E283" i="3" s="1"/>
  <c r="G365" i="61"/>
  <c r="G364" i="61"/>
  <c r="G363" i="61"/>
  <c r="I393" i="65"/>
  <c r="I335" i="65"/>
  <c r="I334" i="65" s="1"/>
  <c r="G326" i="61"/>
  <c r="G347" i="61"/>
  <c r="I374" i="65"/>
  <c r="E531" i="3"/>
  <c r="E490" i="3"/>
  <c r="E488" i="3"/>
  <c r="I348" i="65"/>
  <c r="I346" i="65"/>
  <c r="H316" i="61"/>
  <c r="H317" i="61"/>
  <c r="H318" i="61"/>
  <c r="E480" i="3"/>
  <c r="I338" i="65"/>
  <c r="G313" i="61"/>
  <c r="G305" i="61"/>
  <c r="G300" i="61"/>
  <c r="G293" i="61"/>
  <c r="G290" i="61"/>
  <c r="G279" i="61"/>
  <c r="G280" i="61"/>
  <c r="G274" i="61"/>
  <c r="G273" i="61" s="1"/>
  <c r="G272" i="61" s="1"/>
  <c r="I303" i="65"/>
  <c r="F424" i="3"/>
  <c r="E423" i="3"/>
  <c r="G284" i="61"/>
  <c r="E318" i="3"/>
  <c r="E316" i="3"/>
  <c r="I294" i="65"/>
  <c r="I292" i="65"/>
  <c r="G259" i="61"/>
  <c r="J275" i="65"/>
  <c r="I274" i="65"/>
  <c r="E248" i="3"/>
  <c r="E249" i="3"/>
  <c r="E17" i="3"/>
  <c r="E16" i="3" s="1"/>
  <c r="E546" i="3"/>
  <c r="E544" i="3"/>
  <c r="E292" i="3"/>
  <c r="E291" i="3" s="1"/>
  <c r="E290" i="3" s="1"/>
  <c r="I249" i="65"/>
  <c r="I245" i="65" s="1"/>
  <c r="I242" i="65"/>
  <c r="I238" i="65" s="1"/>
  <c r="I230" i="65"/>
  <c r="I231" i="65"/>
  <c r="E297" i="3"/>
  <c r="I256" i="65"/>
  <c r="G245" i="61"/>
  <c r="G237" i="61"/>
  <c r="G239" i="61"/>
  <c r="I250" i="65"/>
  <c r="I247" i="65"/>
  <c r="J237" i="65"/>
  <c r="I236" i="65"/>
  <c r="G278" i="61" l="1"/>
  <c r="F16" i="3"/>
  <c r="I229" i="65"/>
  <c r="I228" i="65" s="1"/>
  <c r="E267" i="3"/>
  <c r="I221" i="65"/>
  <c r="E243" i="3"/>
  <c r="E242" i="3" s="1"/>
  <c r="E240" i="3"/>
  <c r="E239" i="3" s="1"/>
  <c r="G195" i="61"/>
  <c r="G194" i="61" s="1"/>
  <c r="G199" i="61"/>
  <c r="I201" i="65"/>
  <c r="E244" i="3"/>
  <c r="E554" i="3"/>
  <c r="E552" i="3"/>
  <c r="E551" i="3" s="1"/>
  <c r="E549" i="3"/>
  <c r="E548" i="3" s="1"/>
  <c r="I191" i="65"/>
  <c r="I189" i="65"/>
  <c r="I188" i="65" s="1"/>
  <c r="I186" i="65"/>
  <c r="I185" i="65" s="1"/>
  <c r="F354" i="3"/>
  <c r="E353" i="3"/>
  <c r="E375" i="3"/>
  <c r="E373" i="3"/>
  <c r="E371" i="3"/>
  <c r="I142" i="65"/>
  <c r="I140" i="65"/>
  <c r="I138" i="65"/>
  <c r="E381" i="3"/>
  <c r="I611" i="65"/>
  <c r="G132" i="61"/>
  <c r="I117" i="65"/>
  <c r="I116" i="65" s="1"/>
  <c r="I99" i="65"/>
  <c r="I100" i="65"/>
  <c r="G102" i="61"/>
  <c r="E402" i="3"/>
  <c r="I108" i="65"/>
  <c r="G110" i="61"/>
  <c r="G111" i="61"/>
  <c r="E600" i="3"/>
  <c r="G48" i="61"/>
  <c r="G47" i="61" s="1"/>
  <c r="G46" i="61" s="1"/>
  <c r="G45" i="61" s="1"/>
  <c r="I85" i="65"/>
  <c r="I82" i="65"/>
  <c r="I73" i="65"/>
  <c r="I72" i="65" s="1"/>
  <c r="I58" i="65"/>
  <c r="I57" i="65" s="1"/>
  <c r="I40" i="65"/>
  <c r="I39" i="65" s="1"/>
  <c r="I38" i="65" s="1"/>
  <c r="I33" i="65"/>
  <c r="I34" i="65"/>
  <c r="I65" i="65"/>
  <c r="F232" i="3"/>
  <c r="F233" i="3"/>
  <c r="F234" i="3"/>
  <c r="F235" i="3"/>
  <c r="E232" i="3"/>
  <c r="E231" i="3"/>
  <c r="I64" i="65"/>
  <c r="G69" i="61"/>
  <c r="G67" i="61"/>
  <c r="I62" i="65"/>
  <c r="E229" i="3"/>
  <c r="E611" i="3"/>
  <c r="I30" i="65"/>
  <c r="G55" i="61"/>
  <c r="E602" i="3"/>
  <c r="E601" i="3"/>
  <c r="E238" i="3" l="1"/>
  <c r="I184" i="65"/>
  <c r="I98" i="65"/>
  <c r="I97" i="65" s="1"/>
  <c r="I81" i="65"/>
  <c r="I71" i="65" s="1"/>
  <c r="E115" i="3"/>
  <c r="E113" i="3"/>
  <c r="I566" i="65"/>
  <c r="G515" i="61"/>
  <c r="E69" i="3"/>
  <c r="E68" i="3"/>
  <c r="I562" i="65"/>
  <c r="I561" i="65"/>
  <c r="G511" i="61"/>
  <c r="G512" i="61"/>
  <c r="E391" i="3"/>
  <c r="E387" i="3"/>
  <c r="I663" i="65"/>
  <c r="I659" i="65"/>
  <c r="G500" i="61"/>
  <c r="G503" i="61"/>
  <c r="G475" i="61"/>
  <c r="G474" i="61" s="1"/>
  <c r="G473" i="61" s="1"/>
  <c r="E207" i="3"/>
  <c r="I642" i="65"/>
  <c r="H642" i="65"/>
  <c r="G485" i="61"/>
  <c r="E72" i="3" l="1"/>
  <c r="E70" i="3"/>
  <c r="G477" i="61"/>
  <c r="I553" i="65"/>
  <c r="G466" i="61" l="1"/>
  <c r="G465" i="61" s="1"/>
  <c r="G464" i="61" s="1"/>
  <c r="E167" i="3"/>
  <c r="E165" i="3"/>
  <c r="E163" i="3"/>
  <c r="E161" i="3"/>
  <c r="E159" i="3"/>
  <c r="I626" i="65"/>
  <c r="I624" i="65"/>
  <c r="I622" i="65"/>
  <c r="I620" i="65"/>
  <c r="I618" i="65"/>
  <c r="G451" i="61"/>
  <c r="G450" i="61" s="1"/>
  <c r="G453" i="61"/>
  <c r="G452" i="61" s="1"/>
  <c r="G455" i="61"/>
  <c r="G454" i="61" s="1"/>
  <c r="G457" i="61"/>
  <c r="G456" i="61" s="1"/>
  <c r="G459" i="61"/>
  <c r="G458" i="61" s="1"/>
  <c r="G460" i="61"/>
  <c r="G462" i="61"/>
  <c r="I534" i="65"/>
  <c r="I525" i="65"/>
  <c r="I506" i="65" s="1"/>
  <c r="I505" i="65" s="1"/>
  <c r="I494" i="65"/>
  <c r="I487" i="65"/>
  <c r="I467" i="65"/>
  <c r="I449" i="65"/>
  <c r="I448" i="65" s="1"/>
  <c r="I447" i="65" s="1"/>
  <c r="I450" i="65"/>
  <c r="E101" i="3"/>
  <c r="E83" i="3"/>
  <c r="E82" i="3" s="1"/>
  <c r="G421" i="61"/>
  <c r="G420" i="61" s="1"/>
  <c r="G419" i="61" s="1"/>
  <c r="E109" i="3"/>
  <c r="E108" i="3" s="1"/>
  <c r="E106" i="3"/>
  <c r="E104" i="3"/>
  <c r="E102" i="3"/>
  <c r="I533" i="65"/>
  <c r="I532" i="65" s="1"/>
  <c r="I530" i="65"/>
  <c r="I528" i="65"/>
  <c r="I526" i="65"/>
  <c r="E98" i="3"/>
  <c r="I522" i="65"/>
  <c r="I521" i="65" s="1"/>
  <c r="I523" i="65"/>
  <c r="G444" i="61"/>
  <c r="G434" i="61"/>
  <c r="G432" i="61"/>
  <c r="I519" i="65"/>
  <c r="E95" i="3"/>
  <c r="E91" i="3"/>
  <c r="I515" i="65"/>
  <c r="G428" i="61"/>
  <c r="G424" i="61"/>
  <c r="I511" i="65"/>
  <c r="E87" i="3"/>
  <c r="E85" i="3"/>
  <c r="I509" i="65"/>
  <c r="G422" i="61"/>
  <c r="G430" i="61"/>
  <c r="I517" i="65"/>
  <c r="E93" i="3"/>
  <c r="E89" i="3"/>
  <c r="I513" i="65"/>
  <c r="G426" i="61"/>
  <c r="E52" i="3"/>
  <c r="I482" i="65"/>
  <c r="G399" i="61"/>
  <c r="G397" i="61"/>
  <c r="I480" i="65"/>
  <c r="E50" i="3"/>
  <c r="G395" i="61"/>
  <c r="I477" i="65"/>
  <c r="E47" i="3"/>
  <c r="G389" i="61"/>
  <c r="I471" i="65"/>
  <c r="E41" i="3"/>
  <c r="E45" i="3"/>
  <c r="I475" i="65"/>
  <c r="G393" i="61"/>
  <c r="E39" i="3"/>
  <c r="I469" i="65"/>
  <c r="G387" i="61"/>
  <c r="G374" i="61"/>
  <c r="I454" i="65"/>
  <c r="E20" i="3"/>
  <c r="E22" i="3"/>
  <c r="E26" i="3"/>
  <c r="E25" i="3"/>
  <c r="E24" i="3"/>
  <c r="E23" i="3"/>
  <c r="I458" i="65"/>
  <c r="I457" i="65" s="1"/>
  <c r="I456" i="65"/>
  <c r="I455" i="65"/>
  <c r="G378" i="61"/>
  <c r="G376" i="61"/>
  <c r="I452" i="65"/>
  <c r="G372" i="61"/>
  <c r="E580" i="3"/>
  <c r="I751" i="65"/>
  <c r="G449" i="61" l="1"/>
  <c r="G448" i="61" s="1"/>
  <c r="G418" i="61" s="1"/>
  <c r="I433" i="65"/>
  <c r="I466" i="65"/>
  <c r="I465" i="65" s="1"/>
  <c r="I464" i="65" s="1"/>
  <c r="F29" i="66"/>
  <c r="E29" i="66"/>
  <c r="E485" i="3" l="1"/>
  <c r="D485" i="3"/>
  <c r="E609" i="3"/>
  <c r="E606" i="3"/>
  <c r="E604" i="3"/>
  <c r="E599" i="3"/>
  <c r="E597" i="3"/>
  <c r="E591" i="3"/>
  <c r="E588" i="3"/>
  <c r="E584" i="3"/>
  <c r="E581" i="3"/>
  <c r="E579" i="3"/>
  <c r="E575" i="3"/>
  <c r="F574" i="3"/>
  <c r="F576" i="3"/>
  <c r="F577" i="3"/>
  <c r="F578" i="3"/>
  <c r="E573" i="3"/>
  <c r="F573" i="3" s="1"/>
  <c r="E569" i="3"/>
  <c r="E567" i="3"/>
  <c r="E564" i="3"/>
  <c r="E561" i="3"/>
  <c r="E558" i="3"/>
  <c r="E557" i="3" s="1"/>
  <c r="F555" i="3"/>
  <c r="F545" i="3"/>
  <c r="F548" i="3"/>
  <c r="D548" i="3"/>
  <c r="E543" i="3"/>
  <c r="E542" i="3" s="1"/>
  <c r="E540" i="3"/>
  <c r="E539" i="3" s="1"/>
  <c r="E534" i="3"/>
  <c r="E522" i="3"/>
  <c r="E520" i="3"/>
  <c r="E516" i="3"/>
  <c r="E514" i="3"/>
  <c r="E510" i="3"/>
  <c r="E512" i="3"/>
  <c r="E503" i="3"/>
  <c r="E501" i="3"/>
  <c r="E497" i="3"/>
  <c r="E492" i="3"/>
  <c r="E483" i="3"/>
  <c r="E481" i="3"/>
  <c r="E479" i="3"/>
  <c r="E474" i="3"/>
  <c r="E473" i="3" s="1"/>
  <c r="E471" i="3"/>
  <c r="E470" i="3" s="1"/>
  <c r="E467" i="3"/>
  <c r="E466" i="3" s="1"/>
  <c r="E459" i="3"/>
  <c r="E457" i="3"/>
  <c r="E452" i="3"/>
  <c r="E449" i="3"/>
  <c r="E446" i="3"/>
  <c r="E444" i="3"/>
  <c r="E440" i="3"/>
  <c r="E438" i="3"/>
  <c r="E436" i="3"/>
  <c r="E432" i="3"/>
  <c r="E431" i="3" s="1"/>
  <c r="E430" i="3" s="1"/>
  <c r="E428" i="3"/>
  <c r="E427" i="3" s="1"/>
  <c r="E421" i="3"/>
  <c r="E419" i="3"/>
  <c r="E414" i="3"/>
  <c r="E412" i="3"/>
  <c r="E408" i="3"/>
  <c r="E406" i="3"/>
  <c r="E401" i="3"/>
  <c r="E400" i="3" s="1"/>
  <c r="E399" i="3" s="1"/>
  <c r="E397" i="3"/>
  <c r="F396" i="3"/>
  <c r="E395" i="3"/>
  <c r="E390" i="3"/>
  <c r="E389" i="3" s="1"/>
  <c r="E388" i="3" s="1"/>
  <c r="E386" i="3"/>
  <c r="E384" i="3"/>
  <c r="E383" i="3" s="1"/>
  <c r="E382" i="3" s="1"/>
  <c r="E380" i="3"/>
  <c r="E379" i="3" s="1"/>
  <c r="E378" i="3" s="1"/>
  <c r="F372" i="3"/>
  <c r="E367" i="3"/>
  <c r="E365" i="3"/>
  <c r="E363" i="3"/>
  <c r="E361" i="3"/>
  <c r="E359" i="3"/>
  <c r="E357" i="3"/>
  <c r="E355" i="3"/>
  <c r="E351" i="3"/>
  <c r="E349" i="3"/>
  <c r="E344" i="3"/>
  <c r="E343" i="3" s="1"/>
  <c r="E339" i="3"/>
  <c r="E338" i="3" s="1"/>
  <c r="E336" i="3"/>
  <c r="E335" i="3" s="1"/>
  <c r="E332" i="3"/>
  <c r="E330" i="3"/>
  <c r="E326" i="3"/>
  <c r="E325" i="3" s="1"/>
  <c r="E323" i="3"/>
  <c r="E322" i="3" s="1"/>
  <c r="E311" i="3"/>
  <c r="E310" i="3" s="1"/>
  <c r="E308" i="3"/>
  <c r="E307" i="3" s="1"/>
  <c r="E301" i="3"/>
  <c r="E300" i="3" s="1"/>
  <c r="E293" i="3"/>
  <c r="E266" i="3"/>
  <c r="E258" i="3"/>
  <c r="E279" i="3"/>
  <c r="E277" i="3"/>
  <c r="E274" i="3"/>
  <c r="E272" i="3"/>
  <c r="E270" i="3"/>
  <c r="E269" i="3" s="1"/>
  <c r="E264" i="3"/>
  <c r="E262" i="3"/>
  <c r="E260" i="3"/>
  <c r="E253" i="3"/>
  <c r="E250" i="3"/>
  <c r="E245" i="3"/>
  <c r="E230" i="3"/>
  <c r="E228" i="3"/>
  <c r="E225" i="3"/>
  <c r="E224" i="3" s="1"/>
  <c r="E219" i="3"/>
  <c r="E218" i="3" s="1"/>
  <c r="F217" i="3"/>
  <c r="E216" i="3"/>
  <c r="E215" i="3" s="1"/>
  <c r="E478" i="3" l="1"/>
  <c r="E603" i="3"/>
  <c r="E583" i="3"/>
  <c r="E560" i="3"/>
  <c r="E538" i="3"/>
  <c r="E487" i="3"/>
  <c r="E469" i="3"/>
  <c r="E461" i="3"/>
  <c r="E456" i="3"/>
  <c r="E448" i="3"/>
  <c r="E370" i="3"/>
  <c r="E443" i="3"/>
  <c r="E435" i="3"/>
  <c r="E434" i="3" s="1"/>
  <c r="E405" i="3"/>
  <c r="E411" i="3"/>
  <c r="E410" i="3" s="1"/>
  <c r="E393" i="3"/>
  <c r="E394" i="3"/>
  <c r="E348" i="3"/>
  <c r="E347" i="3" s="1"/>
  <c r="E341" i="3"/>
  <c r="E342" i="3"/>
  <c r="E334" i="3"/>
  <c r="E329" i="3"/>
  <c r="E328" i="3" s="1"/>
  <c r="E276" i="3"/>
  <c r="E268" i="3" s="1"/>
  <c r="E321" i="3"/>
  <c r="E315" i="3"/>
  <c r="E314" i="3" s="1"/>
  <c r="E313" i="3" s="1"/>
  <c r="E306" i="3"/>
  <c r="E282" i="3"/>
  <c r="E257" i="3"/>
  <c r="E213" i="3"/>
  <c r="E212" i="3" s="1"/>
  <c r="E210" i="3"/>
  <c r="E208" i="3"/>
  <c r="E206" i="3"/>
  <c r="E204" i="3"/>
  <c r="E200" i="3"/>
  <c r="E197" i="3"/>
  <c r="E191" i="3"/>
  <c r="E189" i="3"/>
  <c r="E186" i="3"/>
  <c r="E185" i="3" s="1"/>
  <c r="E183" i="3"/>
  <c r="E182" i="3" s="1"/>
  <c r="E180" i="3"/>
  <c r="E178" i="3"/>
  <c r="E175" i="3"/>
  <c r="E173" i="3"/>
  <c r="E171" i="3"/>
  <c r="E169" i="3"/>
  <c r="E166" i="3"/>
  <c r="E164" i="3"/>
  <c r="E162" i="3"/>
  <c r="E160" i="3"/>
  <c r="E158" i="3"/>
  <c r="E151" i="3"/>
  <c r="E149" i="3"/>
  <c r="E146" i="3"/>
  <c r="E139" i="3"/>
  <c r="E138" i="3" s="1"/>
  <c r="E136" i="3"/>
  <c r="E135" i="3" s="1"/>
  <c r="E133" i="3"/>
  <c r="E131" i="3"/>
  <c r="E128" i="3"/>
  <c r="E126" i="3"/>
  <c r="E123" i="3"/>
  <c r="E121" i="3"/>
  <c r="F117" i="3"/>
  <c r="E119" i="3"/>
  <c r="E116" i="3"/>
  <c r="E114" i="3"/>
  <c r="E112" i="3"/>
  <c r="E99" i="3"/>
  <c r="E97" i="3"/>
  <c r="E94" i="3"/>
  <c r="E92" i="3"/>
  <c r="E90" i="3"/>
  <c r="E88" i="3"/>
  <c r="E86" i="3"/>
  <c r="E84" i="3"/>
  <c r="E80" i="3"/>
  <c r="E78" i="3"/>
  <c r="E75" i="3"/>
  <c r="E67" i="3"/>
  <c r="E65" i="3"/>
  <c r="E62" i="3"/>
  <c r="E60" i="3"/>
  <c r="E58" i="3"/>
  <c r="E53" i="3"/>
  <c r="E51" i="3"/>
  <c r="E49" i="3"/>
  <c r="E46" i="3"/>
  <c r="E44" i="3"/>
  <c r="E42" i="3"/>
  <c r="D42" i="3"/>
  <c r="E40" i="3"/>
  <c r="E38" i="3"/>
  <c r="E33" i="3"/>
  <c r="E32" i="3" s="1"/>
  <c r="E30" i="3"/>
  <c r="E28" i="3"/>
  <c r="E21" i="3"/>
  <c r="E19" i="3"/>
  <c r="D611" i="3"/>
  <c r="D610" i="3"/>
  <c r="D608" i="3"/>
  <c r="D607" i="3"/>
  <c r="D604" i="3"/>
  <c r="D602" i="3"/>
  <c r="D601" i="3"/>
  <c r="D600" i="3"/>
  <c r="D597" i="3"/>
  <c r="D595" i="3"/>
  <c r="D593" i="3"/>
  <c r="D592" i="3"/>
  <c r="D590" i="3"/>
  <c r="D589" i="3"/>
  <c r="D587" i="3"/>
  <c r="D586" i="3"/>
  <c r="D585" i="3"/>
  <c r="D582" i="3"/>
  <c r="D581" i="3" s="1"/>
  <c r="D580" i="3"/>
  <c r="D579" i="3" s="1"/>
  <c r="D578" i="3"/>
  <c r="D577" i="3"/>
  <c r="D576" i="3"/>
  <c r="D574" i="3"/>
  <c r="D573" i="3" s="1"/>
  <c r="D569" i="3"/>
  <c r="D567" i="3"/>
  <c r="D564" i="3"/>
  <c r="D561" i="3"/>
  <c r="D559" i="3"/>
  <c r="D558" i="3" s="1"/>
  <c r="D557" i="3" s="1"/>
  <c r="D555" i="3"/>
  <c r="D554" i="3" s="1"/>
  <c r="D553" i="3"/>
  <c r="D552" i="3" s="1"/>
  <c r="D549" i="3"/>
  <c r="D544" i="3"/>
  <c r="D543" i="3" s="1"/>
  <c r="D542" i="3" s="1"/>
  <c r="D541" i="3"/>
  <c r="D540" i="3" s="1"/>
  <c r="D539" i="3" s="1"/>
  <c r="D537" i="3"/>
  <c r="D536" i="3" s="1"/>
  <c r="D535" i="3"/>
  <c r="D534" i="3" s="1"/>
  <c r="D533" i="3"/>
  <c r="D532" i="3" s="1"/>
  <c r="D531" i="3"/>
  <c r="D530" i="3" s="1"/>
  <c r="D528" i="3"/>
  <c r="D526" i="3"/>
  <c r="D524" i="3"/>
  <c r="D522" i="3"/>
  <c r="D520" i="3"/>
  <c r="D519" i="3"/>
  <c r="D518" i="3" s="1"/>
  <c r="D517" i="3"/>
  <c r="D516" i="3" s="1"/>
  <c r="D515" i="3"/>
  <c r="D514" i="3" s="1"/>
  <c r="D513" i="3"/>
  <c r="D512" i="3" s="1"/>
  <c r="D511" i="3"/>
  <c r="D510" i="3" s="1"/>
  <c r="D507" i="3"/>
  <c r="D505" i="3"/>
  <c r="D503" i="3"/>
  <c r="D502" i="3"/>
  <c r="D501" i="3" s="1"/>
  <c r="D500" i="3"/>
  <c r="D499" i="3" s="1"/>
  <c r="D498" i="3"/>
  <c r="D497" i="3" s="1"/>
  <c r="D492" i="3"/>
  <c r="D490" i="3"/>
  <c r="D488" i="3"/>
  <c r="D484" i="3"/>
  <c r="D483" i="3" s="1"/>
  <c r="D482" i="3"/>
  <c r="D481" i="3" s="1"/>
  <c r="D480" i="3"/>
  <c r="D479" i="3" s="1"/>
  <c r="D475" i="3"/>
  <c r="D474" i="3" s="1"/>
  <c r="D473" i="3" s="1"/>
  <c r="D472" i="3"/>
  <c r="D471" i="3" s="1"/>
  <c r="D470" i="3" s="1"/>
  <c r="D468" i="3"/>
  <c r="D467" i="3" s="1"/>
  <c r="D466" i="3" s="1"/>
  <c r="D465" i="3"/>
  <c r="D464" i="3" s="1"/>
  <c r="D463" i="3"/>
  <c r="D462" i="3" s="1"/>
  <c r="D459" i="3"/>
  <c r="D457" i="3"/>
  <c r="D453" i="3"/>
  <c r="D452" i="3" s="1"/>
  <c r="D450" i="3"/>
  <c r="D449" i="3" s="1"/>
  <c r="D446" i="3"/>
  <c r="D445" i="3"/>
  <c r="D444" i="3" s="1"/>
  <c r="D440" i="3"/>
  <c r="D439" i="3"/>
  <c r="D438" i="3" s="1"/>
  <c r="D437" i="3"/>
  <c r="D436" i="3" s="1"/>
  <c r="D433" i="3"/>
  <c r="D432" i="3" s="1"/>
  <c r="D431" i="3" s="1"/>
  <c r="D430" i="3" s="1"/>
  <c r="D428" i="3"/>
  <c r="D427" i="3" s="1"/>
  <c r="D426" i="3"/>
  <c r="D425" i="3" s="1"/>
  <c r="D424" i="3"/>
  <c r="D423" i="3" s="1"/>
  <c r="F423" i="3" s="1"/>
  <c r="D422" i="3"/>
  <c r="D421" i="3" s="1"/>
  <c r="D420" i="3"/>
  <c r="D419" i="3" s="1"/>
  <c r="D414" i="3"/>
  <c r="D412" i="3"/>
  <c r="D408" i="3"/>
  <c r="D406" i="3"/>
  <c r="D403" i="3"/>
  <c r="D402" i="3"/>
  <c r="D397" i="3"/>
  <c r="F397" i="3" s="1"/>
  <c r="D395" i="3"/>
  <c r="F395" i="3" s="1"/>
  <c r="D391" i="3"/>
  <c r="D390" i="3" s="1"/>
  <c r="D389" i="3" s="1"/>
  <c r="D388" i="3" s="1"/>
  <c r="D387" i="3"/>
  <c r="D386" i="3" s="1"/>
  <c r="D384" i="3"/>
  <c r="D381" i="3"/>
  <c r="D380" i="3" s="1"/>
  <c r="D379" i="3" s="1"/>
  <c r="D378" i="3" s="1"/>
  <c r="D376" i="3"/>
  <c r="D373" i="3"/>
  <c r="D371" i="3"/>
  <c r="D368" i="3"/>
  <c r="D367" i="3" s="1"/>
  <c r="D366" i="3"/>
  <c r="D364" i="3"/>
  <c r="D362" i="3"/>
  <c r="D360" i="3"/>
  <c r="D359" i="3" s="1"/>
  <c r="D358" i="3"/>
  <c r="D357" i="3" s="1"/>
  <c r="D356" i="3"/>
  <c r="D355" i="3" s="1"/>
  <c r="D354" i="3"/>
  <c r="D353" i="3" s="1"/>
  <c r="D351" i="3"/>
  <c r="D349" i="3"/>
  <c r="D344" i="3"/>
  <c r="D343" i="3" s="1"/>
  <c r="D340" i="3"/>
  <c r="D339" i="3" s="1"/>
  <c r="D338" i="3" s="1"/>
  <c r="D337" i="3"/>
  <c r="D336" i="3" s="1"/>
  <c r="D335" i="3" s="1"/>
  <c r="D333" i="3"/>
  <c r="D331" i="3"/>
  <c r="D327" i="3"/>
  <c r="D326" i="3" s="1"/>
  <c r="D325" i="3" s="1"/>
  <c r="D324" i="3"/>
  <c r="D323" i="3" s="1"/>
  <c r="D322" i="3" s="1"/>
  <c r="D318" i="3"/>
  <c r="D316" i="3"/>
  <c r="D312" i="3"/>
  <c r="D311" i="3" s="1"/>
  <c r="D310" i="3" s="1"/>
  <c r="D308" i="3"/>
  <c r="D307" i="3" s="1"/>
  <c r="D304" i="3"/>
  <c r="D303" i="3" s="1"/>
  <c r="D302" i="3"/>
  <c r="D301" i="3" s="1"/>
  <c r="D300" i="3" s="1"/>
  <c r="D298" i="3"/>
  <c r="D297" i="3" s="1"/>
  <c r="D296" i="3" s="1"/>
  <c r="D295" i="3"/>
  <c r="D294" i="3"/>
  <c r="D289" i="3"/>
  <c r="D288" i="3" s="1"/>
  <c r="D287" i="3" s="1"/>
  <c r="D285" i="3"/>
  <c r="D284" i="3"/>
  <c r="D279" i="3"/>
  <c r="D277" i="3"/>
  <c r="D274" i="3"/>
  <c r="D273" i="3"/>
  <c r="D272" i="3" s="1"/>
  <c r="D271" i="3"/>
  <c r="D270" i="3" s="1"/>
  <c r="D267" i="3"/>
  <c r="D266" i="3" s="1"/>
  <c r="D264" i="3"/>
  <c r="D262" i="3"/>
  <c r="F262" i="3" s="1"/>
  <c r="D261" i="3"/>
  <c r="F261" i="3" s="1"/>
  <c r="D259" i="3"/>
  <c r="D258" i="3" s="1"/>
  <c r="D255" i="3"/>
  <c r="D254" i="3"/>
  <c r="D253" i="3" s="1"/>
  <c r="D251" i="3"/>
  <c r="D250" i="3" s="1"/>
  <c r="D249" i="3" s="1"/>
  <c r="D246" i="3"/>
  <c r="D245" i="3" s="1"/>
  <c r="D244" i="3"/>
  <c r="D243" i="3" s="1"/>
  <c r="D240" i="3"/>
  <c r="D239" i="3" s="1"/>
  <c r="D236" i="3"/>
  <c r="D234" i="3"/>
  <c r="D233" i="3"/>
  <c r="D231" i="3"/>
  <c r="D230" i="3" s="1"/>
  <c r="D229" i="3"/>
  <c r="D228" i="3" s="1"/>
  <c r="D226" i="3"/>
  <c r="D225" i="3" s="1"/>
  <c r="D224" i="3" s="1"/>
  <c r="D221" i="3"/>
  <c r="D220" i="3"/>
  <c r="D216" i="3"/>
  <c r="D213" i="3"/>
  <c r="D212" i="3" s="1"/>
  <c r="D210" i="3"/>
  <c r="D208" i="3"/>
  <c r="D207" i="3"/>
  <c r="D206" i="3" s="1"/>
  <c r="D204" i="3"/>
  <c r="D201" i="3"/>
  <c r="D200" i="3" s="1"/>
  <c r="D197" i="3"/>
  <c r="D195" i="3"/>
  <c r="D191" i="3"/>
  <c r="D189" i="3"/>
  <c r="D187" i="3"/>
  <c r="D186" i="3" s="1"/>
  <c r="D185" i="3" s="1"/>
  <c r="D183" i="3"/>
  <c r="D182" i="3" s="1"/>
  <c r="D180" i="3"/>
  <c r="D178" i="3"/>
  <c r="D175" i="3"/>
  <c r="D173" i="3"/>
  <c r="D172" i="3"/>
  <c r="D171" i="3" s="1"/>
  <c r="D170" i="3"/>
  <c r="D169" i="3" s="1"/>
  <c r="D167" i="3"/>
  <c r="D166" i="3" s="1"/>
  <c r="D165" i="3"/>
  <c r="D164" i="3" s="1"/>
  <c r="D163" i="3"/>
  <c r="D162" i="3" s="1"/>
  <c r="D161" i="3"/>
  <c r="D160" i="3" s="1"/>
  <c r="D159" i="3"/>
  <c r="D158" i="3" s="1"/>
  <c r="D156" i="3"/>
  <c r="D155" i="3"/>
  <c r="D153" i="3"/>
  <c r="D151" i="3" s="1"/>
  <c r="D150" i="3"/>
  <c r="D149" i="3" s="1"/>
  <c r="D148" i="3"/>
  <c r="D146" i="3" s="1"/>
  <c r="D141" i="3"/>
  <c r="D140" i="3"/>
  <c r="D136" i="3"/>
  <c r="D135" i="3" s="1"/>
  <c r="D133" i="3"/>
  <c r="D132" i="3"/>
  <c r="D131" i="3" s="1"/>
  <c r="D129" i="3"/>
  <c r="D128" i="3" s="1"/>
  <c r="D126" i="3"/>
  <c r="D123" i="3"/>
  <c r="D122" i="3"/>
  <c r="D121" i="3" s="1"/>
  <c r="D120" i="3"/>
  <c r="D119" i="3" s="1"/>
  <c r="D116" i="3"/>
  <c r="D115" i="3"/>
  <c r="D114" i="3" s="1"/>
  <c r="D113" i="3"/>
  <c r="D112" i="3" s="1"/>
  <c r="D109" i="3"/>
  <c r="D108" i="3" s="1"/>
  <c r="D106" i="3"/>
  <c r="D104" i="3"/>
  <c r="D102" i="3"/>
  <c r="D99" i="3"/>
  <c r="D98" i="3"/>
  <c r="D97" i="3" s="1"/>
  <c r="D95" i="3"/>
  <c r="D94" i="3" s="1"/>
  <c r="D93" i="3"/>
  <c r="D92" i="3" s="1"/>
  <c r="D91" i="3"/>
  <c r="D90" i="3" s="1"/>
  <c r="D89" i="3"/>
  <c r="D88" i="3" s="1"/>
  <c r="D87" i="3"/>
  <c r="D86" i="3" s="1"/>
  <c r="D85" i="3"/>
  <c r="D84" i="3" s="1"/>
  <c r="D80" i="3"/>
  <c r="D78" i="3"/>
  <c r="D76" i="3"/>
  <c r="D75" i="3" s="1"/>
  <c r="D72" i="3"/>
  <c r="D71" i="3"/>
  <c r="D70" i="3" s="1"/>
  <c r="D69" i="3"/>
  <c r="D68" i="3"/>
  <c r="D65" i="3"/>
  <c r="D63" i="3"/>
  <c r="D62" i="3" s="1"/>
  <c r="D60" i="3"/>
  <c r="D58" i="3"/>
  <c r="D55" i="3"/>
  <c r="D53" i="3"/>
  <c r="D52" i="3"/>
  <c r="D51" i="3" s="1"/>
  <c r="D50" i="3"/>
  <c r="D49" i="3" s="1"/>
  <c r="D47" i="3"/>
  <c r="D46" i="3" s="1"/>
  <c r="D45" i="3"/>
  <c r="D44" i="3" s="1"/>
  <c r="D41" i="3"/>
  <c r="D40" i="3" s="1"/>
  <c r="D39" i="3"/>
  <c r="D38" i="3" s="1"/>
  <c r="D33" i="3"/>
  <c r="D32" i="3" s="1"/>
  <c r="D30" i="3"/>
  <c r="D28" i="3"/>
  <c r="D26" i="3"/>
  <c r="D25" i="3" s="1"/>
  <c r="D24" i="3"/>
  <c r="D23" i="3" s="1"/>
  <c r="D22" i="3"/>
  <c r="D21" i="3" s="1"/>
  <c r="D20" i="3"/>
  <c r="D19" i="3" s="1"/>
  <c r="I750" i="65"/>
  <c r="I749" i="65" s="1"/>
  <c r="I748" i="65" s="1"/>
  <c r="I747" i="65" s="1"/>
  <c r="I745" i="65"/>
  <c r="I744" i="65" s="1"/>
  <c r="I743" i="65" s="1"/>
  <c r="I739" i="65"/>
  <c r="I738" i="65" s="1"/>
  <c r="I737" i="65" s="1"/>
  <c r="I736" i="65" s="1"/>
  <c r="I732" i="65"/>
  <c r="I729" i="65"/>
  <c r="I726" i="65" s="1"/>
  <c r="I727" i="65"/>
  <c r="I719" i="65"/>
  <c r="I718" i="65" s="1"/>
  <c r="I716" i="65"/>
  <c r="I714" i="65"/>
  <c r="J715" i="65"/>
  <c r="I708" i="65"/>
  <c r="I706" i="65"/>
  <c r="I703" i="65"/>
  <c r="J702" i="65"/>
  <c r="I701" i="65"/>
  <c r="I696" i="65"/>
  <c r="I695" i="65" s="1"/>
  <c r="I693" i="65"/>
  <c r="I692" i="65" s="1"/>
  <c r="J691" i="65"/>
  <c r="J694" i="65"/>
  <c r="I690" i="65"/>
  <c r="I688" i="65"/>
  <c r="I686" i="65"/>
  <c r="I684" i="65"/>
  <c r="J678" i="65"/>
  <c r="I677" i="65"/>
  <c r="I675" i="65"/>
  <c r="I672" i="65"/>
  <c r="I665" i="65"/>
  <c r="I664" i="65" s="1"/>
  <c r="I662" i="65"/>
  <c r="I661" i="65" s="1"/>
  <c r="I660" i="65" s="1"/>
  <c r="I658" i="65"/>
  <c r="J657" i="65"/>
  <c r="I656" i="65"/>
  <c r="I655" i="65" s="1"/>
  <c r="I654" i="65" s="1"/>
  <c r="J652" i="65"/>
  <c r="I651" i="65"/>
  <c r="I650" i="65" s="1"/>
  <c r="I648" i="65"/>
  <c r="I647" i="65" s="1"/>
  <c r="J646" i="65"/>
  <c r="I645" i="65"/>
  <c r="J644" i="65"/>
  <c r="I643" i="65"/>
  <c r="I641" i="65"/>
  <c r="I639" i="65"/>
  <c r="J629" i="65"/>
  <c r="J631" i="65"/>
  <c r="J634" i="65"/>
  <c r="I700" i="65" l="1"/>
  <c r="E477" i="3"/>
  <c r="E476" i="3" s="1"/>
  <c r="E442" i="3"/>
  <c r="D509" i="3"/>
  <c r="E455" i="3"/>
  <c r="E454" i="3" s="1"/>
  <c r="D232" i="3"/>
  <c r="D227" i="3" s="1"/>
  <c r="D223" i="3" s="1"/>
  <c r="F371" i="3"/>
  <c r="D375" i="3"/>
  <c r="F375" i="3" s="1"/>
  <c r="F376" i="3"/>
  <c r="D361" i="3"/>
  <c r="F362" i="3"/>
  <c r="D363" i="3"/>
  <c r="F363" i="3" s="1"/>
  <c r="F364" i="3"/>
  <c r="D365" i="3"/>
  <c r="F365" i="3" s="1"/>
  <c r="F366" i="3"/>
  <c r="D77" i="3"/>
  <c r="D276" i="3"/>
  <c r="D393" i="3"/>
  <c r="F393" i="3" s="1"/>
  <c r="D405" i="3"/>
  <c r="D404" i="3" s="1"/>
  <c r="D456" i="3"/>
  <c r="E77" i="3"/>
  <c r="D139" i="3"/>
  <c r="D138" i="3" s="1"/>
  <c r="D188" i="3"/>
  <c r="D330" i="3"/>
  <c r="F330" i="3" s="1"/>
  <c r="F331" i="3"/>
  <c r="F119" i="3"/>
  <c r="D332" i="3"/>
  <c r="F332" i="3" s="1"/>
  <c r="F333" i="3"/>
  <c r="D342" i="3"/>
  <c r="D315" i="3"/>
  <c r="D314" i="3" s="1"/>
  <c r="D313" i="3" s="1"/>
  <c r="D538" i="3"/>
  <c r="D609" i="3"/>
  <c r="D334" i="3"/>
  <c r="D469" i="3"/>
  <c r="D269" i="3"/>
  <c r="D584" i="3"/>
  <c r="D293" i="3"/>
  <c r="D292" i="3" s="1"/>
  <c r="D291" i="3" s="1"/>
  <c r="D551" i="3"/>
  <c r="E188" i="3"/>
  <c r="D27" i="3"/>
  <c r="D219" i="3"/>
  <c r="F220" i="3"/>
  <c r="D57" i="3"/>
  <c r="D260" i="3"/>
  <c r="F260" i="3" s="1"/>
  <c r="D283" i="3"/>
  <c r="F284" i="3"/>
  <c r="D487" i="3"/>
  <c r="D599" i="3"/>
  <c r="D596" i="3" s="1"/>
  <c r="D606" i="3"/>
  <c r="F121" i="3"/>
  <c r="D215" i="3"/>
  <c r="F216" i="3"/>
  <c r="D101" i="3"/>
  <c r="D299" i="3"/>
  <c r="D588" i="3"/>
  <c r="F120" i="3"/>
  <c r="E203" i="3"/>
  <c r="E202" i="3" s="1"/>
  <c r="E177" i="3"/>
  <c r="E168" i="3"/>
  <c r="E157" i="3"/>
  <c r="E145" i="3"/>
  <c r="E125" i="3"/>
  <c r="E118" i="3"/>
  <c r="E111" i="3"/>
  <c r="E96" i="3"/>
  <c r="E64" i="3"/>
  <c r="E57" i="3"/>
  <c r="E37" i="3"/>
  <c r="E27" i="3"/>
  <c r="E18" i="3"/>
  <c r="D48" i="3"/>
  <c r="D168" i="3"/>
  <c r="D383" i="3"/>
  <c r="D382" i="3" s="1"/>
  <c r="D377" i="3" s="1"/>
  <c r="D394" i="3"/>
  <c r="F394" i="3" s="1"/>
  <c r="D496" i="3"/>
  <c r="D67" i="3"/>
  <c r="D64" i="3" s="1"/>
  <c r="D154" i="3"/>
  <c r="D145" i="3" s="1"/>
  <c r="D177" i="3"/>
  <c r="D194" i="3"/>
  <c r="D193" i="3" s="1"/>
  <c r="D401" i="3"/>
  <c r="D400" i="3" s="1"/>
  <c r="D399" i="3" s="1"/>
  <c r="D411" i="3"/>
  <c r="D410" i="3" s="1"/>
  <c r="D560" i="3"/>
  <c r="D321" i="3"/>
  <c r="D418" i="3"/>
  <c r="D417" i="3" s="1"/>
  <c r="D478" i="3"/>
  <c r="D96" i="3"/>
  <c r="D118" i="3"/>
  <c r="D203" i="3"/>
  <c r="D252" i="3"/>
  <c r="D435" i="3"/>
  <c r="D434" i="3" s="1"/>
  <c r="D443" i="3"/>
  <c r="D575" i="3"/>
  <c r="D572" i="3" s="1"/>
  <c r="D591" i="3"/>
  <c r="D18" i="3"/>
  <c r="D37" i="3"/>
  <c r="D83" i="3"/>
  <c r="D111" i="3"/>
  <c r="D125" i="3"/>
  <c r="D157" i="3"/>
  <c r="D242" i="3"/>
  <c r="D238" i="3" s="1"/>
  <c r="D306" i="3"/>
  <c r="D448" i="3"/>
  <c r="D461" i="3"/>
  <c r="D341" i="3"/>
  <c r="J695" i="65"/>
  <c r="I683" i="65"/>
  <c r="I735" i="65"/>
  <c r="I725" i="65"/>
  <c r="I713" i="65"/>
  <c r="I712" i="65" s="1"/>
  <c r="I711" i="65" s="1"/>
  <c r="I705" i="65"/>
  <c r="I699" i="65"/>
  <c r="I671" i="65"/>
  <c r="I670" i="65" s="1"/>
  <c r="I669" i="65" s="1"/>
  <c r="I653" i="65"/>
  <c r="I638" i="65"/>
  <c r="I637" i="65" s="1"/>
  <c r="I636" i="65" s="1"/>
  <c r="I635" i="65" s="1"/>
  <c r="I633" i="65"/>
  <c r="I630" i="65"/>
  <c r="J630" i="65" s="1"/>
  <c r="I628" i="65"/>
  <c r="I625" i="65"/>
  <c r="J622" i="65"/>
  <c r="I623" i="65"/>
  <c r="I621" i="65"/>
  <c r="I619" i="65"/>
  <c r="I617" i="65"/>
  <c r="I565" i="65"/>
  <c r="J602" i="65"/>
  <c r="J603" i="65"/>
  <c r="I601" i="65"/>
  <c r="I600" i="65" s="1"/>
  <c r="I599" i="65" s="1"/>
  <c r="I595" i="65"/>
  <c r="I594" i="65" s="1"/>
  <c r="I593" i="65" s="1"/>
  <c r="I592" i="65" s="1"/>
  <c r="I591" i="65" s="1"/>
  <c r="I586" i="65"/>
  <c r="I585" i="65" s="1"/>
  <c r="I583" i="65"/>
  <c r="I582" i="65" s="1"/>
  <c r="I580" i="65"/>
  <c r="I578" i="65"/>
  <c r="I575" i="65"/>
  <c r="I573" i="65"/>
  <c r="I570" i="65"/>
  <c r="I569" i="65" s="1"/>
  <c r="I567" i="65"/>
  <c r="I560" i="65"/>
  <c r="I559" i="65" s="1"/>
  <c r="I558" i="65" s="1"/>
  <c r="I545" i="65"/>
  <c r="I544" i="65" s="1"/>
  <c r="I539" i="65"/>
  <c r="I538" i="65" s="1"/>
  <c r="I504" i="65" s="1"/>
  <c r="I536" i="65"/>
  <c r="I535" i="65" s="1"/>
  <c r="J529" i="65"/>
  <c r="J531" i="65"/>
  <c r="J524" i="65"/>
  <c r="J526" i="65"/>
  <c r="J527" i="65"/>
  <c r="I518" i="65"/>
  <c r="I512" i="65"/>
  <c r="I510" i="65"/>
  <c r="J510" i="65" s="1"/>
  <c r="I508" i="65"/>
  <c r="I502" i="65"/>
  <c r="I500" i="65"/>
  <c r="I499" i="65" s="1"/>
  <c r="I497" i="65"/>
  <c r="I495" i="65"/>
  <c r="J495" i="65" s="1"/>
  <c r="J496" i="65"/>
  <c r="I492" i="65"/>
  <c r="I490" i="65"/>
  <c r="I488" i="65"/>
  <c r="J484" i="65"/>
  <c r="J486" i="65"/>
  <c r="I485" i="65"/>
  <c r="I483" i="65"/>
  <c r="I479" i="65"/>
  <c r="J479" i="65" s="1"/>
  <c r="I476" i="65"/>
  <c r="I474" i="65"/>
  <c r="I472" i="65"/>
  <c r="I470" i="65"/>
  <c r="I468" i="65"/>
  <c r="I462" i="65"/>
  <c r="J461" i="65"/>
  <c r="I460" i="65"/>
  <c r="J460" i="65" s="1"/>
  <c r="J442" i="65"/>
  <c r="I427" i="65"/>
  <c r="I426" i="65" s="1"/>
  <c r="I424" i="65"/>
  <c r="I422" i="65"/>
  <c r="I417" i="65"/>
  <c r="I411" i="65"/>
  <c r="I410" i="65" s="1"/>
  <c r="I409" i="65" s="1"/>
  <c r="I407" i="65"/>
  <c r="I405" i="65" s="1"/>
  <c r="I404" i="65" s="1"/>
  <c r="I401" i="65"/>
  <c r="I400" i="65" s="1"/>
  <c r="I394" i="65"/>
  <c r="I386" i="65"/>
  <c r="I385" i="65" s="1"/>
  <c r="I383" i="65"/>
  <c r="I382" i="65" s="1"/>
  <c r="I381" i="65" s="1"/>
  <c r="I377" i="65"/>
  <c r="I375" i="65"/>
  <c r="I373" i="65"/>
  <c r="I371" i="65"/>
  <c r="I369" i="65"/>
  <c r="J368" i="65"/>
  <c r="I367" i="65"/>
  <c r="I363" i="65"/>
  <c r="I357" i="65"/>
  <c r="I343" i="65"/>
  <c r="H343" i="65"/>
  <c r="J344" i="65"/>
  <c r="I339" i="65"/>
  <c r="I337" i="65"/>
  <c r="J331" i="65"/>
  <c r="I332" i="65"/>
  <c r="I329" i="65"/>
  <c r="I326" i="65"/>
  <c r="I324" i="65"/>
  <c r="I320" i="65"/>
  <c r="I318" i="65"/>
  <c r="I316" i="65"/>
  <c r="J309" i="65"/>
  <c r="I308" i="65"/>
  <c r="I307" i="65" s="1"/>
  <c r="I305" i="65"/>
  <c r="I299" i="65"/>
  <c r="I286" i="65"/>
  <c r="I285" i="65" s="1"/>
  <c r="I283" i="65"/>
  <c r="I282" i="65" s="1"/>
  <c r="I280" i="65"/>
  <c r="I279" i="65" s="1"/>
  <c r="I276" i="65"/>
  <c r="I267" i="65"/>
  <c r="I266" i="65" s="1"/>
  <c r="I262" i="65"/>
  <c r="I260" i="65" s="1"/>
  <c r="I255" i="65"/>
  <c r="I254" i="65" s="1"/>
  <c r="I253" i="65" s="1"/>
  <c r="I252" i="65" s="1"/>
  <c r="I240" i="65"/>
  <c r="I239" i="65" s="1"/>
  <c r="J248" i="65"/>
  <c r="I246" i="65"/>
  <c r="J244" i="65"/>
  <c r="I243" i="65"/>
  <c r="I235" i="65"/>
  <c r="I232" i="65"/>
  <c r="I225" i="65"/>
  <c r="I224" i="65" s="1"/>
  <c r="I220" i="65"/>
  <c r="I218" i="65"/>
  <c r="I216" i="65"/>
  <c r="I214" i="65"/>
  <c r="I212" i="65"/>
  <c r="I207" i="65"/>
  <c r="I202" i="65"/>
  <c r="I200" i="65"/>
  <c r="I197" i="65"/>
  <c r="I196" i="65" s="1"/>
  <c r="I166" i="65"/>
  <c r="I164" i="65"/>
  <c r="I162" i="65"/>
  <c r="I160" i="65"/>
  <c r="I158" i="65"/>
  <c r="I156" i="65"/>
  <c r="I154" i="65"/>
  <c r="I152" i="65"/>
  <c r="J151" i="65"/>
  <c r="I150" i="65"/>
  <c r="I148" i="65"/>
  <c r="J139" i="65"/>
  <c r="I132" i="65"/>
  <c r="I131" i="65" s="1"/>
  <c r="I123" i="65"/>
  <c r="I122" i="65" s="1"/>
  <c r="I120" i="65"/>
  <c r="I118" i="65"/>
  <c r="J113" i="65"/>
  <c r="J115" i="65"/>
  <c r="I114" i="65"/>
  <c r="I112" i="65"/>
  <c r="I107" i="65"/>
  <c r="I106" i="65" s="1"/>
  <c r="I105" i="65" s="1"/>
  <c r="I101" i="65"/>
  <c r="I94" i="65"/>
  <c r="I91" i="65" s="1"/>
  <c r="J88" i="65"/>
  <c r="I77" i="65"/>
  <c r="I76" i="65" s="1"/>
  <c r="J74" i="65"/>
  <c r="J75" i="65"/>
  <c r="I69" i="65"/>
  <c r="I63" i="65"/>
  <c r="I61" i="65"/>
  <c r="I19" i="65"/>
  <c r="H751" i="65"/>
  <c r="H750" i="65" s="1"/>
  <c r="H749" i="65" s="1"/>
  <c r="H748" i="65" s="1"/>
  <c r="H747" i="65" s="1"/>
  <c r="H746" i="65"/>
  <c r="H745" i="65" s="1"/>
  <c r="H744" i="65" s="1"/>
  <c r="H743" i="65" s="1"/>
  <c r="J743" i="65" s="1"/>
  <c r="H741" i="65"/>
  <c r="H740" i="65"/>
  <c r="H733" i="65"/>
  <c r="H732" i="65" s="1"/>
  <c r="H729" i="65"/>
  <c r="H727" i="65"/>
  <c r="H721" i="65"/>
  <c r="H720" i="65"/>
  <c r="H716" i="65"/>
  <c r="J716" i="65" s="1"/>
  <c r="H714" i="65"/>
  <c r="J714" i="65" s="1"/>
  <c r="H708" i="65"/>
  <c r="H706" i="65"/>
  <c r="H703" i="65"/>
  <c r="H701" i="65"/>
  <c r="J701" i="65" s="1"/>
  <c r="H697" i="65"/>
  <c r="H696" i="65" s="1"/>
  <c r="H695" i="65" s="1"/>
  <c r="H693" i="65"/>
  <c r="H690" i="65"/>
  <c r="J690" i="65" s="1"/>
  <c r="H688" i="65"/>
  <c r="J688" i="65" s="1"/>
  <c r="H687" i="65"/>
  <c r="H685" i="65"/>
  <c r="H682" i="65"/>
  <c r="J682" i="65" s="1"/>
  <c r="H681" i="65"/>
  <c r="J681" i="65" s="1"/>
  <c r="H679" i="65"/>
  <c r="H676" i="65"/>
  <c r="H674" i="65"/>
  <c r="H672" i="65" s="1"/>
  <c r="J672" i="65" s="1"/>
  <c r="H665" i="65"/>
  <c r="H664" i="65" s="1"/>
  <c r="H663" i="65"/>
  <c r="H659" i="65"/>
  <c r="H656" i="65"/>
  <c r="J656" i="65" s="1"/>
  <c r="H651" i="65"/>
  <c r="H648" i="65"/>
  <c r="H647" i="65" s="1"/>
  <c r="H645" i="65"/>
  <c r="J645" i="65" s="1"/>
  <c r="H643" i="65"/>
  <c r="J643" i="65" s="1"/>
  <c r="H641" i="65"/>
  <c r="H639" i="65"/>
  <c r="J639" i="65" s="1"/>
  <c r="H633" i="65"/>
  <c r="H632" i="65" s="1"/>
  <c r="H630" i="65"/>
  <c r="H628" i="65"/>
  <c r="H626" i="65"/>
  <c r="H625" i="65" s="1"/>
  <c r="H624" i="65"/>
  <c r="H623" i="65" s="1"/>
  <c r="J623" i="65" s="1"/>
  <c r="H622" i="65"/>
  <c r="H621" i="65" s="1"/>
  <c r="H620" i="65"/>
  <c r="H619" i="65" s="1"/>
  <c r="H618" i="65"/>
  <c r="H617" i="65" s="1"/>
  <c r="H611" i="65"/>
  <c r="H610" i="65" s="1"/>
  <c r="H609" i="65" s="1"/>
  <c r="H608" i="65" s="1"/>
  <c r="H607" i="65" s="1"/>
  <c r="H606" i="65" s="1"/>
  <c r="H605" i="65" s="1"/>
  <c r="H601" i="65"/>
  <c r="H600" i="65" s="1"/>
  <c r="H599" i="65" s="1"/>
  <c r="H598" i="65" s="1"/>
  <c r="H597" i="65" s="1"/>
  <c r="H595" i="65"/>
  <c r="H594" i="65" s="1"/>
  <c r="H593" i="65" s="1"/>
  <c r="H592" i="65" s="1"/>
  <c r="H591" i="65" s="1"/>
  <c r="H588" i="65"/>
  <c r="H587" i="65"/>
  <c r="H583" i="65"/>
  <c r="H582" i="65" s="1"/>
  <c r="H580" i="65"/>
  <c r="H579" i="65"/>
  <c r="H578" i="65" s="1"/>
  <c r="H576" i="65"/>
  <c r="H575" i="65" s="1"/>
  <c r="H573" i="65"/>
  <c r="H571" i="65"/>
  <c r="H570" i="65" s="1"/>
  <c r="H569" i="65" s="1"/>
  <c r="H568" i="65"/>
  <c r="H567" i="65" s="1"/>
  <c r="H566" i="65"/>
  <c r="H565" i="65" s="1"/>
  <c r="J565" i="65" s="1"/>
  <c r="H562" i="65"/>
  <c r="H561" i="65"/>
  <c r="H553" i="65"/>
  <c r="H552" i="65"/>
  <c r="H551" i="65" s="1"/>
  <c r="H546" i="65"/>
  <c r="H545" i="65" s="1"/>
  <c r="H539" i="65"/>
  <c r="H538" i="65" s="1"/>
  <c r="H536" i="65"/>
  <c r="H535" i="65" s="1"/>
  <c r="H534" i="65" s="1"/>
  <c r="H533" i="65"/>
  <c r="H532" i="65" s="1"/>
  <c r="H530" i="65"/>
  <c r="H528" i="65"/>
  <c r="H526" i="65"/>
  <c r="H523" i="65"/>
  <c r="H522" i="65"/>
  <c r="H521" i="65" s="1"/>
  <c r="H519" i="65"/>
  <c r="H518" i="65" s="1"/>
  <c r="H517" i="65"/>
  <c r="H516" i="65" s="1"/>
  <c r="H515" i="65"/>
  <c r="H514" i="65" s="1"/>
  <c r="H513" i="65"/>
  <c r="H512" i="65" s="1"/>
  <c r="H511" i="65"/>
  <c r="H510" i="65" s="1"/>
  <c r="H509" i="65"/>
  <c r="H508" i="65" s="1"/>
  <c r="H502" i="65"/>
  <c r="J502" i="65" s="1"/>
  <c r="H500" i="65"/>
  <c r="H498" i="65"/>
  <c r="H497" i="65" s="1"/>
  <c r="H495" i="65"/>
  <c r="H493" i="65"/>
  <c r="H492" i="65" s="1"/>
  <c r="H490" i="65"/>
  <c r="H488" i="65"/>
  <c r="H485" i="65"/>
  <c r="H483" i="65"/>
  <c r="H482" i="65"/>
  <c r="H481" i="65" s="1"/>
  <c r="H480" i="65"/>
  <c r="H479" i="65" s="1"/>
  <c r="H477" i="65"/>
  <c r="H476" i="65" s="1"/>
  <c r="H475" i="65"/>
  <c r="H474" i="65" s="1"/>
  <c r="H472" i="65"/>
  <c r="H471" i="65"/>
  <c r="H470" i="65" s="1"/>
  <c r="H469" i="65"/>
  <c r="H468" i="65" s="1"/>
  <c r="H462" i="65"/>
  <c r="H460" i="65"/>
  <c r="H458" i="65"/>
  <c r="H457" i="65" s="1"/>
  <c r="H456" i="65"/>
  <c r="H455" i="65" s="1"/>
  <c r="H454" i="65"/>
  <c r="H453" i="65" s="1"/>
  <c r="H452" i="65"/>
  <c r="H451" i="65" s="1"/>
  <c r="H443" i="65"/>
  <c r="H441" i="65"/>
  <c r="H438" i="65"/>
  <c r="H437" i="65"/>
  <c r="H436" i="65" s="1"/>
  <c r="H435" i="65"/>
  <c r="H434" i="65" s="1"/>
  <c r="H428" i="65"/>
  <c r="H427" i="65" s="1"/>
  <c r="H426" i="65" s="1"/>
  <c r="H425" i="65"/>
  <c r="H424" i="65" s="1"/>
  <c r="H423" i="65"/>
  <c r="H422" i="65" s="1"/>
  <c r="H419" i="65"/>
  <c r="H417" i="65"/>
  <c r="H411" i="65"/>
  <c r="H410" i="65" s="1"/>
  <c r="H409" i="65" s="1"/>
  <c r="H408" i="65"/>
  <c r="H407" i="65" s="1"/>
  <c r="H402" i="65"/>
  <c r="H401" i="65" s="1"/>
  <c r="H394" i="65"/>
  <c r="H393" i="65"/>
  <c r="H392" i="65" s="1"/>
  <c r="H386" i="65"/>
  <c r="H385" i="65" s="1"/>
  <c r="H384" i="65"/>
  <c r="H383" i="65" s="1"/>
  <c r="H382" i="65" s="1"/>
  <c r="H381" i="65" s="1"/>
  <c r="H380" i="65"/>
  <c r="H379" i="65" s="1"/>
  <c r="H378" i="65"/>
  <c r="H377" i="65" s="1"/>
  <c r="H376" i="65"/>
  <c r="H375" i="65" s="1"/>
  <c r="H374" i="65"/>
  <c r="H373" i="65" s="1"/>
  <c r="H371" i="65"/>
  <c r="H369" i="65"/>
  <c r="H367" i="65"/>
  <c r="H365" i="65"/>
  <c r="H363" i="65"/>
  <c r="H362" i="65"/>
  <c r="H361" i="65" s="1"/>
  <c r="H360" i="65"/>
  <c r="H359" i="65" s="1"/>
  <c r="H358" i="65"/>
  <c r="H357" i="65" s="1"/>
  <c r="H356" i="65"/>
  <c r="H355" i="65" s="1"/>
  <c r="H354" i="65"/>
  <c r="H353" i="65" s="1"/>
  <c r="H352" i="65" s="1"/>
  <c r="H349" i="65"/>
  <c r="H348" i="65" s="1"/>
  <c r="H346" i="65"/>
  <c r="H342" i="65"/>
  <c r="H341" i="65" s="1"/>
  <c r="H340" i="65"/>
  <c r="H339" i="65" s="1"/>
  <c r="H338" i="65"/>
  <c r="H337" i="65" s="1"/>
  <c r="H333" i="65"/>
  <c r="H332" i="65" s="1"/>
  <c r="H330" i="65"/>
  <c r="H329" i="65" s="1"/>
  <c r="H326" i="65"/>
  <c r="H325" i="65"/>
  <c r="H324" i="65" s="1"/>
  <c r="H320" i="65"/>
  <c r="H319" i="65"/>
  <c r="H318" i="65" s="1"/>
  <c r="H317" i="65"/>
  <c r="H316" i="65" s="1"/>
  <c r="H313" i="65"/>
  <c r="H312" i="65" s="1"/>
  <c r="H311" i="65" s="1"/>
  <c r="H310" i="65" s="1"/>
  <c r="H308" i="65"/>
  <c r="H307" i="65" s="1"/>
  <c r="J307" i="65" s="1"/>
  <c r="H306" i="65"/>
  <c r="H305" i="65" s="1"/>
  <c r="H304" i="65"/>
  <c r="H303" i="65" s="1"/>
  <c r="H302" i="65"/>
  <c r="H301" i="65" s="1"/>
  <c r="H300" i="65"/>
  <c r="H299" i="65" s="1"/>
  <c r="J299" i="65" s="1"/>
  <c r="H294" i="65"/>
  <c r="H292" i="65"/>
  <c r="H286" i="65"/>
  <c r="H285" i="65" s="1"/>
  <c r="H284" i="65"/>
  <c r="H283" i="65" s="1"/>
  <c r="H282" i="65" s="1"/>
  <c r="H281" i="65"/>
  <c r="H280" i="65" s="1"/>
  <c r="H279" i="65" s="1"/>
  <c r="H277" i="65"/>
  <c r="H276" i="65" s="1"/>
  <c r="H275" i="65"/>
  <c r="H274" i="65" s="1"/>
  <c r="H271" i="65"/>
  <c r="H270" i="65" s="1"/>
  <c r="H269" i="65" s="1"/>
  <c r="H268" i="65"/>
  <c r="H267" i="65" s="1"/>
  <c r="H266" i="65" s="1"/>
  <c r="H263" i="65"/>
  <c r="H262" i="65" s="1"/>
  <c r="H256" i="65"/>
  <c r="H255" i="65" s="1"/>
  <c r="H254" i="65" s="1"/>
  <c r="H253" i="65" s="1"/>
  <c r="H252" i="65" s="1"/>
  <c r="H251" i="65"/>
  <c r="H250" i="65" s="1"/>
  <c r="H249" i="65" s="1"/>
  <c r="H247" i="65"/>
  <c r="H246" i="65" s="1"/>
  <c r="H243" i="65"/>
  <c r="H242" i="65" s="1"/>
  <c r="H241" i="65"/>
  <c r="H240" i="65" s="1"/>
  <c r="H239" i="65" s="1"/>
  <c r="H237" i="65"/>
  <c r="H236" i="65" s="1"/>
  <c r="H235" i="65" s="1"/>
  <c r="H234" i="65"/>
  <c r="J234" i="65" s="1"/>
  <c r="H233" i="65"/>
  <c r="J233" i="65" s="1"/>
  <c r="H225" i="65"/>
  <c r="H224" i="65" s="1"/>
  <c r="H221" i="65"/>
  <c r="H220" i="65" s="1"/>
  <c r="H218" i="65"/>
  <c r="H216" i="65"/>
  <c r="H215" i="65"/>
  <c r="H214" i="65" s="1"/>
  <c r="H213" i="65"/>
  <c r="H212" i="65" s="1"/>
  <c r="H209" i="65"/>
  <c r="H208" i="65"/>
  <c r="H207" i="65" s="1"/>
  <c r="H203" i="65"/>
  <c r="H202" i="65" s="1"/>
  <c r="H201" i="65"/>
  <c r="H200" i="65" s="1"/>
  <c r="H197" i="65"/>
  <c r="H196" i="65" s="1"/>
  <c r="H192" i="65"/>
  <c r="H191" i="65" s="1"/>
  <c r="H190" i="65"/>
  <c r="H189" i="65" s="1"/>
  <c r="H186" i="65"/>
  <c r="H185" i="65" s="1"/>
  <c r="H181" i="65"/>
  <c r="H179" i="65"/>
  <c r="H177" i="65"/>
  <c r="H176" i="65"/>
  <c r="H175" i="65" s="1"/>
  <c r="H174" i="65"/>
  <c r="H173" i="65" s="1"/>
  <c r="H171" i="65"/>
  <c r="H167" i="65"/>
  <c r="H166" i="65" s="1"/>
  <c r="H165" i="65"/>
  <c r="H164" i="65" s="1"/>
  <c r="H163" i="65"/>
  <c r="H162" i="65" s="1"/>
  <c r="H161" i="65"/>
  <c r="H160" i="65" s="1"/>
  <c r="H159" i="65"/>
  <c r="H158" i="65" s="1"/>
  <c r="H157" i="65"/>
  <c r="H156" i="65" s="1"/>
  <c r="H155" i="65"/>
  <c r="H154" i="65" s="1"/>
  <c r="H153" i="65"/>
  <c r="H152" i="65" s="1"/>
  <c r="H150" i="65"/>
  <c r="H148" i="65"/>
  <c r="H143" i="65"/>
  <c r="H142" i="65" s="1"/>
  <c r="J142" i="65" s="1"/>
  <c r="H140" i="65"/>
  <c r="H138" i="65"/>
  <c r="H133" i="65"/>
  <c r="J133" i="65" s="1"/>
  <c r="H126" i="65"/>
  <c r="H125" i="65"/>
  <c r="H124" i="65"/>
  <c r="H120" i="65"/>
  <c r="H118" i="65"/>
  <c r="H114" i="65"/>
  <c r="H112" i="65"/>
  <c r="H109" i="65"/>
  <c r="J109" i="65" s="1"/>
  <c r="H108" i="65"/>
  <c r="J108" i="65" s="1"/>
  <c r="H103" i="65"/>
  <c r="H101" i="65"/>
  <c r="H94" i="65"/>
  <c r="H93" i="65" s="1"/>
  <c r="H92" i="65" s="1"/>
  <c r="H89" i="65"/>
  <c r="J89" i="65" s="1"/>
  <c r="H87" i="65"/>
  <c r="J87" i="65" s="1"/>
  <c r="H86" i="65"/>
  <c r="H84" i="65"/>
  <c r="J84" i="65" s="1"/>
  <c r="H83" i="65"/>
  <c r="H80" i="65"/>
  <c r="H79" i="65"/>
  <c r="H78" i="65"/>
  <c r="H73" i="65"/>
  <c r="H72" i="65" s="1"/>
  <c r="H69" i="65"/>
  <c r="H67" i="65"/>
  <c r="H66" i="65"/>
  <c r="H64" i="65"/>
  <c r="H63" i="65" s="1"/>
  <c r="H62" i="65"/>
  <c r="H61" i="65" s="1"/>
  <c r="H59" i="65"/>
  <c r="J59" i="65" s="1"/>
  <c r="H52" i="65"/>
  <c r="H51" i="65" s="1"/>
  <c r="H50" i="65" s="1"/>
  <c r="H49" i="65" s="1"/>
  <c r="H48" i="65"/>
  <c r="H47" i="65"/>
  <c r="H46" i="65"/>
  <c r="H41" i="65"/>
  <c r="H40" i="65" s="1"/>
  <c r="H36" i="65"/>
  <c r="H35" i="65" s="1"/>
  <c r="H30" i="65"/>
  <c r="H29" i="65"/>
  <c r="H23" i="65"/>
  <c r="H22" i="65"/>
  <c r="H19" i="65"/>
  <c r="G137" i="61"/>
  <c r="G136" i="61" s="1"/>
  <c r="G135" i="61" s="1"/>
  <c r="G134" i="61" s="1"/>
  <c r="G70" i="61"/>
  <c r="G68" i="61"/>
  <c r="G64" i="61"/>
  <c r="H64" i="61" s="1"/>
  <c r="G53" i="61"/>
  <c r="G52" i="61" s="1"/>
  <c r="G651" i="61"/>
  <c r="G650" i="61" s="1"/>
  <c r="G649" i="61" s="1"/>
  <c r="H647" i="61"/>
  <c r="G646" i="61"/>
  <c r="G644" i="61"/>
  <c r="G642" i="61"/>
  <c r="H643" i="61"/>
  <c r="G640" i="61"/>
  <c r="G638" i="61"/>
  <c r="G627" i="61"/>
  <c r="G632" i="61"/>
  <c r="H630" i="61"/>
  <c r="H631" i="61"/>
  <c r="G629" i="61"/>
  <c r="H629" i="61" s="1"/>
  <c r="G621" i="61"/>
  <c r="G613" i="61"/>
  <c r="G603" i="61"/>
  <c r="G602" i="61" s="1"/>
  <c r="G601" i="61" s="1"/>
  <c r="G599" i="61"/>
  <c r="G595" i="61"/>
  <c r="G594" i="61" s="1"/>
  <c r="G593" i="61" s="1"/>
  <c r="H593" i="61" s="1"/>
  <c r="G583" i="61"/>
  <c r="G582" i="61" s="1"/>
  <c r="G578" i="61"/>
  <c r="G590" i="61"/>
  <c r="G570" i="61"/>
  <c r="G565" i="61"/>
  <c r="G540" i="61"/>
  <c r="G572" i="61"/>
  <c r="G567" i="61"/>
  <c r="H566" i="61"/>
  <c r="G561" i="61"/>
  <c r="G559" i="61"/>
  <c r="G557" i="61"/>
  <c r="G553" i="61"/>
  <c r="G551" i="61"/>
  <c r="G545" i="61"/>
  <c r="G543" i="61"/>
  <c r="H541" i="61"/>
  <c r="H544" i="61"/>
  <c r="H535" i="61"/>
  <c r="G532" i="61"/>
  <c r="G531" i="61" s="1"/>
  <c r="H530" i="61"/>
  <c r="G529" i="61"/>
  <c r="G527" i="61"/>
  <c r="G525" i="61"/>
  <c r="H525" i="61" s="1"/>
  <c r="G522" i="61"/>
  <c r="G520" i="61"/>
  <c r="G518" i="61"/>
  <c r="G516" i="61"/>
  <c r="G514" i="61"/>
  <c r="G510" i="61"/>
  <c r="G505" i="61"/>
  <c r="G504" i="61" s="1"/>
  <c r="G499" i="61"/>
  <c r="G497" i="61"/>
  <c r="H498" i="61"/>
  <c r="H491" i="61"/>
  <c r="H494" i="61"/>
  <c r="G493" i="61"/>
  <c r="G492" i="61" s="1"/>
  <c r="G490" i="61"/>
  <c r="G488" i="61"/>
  <c r="H487" i="61"/>
  <c r="G486" i="61"/>
  <c r="G484" i="61"/>
  <c r="G482" i="61"/>
  <c r="G470" i="61"/>
  <c r="G469" i="61" s="1"/>
  <c r="G468" i="61" s="1"/>
  <c r="G467" i="61" s="1"/>
  <c r="H461" i="61"/>
  <c r="H458" i="61"/>
  <c r="G446" i="61"/>
  <c r="G445" i="61" s="1"/>
  <c r="G443" i="61"/>
  <c r="G441" i="61"/>
  <c r="H440" i="61"/>
  <c r="H442" i="61"/>
  <c r="G439" i="61"/>
  <c r="G437" i="61"/>
  <c r="H436" i="61"/>
  <c r="G435" i="61"/>
  <c r="H435" i="61" s="1"/>
  <c r="G416" i="61"/>
  <c r="G414" i="61"/>
  <c r="G412" i="61"/>
  <c r="G410" i="61"/>
  <c r="G408" i="61"/>
  <c r="G406" i="61"/>
  <c r="G404" i="61"/>
  <c r="G402" i="61"/>
  <c r="G386" i="61"/>
  <c r="G381" i="61"/>
  <c r="G379" i="61"/>
  <c r="G377" i="61"/>
  <c r="G375" i="61"/>
  <c r="G373" i="61"/>
  <c r="G371" i="61"/>
  <c r="G226" i="61"/>
  <c r="G358" i="61"/>
  <c r="G357" i="61" s="1"/>
  <c r="G355" i="61"/>
  <c r="G354" i="61" s="1"/>
  <c r="G352" i="61"/>
  <c r="G350" i="61"/>
  <c r="G348" i="61"/>
  <c r="H345" i="61"/>
  <c r="G346" i="61"/>
  <c r="H337" i="61"/>
  <c r="G334" i="61"/>
  <c r="G318" i="61"/>
  <c r="F318" i="61"/>
  <c r="G322" i="61"/>
  <c r="G320" i="61"/>
  <c r="G316" i="61"/>
  <c r="G312" i="61"/>
  <c r="G308" i="61"/>
  <c r="H304" i="61"/>
  <c r="H307" i="61"/>
  <c r="G303" i="61"/>
  <c r="G301" i="61"/>
  <c r="G291" i="61"/>
  <c r="G288" i="61"/>
  <c r="G286" i="61"/>
  <c r="G282" i="61"/>
  <c r="G276" i="61"/>
  <c r="G269" i="61"/>
  <c r="G268" i="61" s="1"/>
  <c r="G264" i="61"/>
  <c r="G261" i="61"/>
  <c r="G256" i="61"/>
  <c r="G254" i="61"/>
  <c r="G244" i="61"/>
  <c r="G234" i="61"/>
  <c r="G229" i="61"/>
  <c r="G216" i="61"/>
  <c r="G214" i="61"/>
  <c r="G212" i="61"/>
  <c r="G210" i="61"/>
  <c r="G208" i="61"/>
  <c r="G204" i="61"/>
  <c r="G200" i="61"/>
  <c r="G198" i="61"/>
  <c r="G196" i="61"/>
  <c r="H197" i="61"/>
  <c r="G187" i="61"/>
  <c r="G165" i="61"/>
  <c r="G163" i="61"/>
  <c r="G161" i="61"/>
  <c r="G159" i="61"/>
  <c r="G157" i="61"/>
  <c r="H152" i="61"/>
  <c r="H154" i="61"/>
  <c r="G151" i="61"/>
  <c r="G155" i="61"/>
  <c r="G146" i="61"/>
  <c r="G131" i="61"/>
  <c r="G130" i="61" s="1"/>
  <c r="G129" i="61" s="1"/>
  <c r="G128" i="61" s="1"/>
  <c r="G124" i="61"/>
  <c r="G123" i="61" s="1"/>
  <c r="G119" i="61"/>
  <c r="G121" i="61"/>
  <c r="G109" i="61"/>
  <c r="G105" i="61"/>
  <c r="G99" i="61"/>
  <c r="G96" i="61" s="1"/>
  <c r="G90" i="61"/>
  <c r="G87" i="61"/>
  <c r="G82" i="61"/>
  <c r="G81" i="61" s="1"/>
  <c r="G78" i="61"/>
  <c r="G77" i="61" s="1"/>
  <c r="G74" i="61"/>
  <c r="H73" i="61"/>
  <c r="G59" i="61"/>
  <c r="G58" i="61" s="1"/>
  <c r="G57" i="61" s="1"/>
  <c r="G56" i="61" s="1"/>
  <c r="G26" i="61"/>
  <c r="F652" i="61"/>
  <c r="F651" i="61" s="1"/>
  <c r="F650" i="61" s="1"/>
  <c r="F649" i="61" s="1"/>
  <c r="F648" i="61" s="1"/>
  <c r="F646" i="61"/>
  <c r="F644" i="61"/>
  <c r="F642" i="61"/>
  <c r="H642" i="61" s="1"/>
  <c r="F641" i="61"/>
  <c r="F640" i="61" s="1"/>
  <c r="F639" i="61"/>
  <c r="F638" i="61" s="1"/>
  <c r="H638" i="61" s="1"/>
  <c r="F633" i="61"/>
  <c r="F632" i="61" s="1"/>
  <c r="F629" i="61"/>
  <c r="F627" i="61"/>
  <c r="F622" i="61"/>
  <c r="F621" i="61" s="1"/>
  <c r="F620" i="61"/>
  <c r="F619" i="61" s="1"/>
  <c r="F618" i="61"/>
  <c r="F617" i="61" s="1"/>
  <c r="F615" i="61"/>
  <c r="F613" i="61"/>
  <c r="F608" i="61"/>
  <c r="F607" i="61" s="1"/>
  <c r="F606" i="61" s="1"/>
  <c r="F603" i="61"/>
  <c r="F602" i="61" s="1"/>
  <c r="F601" i="61" s="1"/>
  <c r="F600" i="61"/>
  <c r="F599" i="61" s="1"/>
  <c r="F598" i="61" s="1"/>
  <c r="F597" i="61" s="1"/>
  <c r="F595" i="61"/>
  <c r="F594" i="61" s="1"/>
  <c r="F593" i="61" s="1"/>
  <c r="F591" i="61"/>
  <c r="F590" i="61" s="1"/>
  <c r="F589" i="61" s="1"/>
  <c r="F588" i="61" s="1"/>
  <c r="F587" i="61" s="1"/>
  <c r="F585" i="61"/>
  <c r="F584" i="61"/>
  <c r="F580" i="61"/>
  <c r="F578" i="61"/>
  <c r="F572" i="61"/>
  <c r="F570" i="61"/>
  <c r="F567" i="61"/>
  <c r="F565" i="61"/>
  <c r="F562" i="61"/>
  <c r="F561" i="61" s="1"/>
  <c r="F559" i="61"/>
  <c r="F557" i="61"/>
  <c r="F555" i="61"/>
  <c r="F554" i="61"/>
  <c r="F553" i="61" s="1"/>
  <c r="F552" i="61"/>
  <c r="F551" i="61" s="1"/>
  <c r="F550" i="61"/>
  <c r="F549" i="61"/>
  <c r="F547" i="61"/>
  <c r="F545" i="61" s="1"/>
  <c r="F544" i="61"/>
  <c r="F543" i="61" s="1"/>
  <c r="F542" i="61"/>
  <c r="F540" i="61" s="1"/>
  <c r="F534" i="61"/>
  <c r="H534" i="61" s="1"/>
  <c r="F533" i="61"/>
  <c r="H533" i="61" s="1"/>
  <c r="F529" i="61"/>
  <c r="F527" i="61"/>
  <c r="F526" i="61"/>
  <c r="F525" i="61" s="1"/>
  <c r="F523" i="61"/>
  <c r="F522" i="61" s="1"/>
  <c r="F520" i="61"/>
  <c r="F519" i="61"/>
  <c r="F518" i="61" s="1"/>
  <c r="F517" i="61"/>
  <c r="F516" i="61" s="1"/>
  <c r="F515" i="61"/>
  <c r="F514" i="61" s="1"/>
  <c r="F512" i="61"/>
  <c r="H512" i="61" s="1"/>
  <c r="F511" i="61"/>
  <c r="H511" i="61" s="1"/>
  <c r="F505" i="61"/>
  <c r="F504" i="61" s="1"/>
  <c r="F503" i="61"/>
  <c r="F502" i="61" s="1"/>
  <c r="F501" i="61" s="1"/>
  <c r="F500" i="61"/>
  <c r="F499" i="61" s="1"/>
  <c r="F497" i="61"/>
  <c r="F493" i="61"/>
  <c r="F492" i="61" s="1"/>
  <c r="F490" i="61"/>
  <c r="F488" i="61"/>
  <c r="F486" i="61"/>
  <c r="F485" i="61"/>
  <c r="F484" i="61" s="1"/>
  <c r="F482" i="61"/>
  <c r="F477" i="61"/>
  <c r="F476" i="61"/>
  <c r="F475" i="61" s="1"/>
  <c r="F471" i="61"/>
  <c r="F470" i="61" s="1"/>
  <c r="F469" i="61" s="1"/>
  <c r="F468" i="61" s="1"/>
  <c r="F467" i="61" s="1"/>
  <c r="F466" i="61"/>
  <c r="F465" i="61" s="1"/>
  <c r="F464" i="61" s="1"/>
  <c r="F462" i="61"/>
  <c r="H462" i="61" s="1"/>
  <c r="F460" i="61"/>
  <c r="H460" i="61" s="1"/>
  <c r="F459" i="61"/>
  <c r="F458" i="61" s="1"/>
  <c r="F457" i="61"/>
  <c r="F456" i="61" s="1"/>
  <c r="F455" i="61"/>
  <c r="F454" i="61" s="1"/>
  <c r="F453" i="61"/>
  <c r="F452" i="61" s="1"/>
  <c r="F451" i="61"/>
  <c r="F450" i="61" s="1"/>
  <c r="F446" i="61"/>
  <c r="F445" i="61" s="1"/>
  <c r="F444" i="61"/>
  <c r="F443" i="61" s="1"/>
  <c r="F441" i="61"/>
  <c r="F439" i="61"/>
  <c r="F437" i="61"/>
  <c r="F435" i="61"/>
  <c r="F434" i="61"/>
  <c r="F433" i="61" s="1"/>
  <c r="F432" i="61"/>
  <c r="F431" i="61" s="1"/>
  <c r="F430" i="61"/>
  <c r="F429" i="61" s="1"/>
  <c r="F428" i="61"/>
  <c r="F427" i="61" s="1"/>
  <c r="F426" i="61"/>
  <c r="F425" i="61" s="1"/>
  <c r="F424" i="61"/>
  <c r="F423" i="61" s="1"/>
  <c r="F422" i="61"/>
  <c r="F421" i="61" s="1"/>
  <c r="F416" i="61"/>
  <c r="F414" i="61"/>
  <c r="F413" i="61"/>
  <c r="F412" i="61" s="1"/>
  <c r="F410" i="61"/>
  <c r="F409" i="61"/>
  <c r="F408" i="61" s="1"/>
  <c r="F406" i="61"/>
  <c r="F404" i="61"/>
  <c r="F402" i="61"/>
  <c r="F400" i="61"/>
  <c r="F399" i="61"/>
  <c r="F398" i="61" s="1"/>
  <c r="F397" i="61"/>
  <c r="F396" i="61" s="1"/>
  <c r="F395" i="61"/>
  <c r="F394" i="61" s="1"/>
  <c r="F393" i="61"/>
  <c r="F392" i="61" s="1"/>
  <c r="F390" i="61"/>
  <c r="F389" i="61"/>
  <c r="F388" i="61" s="1"/>
  <c r="F387" i="61"/>
  <c r="F386" i="61" s="1"/>
  <c r="F381" i="61"/>
  <c r="F379" i="61"/>
  <c r="F378" i="61"/>
  <c r="F377" i="61" s="1"/>
  <c r="F376" i="61"/>
  <c r="F375" i="61" s="1"/>
  <c r="F374" i="61"/>
  <c r="F373" i="61" s="1"/>
  <c r="F372" i="61"/>
  <c r="F371" i="61" s="1"/>
  <c r="F365" i="61"/>
  <c r="F364" i="61"/>
  <c r="F363" i="61" s="1"/>
  <c r="F358" i="61"/>
  <c r="F357" i="61" s="1"/>
  <c r="F356" i="61"/>
  <c r="F355" i="61" s="1"/>
  <c r="F354" i="61" s="1"/>
  <c r="F353" i="61"/>
  <c r="F352" i="61" s="1"/>
  <c r="F351" i="61"/>
  <c r="F350" i="61" s="1"/>
  <c r="F349" i="61"/>
  <c r="F348" i="61" s="1"/>
  <c r="F347" i="61"/>
  <c r="F346" i="61" s="1"/>
  <c r="F344" i="61"/>
  <c r="F342" i="61"/>
  <c r="F340" i="61"/>
  <c r="F338" i="61"/>
  <c r="F336" i="61"/>
  <c r="F335" i="61"/>
  <c r="F334" i="61" s="1"/>
  <c r="H334" i="61" s="1"/>
  <c r="F333" i="61"/>
  <c r="F332" i="61" s="1"/>
  <c r="F331" i="61"/>
  <c r="F330" i="61" s="1"/>
  <c r="F329" i="61"/>
  <c r="F328" i="61" s="1"/>
  <c r="F327" i="61"/>
  <c r="F326" i="61" s="1"/>
  <c r="F323" i="61"/>
  <c r="F322" i="61" s="1"/>
  <c r="F320" i="61"/>
  <c r="F317" i="61"/>
  <c r="F316" i="61" s="1"/>
  <c r="F315" i="61"/>
  <c r="F314" i="61" s="1"/>
  <c r="F313" i="61"/>
  <c r="F312" i="61" s="1"/>
  <c r="F309" i="61"/>
  <c r="F308" i="61" s="1"/>
  <c r="F306" i="61"/>
  <c r="F305" i="61" s="1"/>
  <c r="F303" i="61"/>
  <c r="F302" i="61"/>
  <c r="F301" i="61" s="1"/>
  <c r="F298" i="61"/>
  <c r="F297" i="61"/>
  <c r="F296" i="61" s="1"/>
  <c r="F295" i="61"/>
  <c r="F294" i="61" s="1"/>
  <c r="F292" i="61"/>
  <c r="F291" i="61" s="1"/>
  <c r="F290" i="61" s="1"/>
  <c r="F288" i="61"/>
  <c r="F287" i="61"/>
  <c r="F286" i="61" s="1"/>
  <c r="F285" i="61"/>
  <c r="F284" i="61" s="1"/>
  <c r="F283" i="61"/>
  <c r="F282" i="61" s="1"/>
  <c r="F281" i="61"/>
  <c r="F280" i="61" s="1"/>
  <c r="F276" i="61"/>
  <c r="F274" i="61"/>
  <c r="F269" i="61"/>
  <c r="F268" i="61" s="1"/>
  <c r="F267" i="61"/>
  <c r="F266" i="61" s="1"/>
  <c r="F265" i="61"/>
  <c r="F264" i="61" s="1"/>
  <c r="F262" i="61"/>
  <c r="F261" i="61" s="1"/>
  <c r="F260" i="61"/>
  <c r="F259" i="61" s="1"/>
  <c r="F257" i="61"/>
  <c r="F256" i="61" s="1"/>
  <c r="F255" i="61"/>
  <c r="F254" i="61" s="1"/>
  <c r="F251" i="61"/>
  <c r="F250" i="61" s="1"/>
  <c r="F249" i="61" s="1"/>
  <c r="F248" i="61" s="1"/>
  <c r="F245" i="61"/>
  <c r="F244" i="61" s="1"/>
  <c r="F243" i="61" s="1"/>
  <c r="F242" i="61" s="1"/>
  <c r="F241" i="61" s="1"/>
  <c r="F240" i="61"/>
  <c r="F239" i="61" s="1"/>
  <c r="F237" i="61"/>
  <c r="F234" i="61"/>
  <c r="F233" i="61"/>
  <c r="F232" i="61" s="1"/>
  <c r="F230" i="61"/>
  <c r="F229" i="61" s="1"/>
  <c r="F228" i="61"/>
  <c r="F227" i="61"/>
  <c r="F220" i="61"/>
  <c r="F219" i="61" s="1"/>
  <c r="F217" i="61"/>
  <c r="F216" i="61" s="1"/>
  <c r="F214" i="61"/>
  <c r="F212" i="61"/>
  <c r="F211" i="61"/>
  <c r="F210" i="61" s="1"/>
  <c r="F209" i="61"/>
  <c r="F208" i="61" s="1"/>
  <c r="F206" i="61"/>
  <c r="F205" i="61"/>
  <c r="F204" i="61" s="1"/>
  <c r="F201" i="61"/>
  <c r="F200" i="61" s="1"/>
  <c r="F199" i="61"/>
  <c r="F198" i="61" s="1"/>
  <c r="F196" i="61"/>
  <c r="F192" i="61"/>
  <c r="F191" i="61" s="1"/>
  <c r="F190" i="61"/>
  <c r="F189" i="61" s="1"/>
  <c r="F187" i="61"/>
  <c r="F183" i="61"/>
  <c r="F181" i="61"/>
  <c r="F179" i="61"/>
  <c r="F178" i="61"/>
  <c r="F177" i="61" s="1"/>
  <c r="F176" i="61"/>
  <c r="F175" i="61" s="1"/>
  <c r="F174" i="61"/>
  <c r="F173" i="61" s="1"/>
  <c r="F170" i="61"/>
  <c r="F169" i="61" s="1"/>
  <c r="F168" i="61"/>
  <c r="F167" i="61" s="1"/>
  <c r="F166" i="61"/>
  <c r="F165" i="61" s="1"/>
  <c r="F164" i="61"/>
  <c r="F163" i="61" s="1"/>
  <c r="F162" i="61"/>
  <c r="F161" i="61" s="1"/>
  <c r="F160" i="61"/>
  <c r="F159" i="61" s="1"/>
  <c r="F158" i="61"/>
  <c r="F157" i="61" s="1"/>
  <c r="F156" i="61"/>
  <c r="F155" i="61" s="1"/>
  <c r="F153" i="61"/>
  <c r="F151" i="61"/>
  <c r="F147" i="61"/>
  <c r="F146" i="61" s="1"/>
  <c r="F144" i="61"/>
  <c r="F142" i="61"/>
  <c r="F138" i="61"/>
  <c r="F137" i="61" s="1"/>
  <c r="F136" i="61" s="1"/>
  <c r="F135" i="61" s="1"/>
  <c r="F134" i="61" s="1"/>
  <c r="F132" i="61"/>
  <c r="F131" i="61" s="1"/>
  <c r="F130" i="61" s="1"/>
  <c r="F129" i="61" s="1"/>
  <c r="F128" i="61" s="1"/>
  <c r="F127" i="61"/>
  <c r="F126" i="61"/>
  <c r="F125" i="61"/>
  <c r="F121" i="61"/>
  <c r="F119" i="61"/>
  <c r="F116" i="61"/>
  <c r="F114" i="61"/>
  <c r="F112" i="61"/>
  <c r="H112" i="61" s="1"/>
  <c r="F111" i="61"/>
  <c r="H111" i="61" s="1"/>
  <c r="F107" i="61"/>
  <c r="F105" i="61"/>
  <c r="F99" i="61"/>
  <c r="F94" i="61"/>
  <c r="F92" i="61"/>
  <c r="F91" i="61"/>
  <c r="F89" i="61"/>
  <c r="F88" i="61"/>
  <c r="F85" i="61"/>
  <c r="F84" i="61"/>
  <c r="F83" i="61"/>
  <c r="H83" i="61" s="1"/>
  <c r="F78" i="61"/>
  <c r="F77" i="61" s="1"/>
  <c r="F74" i="61"/>
  <c r="F72" i="61"/>
  <c r="H72" i="61" s="1"/>
  <c r="F71" i="61"/>
  <c r="F69" i="61"/>
  <c r="F68" i="61" s="1"/>
  <c r="F67" i="61"/>
  <c r="F66" i="61" s="1"/>
  <c r="F65" i="61"/>
  <c r="F64" i="61" s="1"/>
  <c r="F60" i="61"/>
  <c r="F59" i="61" s="1"/>
  <c r="F58" i="61" s="1"/>
  <c r="F57" i="61" s="1"/>
  <c r="F56" i="61" s="1"/>
  <c r="F55" i="61"/>
  <c r="F54" i="61"/>
  <c r="F50" i="61"/>
  <c r="F49" i="61"/>
  <c r="F43" i="61"/>
  <c r="F42" i="61" s="1"/>
  <c r="F41" i="61" s="1"/>
  <c r="F40" i="61" s="1"/>
  <c r="F39" i="61"/>
  <c r="F38" i="61"/>
  <c r="F37" i="61"/>
  <c r="F32" i="61"/>
  <c r="F31" i="61" s="1"/>
  <c r="F28" i="61"/>
  <c r="F27" i="61"/>
  <c r="F24" i="61"/>
  <c r="F20" i="61"/>
  <c r="F19" i="61" s="1"/>
  <c r="F18" i="61" s="1"/>
  <c r="F17" i="61" s="1"/>
  <c r="C14" i="62"/>
  <c r="G626" i="61" l="1"/>
  <c r="G625" i="61" s="1"/>
  <c r="G624" i="61" s="1"/>
  <c r="G623" i="61" s="1"/>
  <c r="H540" i="61"/>
  <c r="H621" i="61"/>
  <c r="J369" i="65"/>
  <c r="I323" i="65"/>
  <c r="H196" i="61"/>
  <c r="E110" i="3"/>
  <c r="H492" i="61"/>
  <c r="H587" i="61"/>
  <c r="H467" i="61"/>
  <c r="H588" i="61"/>
  <c r="H600" i="61"/>
  <c r="H619" i="61"/>
  <c r="H651" i="61"/>
  <c r="H439" i="61"/>
  <c r="H469" i="61"/>
  <c r="H486" i="61"/>
  <c r="H543" i="61"/>
  <c r="H553" i="61"/>
  <c r="H620" i="61"/>
  <c r="F325" i="61"/>
  <c r="H482" i="61"/>
  <c r="G225" i="61"/>
  <c r="H441" i="61"/>
  <c r="H475" i="61"/>
  <c r="G569" i="61"/>
  <c r="H632" i="61"/>
  <c r="H640" i="61"/>
  <c r="H646" i="61"/>
  <c r="D442" i="3"/>
  <c r="D370" i="3"/>
  <c r="D369" i="3" s="1"/>
  <c r="D348" i="3"/>
  <c r="D347" i="3" s="1"/>
  <c r="D455" i="3"/>
  <c r="D454" i="3" s="1"/>
  <c r="D82" i="3"/>
  <c r="D268" i="3"/>
  <c r="D17" i="3"/>
  <c r="D392" i="3"/>
  <c r="D329" i="3"/>
  <c r="D202" i="3"/>
  <c r="D583" i="3"/>
  <c r="D257" i="3"/>
  <c r="D248" i="3" s="1"/>
  <c r="D603" i="3"/>
  <c r="D547" i="3"/>
  <c r="D546" i="3" s="1"/>
  <c r="D290" i="3"/>
  <c r="D477" i="3"/>
  <c r="D476" i="3" s="1"/>
  <c r="D416" i="3"/>
  <c r="F118" i="3"/>
  <c r="D218" i="3"/>
  <c r="F218" i="3" s="1"/>
  <c r="F219" i="3"/>
  <c r="D282" i="3"/>
  <c r="F283" i="3"/>
  <c r="E144" i="3"/>
  <c r="D110" i="3"/>
  <c r="D222" i="3"/>
  <c r="D495" i="3"/>
  <c r="D494" i="3" s="1"/>
  <c r="D144" i="3"/>
  <c r="D36" i="3"/>
  <c r="H658" i="65"/>
  <c r="J658" i="65" s="1"/>
  <c r="J659" i="65"/>
  <c r="H662" i="65"/>
  <c r="J663" i="65"/>
  <c r="H677" i="65"/>
  <c r="J677" i="65" s="1"/>
  <c r="J679" i="65"/>
  <c r="H686" i="65"/>
  <c r="J686" i="65" s="1"/>
  <c r="J687" i="65"/>
  <c r="J417" i="65"/>
  <c r="J480" i="65"/>
  <c r="J511" i="65"/>
  <c r="J591" i="65"/>
  <c r="J625" i="65"/>
  <c r="I632" i="65"/>
  <c r="J632" i="65" s="1"/>
  <c r="J633" i="65"/>
  <c r="J744" i="65"/>
  <c r="H675" i="65"/>
  <c r="J676" i="65"/>
  <c r="H692" i="65"/>
  <c r="J692" i="65" s="1"/>
  <c r="J693" i="65"/>
  <c r="J409" i="65"/>
  <c r="H650" i="65"/>
  <c r="J650" i="65" s="1"/>
  <c r="J651" i="65"/>
  <c r="J488" i="65"/>
  <c r="J545" i="65"/>
  <c r="J592" i="65"/>
  <c r="J624" i="65"/>
  <c r="J626" i="65"/>
  <c r="J745" i="65"/>
  <c r="H684" i="65"/>
  <c r="J684" i="65" s="1"/>
  <c r="J685" i="65"/>
  <c r="J492" i="65"/>
  <c r="J337" i="65"/>
  <c r="J485" i="65"/>
  <c r="J628" i="65"/>
  <c r="J696" i="65"/>
  <c r="I734" i="65"/>
  <c r="I724" i="65"/>
  <c r="I723" i="65" s="1"/>
  <c r="I710" i="65"/>
  <c r="I698" i="65"/>
  <c r="I668" i="65" s="1"/>
  <c r="I627" i="65"/>
  <c r="I616" i="65"/>
  <c r="I564" i="65"/>
  <c r="H499" i="65"/>
  <c r="J566" i="65"/>
  <c r="J332" i="65"/>
  <c r="J339" i="65"/>
  <c r="J343" i="65"/>
  <c r="J357" i="65"/>
  <c r="J493" i="65"/>
  <c r="I543" i="65"/>
  <c r="I542" i="65" s="1"/>
  <c r="I541" i="65" s="1"/>
  <c r="J593" i="65"/>
  <c r="J340" i="65"/>
  <c r="J477" i="65"/>
  <c r="J508" i="65"/>
  <c r="J528" i="65"/>
  <c r="J567" i="65"/>
  <c r="J594" i="65"/>
  <c r="H111" i="65"/>
  <c r="H110" i="65" s="1"/>
  <c r="J252" i="65"/>
  <c r="J330" i="65"/>
  <c r="J348" i="65"/>
  <c r="J367" i="65"/>
  <c r="J458" i="65"/>
  <c r="J482" i="65"/>
  <c r="J546" i="65"/>
  <c r="J601" i="65"/>
  <c r="I598" i="65"/>
  <c r="J599" i="65"/>
  <c r="J600" i="65"/>
  <c r="I572" i="65"/>
  <c r="I520" i="65"/>
  <c r="I421" i="65"/>
  <c r="I403" i="65"/>
  <c r="I406" i="65"/>
  <c r="I399" i="65"/>
  <c r="J333" i="65"/>
  <c r="J349" i="65"/>
  <c r="J305" i="65"/>
  <c r="J338" i="65"/>
  <c r="J342" i="65"/>
  <c r="I345" i="65"/>
  <c r="I328" i="65"/>
  <c r="J276" i="65"/>
  <c r="J303" i="65"/>
  <c r="J308" i="65"/>
  <c r="I315" i="65"/>
  <c r="I314" i="65" s="1"/>
  <c r="J277" i="65"/>
  <c r="H291" i="65"/>
  <c r="H290" i="65" s="1"/>
  <c r="H289" i="65" s="1"/>
  <c r="J304" i="65"/>
  <c r="J306" i="65"/>
  <c r="J302" i="65"/>
  <c r="J274" i="65"/>
  <c r="I291" i="65"/>
  <c r="I290" i="65" s="1"/>
  <c r="I289" i="65" s="1"/>
  <c r="J300" i="65"/>
  <c r="I278" i="65"/>
  <c r="J246" i="65"/>
  <c r="J271" i="65"/>
  <c r="J235" i="65"/>
  <c r="J236" i="65"/>
  <c r="I273" i="65"/>
  <c r="I272" i="65" s="1"/>
  <c r="J247" i="65"/>
  <c r="H77" i="65"/>
  <c r="H76" i="65" s="1"/>
  <c r="J249" i="65"/>
  <c r="J253" i="65"/>
  <c r="I261" i="65"/>
  <c r="J251" i="65"/>
  <c r="J254" i="65"/>
  <c r="H739" i="65"/>
  <c r="H738" i="65" s="1"/>
  <c r="J255" i="65"/>
  <c r="J266" i="65"/>
  <c r="I259" i="65"/>
  <c r="H188" i="65"/>
  <c r="J243" i="65"/>
  <c r="J112" i="65"/>
  <c r="J191" i="65"/>
  <c r="I211" i="65"/>
  <c r="J114" i="65"/>
  <c r="J196" i="65"/>
  <c r="H494" i="65"/>
  <c r="I137" i="65"/>
  <c r="J143" i="65"/>
  <c r="J158" i="65"/>
  <c r="H137" i="65"/>
  <c r="H136" i="65" s="1"/>
  <c r="H135" i="65" s="1"/>
  <c r="H134" i="65" s="1"/>
  <c r="H713" i="65"/>
  <c r="J153" i="65"/>
  <c r="J157" i="65"/>
  <c r="J166" i="65"/>
  <c r="J185" i="65"/>
  <c r="H328" i="65"/>
  <c r="H391" i="65"/>
  <c r="H390" i="65" s="1"/>
  <c r="H389" i="65" s="1"/>
  <c r="H388" i="65" s="1"/>
  <c r="J192" i="65"/>
  <c r="I199" i="65"/>
  <c r="I195" i="65" s="1"/>
  <c r="I194" i="65" s="1"/>
  <c r="I183" i="65"/>
  <c r="H147" i="65"/>
  <c r="H146" i="65" s="1"/>
  <c r="H145" i="65" s="1"/>
  <c r="H638" i="65"/>
  <c r="H655" i="65"/>
  <c r="J150" i="65"/>
  <c r="J152" i="65"/>
  <c r="J161" i="65"/>
  <c r="J167" i="65"/>
  <c r="H45" i="65"/>
  <c r="H44" i="65" s="1"/>
  <c r="H39" i="65" s="1"/>
  <c r="H38" i="65" s="1"/>
  <c r="H132" i="65"/>
  <c r="H131" i="65" s="1"/>
  <c r="H130" i="65" s="1"/>
  <c r="H129" i="65" s="1"/>
  <c r="H128" i="65" s="1"/>
  <c r="J159" i="65"/>
  <c r="H21" i="65"/>
  <c r="H18" i="65" s="1"/>
  <c r="H17" i="65" s="1"/>
  <c r="H16" i="65" s="1"/>
  <c r="H15" i="65" s="1"/>
  <c r="H14" i="65" s="1"/>
  <c r="H34" i="65"/>
  <c r="H33" i="65" s="1"/>
  <c r="H199" i="65"/>
  <c r="H195" i="65" s="1"/>
  <c r="H194" i="65" s="1"/>
  <c r="H345" i="65"/>
  <c r="H416" i="65"/>
  <c r="I111" i="65"/>
  <c r="I110" i="65" s="1"/>
  <c r="J110" i="65" s="1"/>
  <c r="I130" i="65"/>
  <c r="I129" i="65" s="1"/>
  <c r="H323" i="65"/>
  <c r="H459" i="65"/>
  <c r="H627" i="65"/>
  <c r="J138" i="65"/>
  <c r="H336" i="65"/>
  <c r="H335" i="65" s="1"/>
  <c r="H334" i="65" s="1"/>
  <c r="H440" i="65"/>
  <c r="H586" i="65"/>
  <c r="H585" i="65" s="1"/>
  <c r="H705" i="65"/>
  <c r="H719" i="65"/>
  <c r="H718" i="65" s="1"/>
  <c r="H726" i="65"/>
  <c r="H82" i="65"/>
  <c r="J82" i="65" s="1"/>
  <c r="H107" i="65"/>
  <c r="H106" i="65" s="1"/>
  <c r="H105" i="65" s="1"/>
  <c r="H232" i="65"/>
  <c r="H231" i="65" s="1"/>
  <c r="H230" i="65" s="1"/>
  <c r="H273" i="65"/>
  <c r="H272" i="65" s="1"/>
  <c r="H278" i="65"/>
  <c r="H433" i="65"/>
  <c r="J61" i="65"/>
  <c r="J140" i="65"/>
  <c r="H421" i="65"/>
  <c r="H450" i="65"/>
  <c r="H184" i="65"/>
  <c r="H183" i="65" s="1"/>
  <c r="H211" i="65"/>
  <c r="H400" i="65"/>
  <c r="J400" i="65" s="1"/>
  <c r="H399" i="65"/>
  <c r="H398" i="65" s="1"/>
  <c r="H397" i="65" s="1"/>
  <c r="J83" i="65"/>
  <c r="H91" i="65"/>
  <c r="H170" i="65"/>
  <c r="H169" i="65" s="1"/>
  <c r="H168" i="65" s="1"/>
  <c r="H700" i="65"/>
  <c r="H298" i="65"/>
  <c r="H297" i="65" s="1"/>
  <c r="H28" i="65"/>
  <c r="H27" i="65" s="1"/>
  <c r="H26" i="65" s="1"/>
  <c r="H25" i="65" s="1"/>
  <c r="H24" i="65" s="1"/>
  <c r="H58" i="65"/>
  <c r="H57" i="65" s="1"/>
  <c r="H85" i="65"/>
  <c r="H223" i="65"/>
  <c r="H222" i="65" s="1"/>
  <c r="H245" i="65"/>
  <c r="H507" i="65"/>
  <c r="H520" i="65"/>
  <c r="H590" i="65"/>
  <c r="H683" i="65"/>
  <c r="J683" i="65" s="1"/>
  <c r="J86" i="65"/>
  <c r="H65" i="65"/>
  <c r="H60" i="65" s="1"/>
  <c r="H100" i="65"/>
  <c r="H117" i="65"/>
  <c r="H116" i="65" s="1"/>
  <c r="H467" i="65"/>
  <c r="H560" i="65"/>
  <c r="H559" i="65" s="1"/>
  <c r="H558" i="65" s="1"/>
  <c r="H680" i="65"/>
  <c r="J58" i="65"/>
  <c r="I93" i="65"/>
  <c r="I60" i="65"/>
  <c r="I56" i="65" s="1"/>
  <c r="I55" i="65" s="1"/>
  <c r="I54" i="65" s="1"/>
  <c r="I32" i="65" s="1"/>
  <c r="H544" i="65"/>
  <c r="J544" i="65" s="1"/>
  <c r="H543" i="65"/>
  <c r="H542" i="65" s="1"/>
  <c r="H541" i="65" s="1"/>
  <c r="H99" i="65"/>
  <c r="H206" i="65"/>
  <c r="H261" i="65"/>
  <c r="H260" i="65"/>
  <c r="H259" i="65" s="1"/>
  <c r="H564" i="65"/>
  <c r="H123" i="65"/>
  <c r="H122" i="65" s="1"/>
  <c r="J122" i="65" s="1"/>
  <c r="H265" i="65"/>
  <c r="H315" i="65"/>
  <c r="H314" i="65" s="1"/>
  <c r="H351" i="65"/>
  <c r="H350" i="65" s="1"/>
  <c r="H406" i="65"/>
  <c r="H405" i="65"/>
  <c r="H404" i="65" s="1"/>
  <c r="H478" i="65"/>
  <c r="H487" i="65"/>
  <c r="H525" i="65"/>
  <c r="H550" i="65"/>
  <c r="H549" i="65" s="1"/>
  <c r="H548" i="65" s="1"/>
  <c r="H547" i="65" s="1"/>
  <c r="H572" i="65"/>
  <c r="H616" i="65"/>
  <c r="H308" i="61"/>
  <c r="H346" i="61"/>
  <c r="H443" i="61"/>
  <c r="H457" i="61"/>
  <c r="H470" i="61"/>
  <c r="H559" i="61"/>
  <c r="H589" i="61"/>
  <c r="H599" i="61"/>
  <c r="H641" i="61"/>
  <c r="H652" i="61"/>
  <c r="H347" i="61"/>
  <c r="H529" i="61"/>
  <c r="H542" i="61"/>
  <c r="H554" i="61"/>
  <c r="H591" i="61"/>
  <c r="H590" i="61"/>
  <c r="H622" i="61"/>
  <c r="H639" i="61"/>
  <c r="F300" i="61"/>
  <c r="H335" i="61"/>
  <c r="H387" i="61"/>
  <c r="H444" i="61"/>
  <c r="H459" i="61"/>
  <c r="H468" i="61"/>
  <c r="H493" i="61"/>
  <c r="H497" i="61"/>
  <c r="H526" i="61"/>
  <c r="G564" i="61"/>
  <c r="G563" i="61" s="1"/>
  <c r="H594" i="61"/>
  <c r="H633" i="61"/>
  <c r="G648" i="61"/>
  <c r="H648" i="61" s="1"/>
  <c r="H649" i="61"/>
  <c r="H650" i="61"/>
  <c r="G637" i="61"/>
  <c r="H613" i="61"/>
  <c r="G598" i="61"/>
  <c r="H595" i="61"/>
  <c r="H578" i="61"/>
  <c r="G513" i="61"/>
  <c r="G509" i="61"/>
  <c r="G496" i="61"/>
  <c r="G481" i="61"/>
  <c r="G480" i="61" s="1"/>
  <c r="H386" i="61"/>
  <c r="G370" i="61"/>
  <c r="G369" i="61" s="1"/>
  <c r="H371" i="61"/>
  <c r="H259" i="61"/>
  <c r="H306" i="61"/>
  <c r="H309" i="61"/>
  <c r="F258" i="61"/>
  <c r="H286" i="61"/>
  <c r="H312" i="61"/>
  <c r="H282" i="61"/>
  <c r="H268" i="61"/>
  <c r="H163" i="61"/>
  <c r="F226" i="61"/>
  <c r="F225" i="61" s="1"/>
  <c r="H245" i="61"/>
  <c r="H287" i="61"/>
  <c r="F26" i="61"/>
  <c r="F104" i="61"/>
  <c r="F253" i="61"/>
  <c r="H254" i="61"/>
  <c r="H283" i="61"/>
  <c r="H261" i="61"/>
  <c r="H285" i="61"/>
  <c r="F231" i="61"/>
  <c r="G258" i="61"/>
  <c r="H267" i="61"/>
  <c r="G253" i="61"/>
  <c r="H262" i="61"/>
  <c r="F87" i="61"/>
  <c r="H244" i="61"/>
  <c r="H256" i="61"/>
  <c r="H257" i="61"/>
  <c r="G236" i="61"/>
  <c r="H237" i="61"/>
  <c r="H165" i="61"/>
  <c r="H157" i="61"/>
  <c r="F23" i="61"/>
  <c r="F22" i="61" s="1"/>
  <c r="F82" i="61"/>
  <c r="F81" i="61" s="1"/>
  <c r="H81" i="61" s="1"/>
  <c r="F273" i="61"/>
  <c r="F272" i="61" s="1"/>
  <c r="H187" i="61"/>
  <c r="F186" i="61"/>
  <c r="F185" i="61" s="1"/>
  <c r="F53" i="61"/>
  <c r="H53" i="61" s="1"/>
  <c r="F510" i="61"/>
  <c r="F509" i="61" s="1"/>
  <c r="H205" i="61"/>
  <c r="H151" i="61"/>
  <c r="F141" i="61"/>
  <c r="F140" i="61" s="1"/>
  <c r="F139" i="61" s="1"/>
  <c r="H146" i="61"/>
  <c r="H204" i="61"/>
  <c r="F48" i="61"/>
  <c r="F47" i="61" s="1"/>
  <c r="F564" i="61"/>
  <c r="F563" i="61" s="1"/>
  <c r="H155" i="61"/>
  <c r="F70" i="61"/>
  <c r="F63" i="61" s="1"/>
  <c r="F62" i="61" s="1"/>
  <c r="F577" i="61"/>
  <c r="F576" i="61" s="1"/>
  <c r="F90" i="61"/>
  <c r="H147" i="61"/>
  <c r="H156" i="61"/>
  <c r="H168" i="61"/>
  <c r="F592" i="61"/>
  <c r="H164" i="61"/>
  <c r="H166" i="61"/>
  <c r="F293" i="61"/>
  <c r="F218" i="61"/>
  <c r="F362" i="61"/>
  <c r="F361" i="61" s="1"/>
  <c r="F360" i="61" s="1"/>
  <c r="F385" i="61"/>
  <c r="F384" i="61" s="1"/>
  <c r="F383" i="61" s="1"/>
  <c r="F474" i="61"/>
  <c r="F473" i="61" s="1"/>
  <c r="F172" i="61"/>
  <c r="F171" i="61" s="1"/>
  <c r="F496" i="61"/>
  <c r="F495" i="61" s="1"/>
  <c r="F532" i="61"/>
  <c r="F531" i="61" s="1"/>
  <c r="H74" i="61"/>
  <c r="F113" i="61"/>
  <c r="F311" i="61"/>
  <c r="F310" i="61" s="1"/>
  <c r="F324" i="61"/>
  <c r="H60" i="61"/>
  <c r="F36" i="61"/>
  <c r="F35" i="61" s="1"/>
  <c r="F30" i="61" s="1"/>
  <c r="F29" i="61" s="1"/>
  <c r="F110" i="61"/>
  <c r="F109" i="61" s="1"/>
  <c r="F118" i="61"/>
  <c r="F203" i="61"/>
  <c r="F202" i="61" s="1"/>
  <c r="F449" i="61"/>
  <c r="F448" i="61" s="1"/>
  <c r="F548" i="61"/>
  <c r="F539" i="61" s="1"/>
  <c r="F538" i="61" s="1"/>
  <c r="F569" i="61"/>
  <c r="H54" i="61"/>
  <c r="H59" i="61"/>
  <c r="F150" i="61"/>
  <c r="F149" i="61" s="1"/>
  <c r="F195" i="61"/>
  <c r="F194" i="61" s="1"/>
  <c r="F263" i="61"/>
  <c r="F583" i="61"/>
  <c r="F582" i="61" s="1"/>
  <c r="F626" i="61"/>
  <c r="F625" i="61" s="1"/>
  <c r="F624" i="61" s="1"/>
  <c r="F623" i="61" s="1"/>
  <c r="H105" i="61"/>
  <c r="G98" i="61"/>
  <c r="G86" i="61"/>
  <c r="G76" i="61" s="1"/>
  <c r="F96" i="61"/>
  <c r="F98" i="61"/>
  <c r="F97" i="61" s="1"/>
  <c r="F124" i="61"/>
  <c r="F123" i="61" s="1"/>
  <c r="F236" i="61"/>
  <c r="F370" i="61"/>
  <c r="F369" i="61" s="1"/>
  <c r="F368" i="61" s="1"/>
  <c r="F481" i="61"/>
  <c r="F480" i="61" s="1"/>
  <c r="F513" i="61"/>
  <c r="F637" i="61"/>
  <c r="F636" i="61" s="1"/>
  <c r="F635" i="61" s="1"/>
  <c r="F634" i="61" s="1"/>
  <c r="F279" i="61"/>
  <c r="F420" i="61"/>
  <c r="F419" i="61" s="1"/>
  <c r="F612" i="61"/>
  <c r="F611" i="61" s="1"/>
  <c r="F605" i="61" s="1"/>
  <c r="E33" i="1"/>
  <c r="E55" i="1"/>
  <c r="E53" i="1"/>
  <c r="E49" i="1"/>
  <c r="E40" i="1"/>
  <c r="E34" i="1"/>
  <c r="E38" i="1"/>
  <c r="F38" i="1"/>
  <c r="G39" i="1"/>
  <c r="G40" i="1"/>
  <c r="G41" i="1"/>
  <c r="E29" i="1"/>
  <c r="G38" i="1" l="1"/>
  <c r="H513" i="61"/>
  <c r="D346" i="3"/>
  <c r="D16" i="3"/>
  <c r="D556" i="3"/>
  <c r="D328" i="3"/>
  <c r="D320" i="3" s="1"/>
  <c r="D143" i="3"/>
  <c r="F282" i="3"/>
  <c r="D281" i="3"/>
  <c r="D247" i="3" s="1"/>
  <c r="H661" i="65"/>
  <c r="J662" i="65"/>
  <c r="H671" i="65"/>
  <c r="J680" i="65"/>
  <c r="H725" i="65"/>
  <c r="J726" i="65"/>
  <c r="H654" i="65"/>
  <c r="J655" i="65"/>
  <c r="H712" i="65"/>
  <c r="J712" i="65" s="1"/>
  <c r="J713" i="65"/>
  <c r="H737" i="65"/>
  <c r="J738" i="65"/>
  <c r="H699" i="65"/>
  <c r="J700" i="65"/>
  <c r="H711" i="65"/>
  <c r="H322" i="65"/>
  <c r="H637" i="65"/>
  <c r="J542" i="65"/>
  <c r="I563" i="65"/>
  <c r="I557" i="65" s="1"/>
  <c r="I556" i="65" s="1"/>
  <c r="J405" i="65"/>
  <c r="I615" i="65"/>
  <c r="I614" i="65" s="1"/>
  <c r="J638" i="65"/>
  <c r="I722" i="65"/>
  <c r="I667" i="65"/>
  <c r="I613" i="65"/>
  <c r="I612" i="65" s="1"/>
  <c r="I398" i="65"/>
  <c r="J399" i="65"/>
  <c r="J487" i="65"/>
  <c r="J543" i="65"/>
  <c r="J406" i="65"/>
  <c r="J494" i="65"/>
  <c r="J559" i="65"/>
  <c r="J541" i="65"/>
  <c r="H403" i="65"/>
  <c r="J403" i="65" s="1"/>
  <c r="J404" i="65"/>
  <c r="I597" i="65"/>
  <c r="J598" i="65"/>
  <c r="J558" i="65"/>
  <c r="J289" i="65"/>
  <c r="J345" i="65"/>
  <c r="J132" i="65"/>
  <c r="J291" i="65"/>
  <c r="J290" i="65"/>
  <c r="H432" i="65"/>
  <c r="H431" i="65" s="1"/>
  <c r="J273" i="65"/>
  <c r="J261" i="65"/>
  <c r="J260" i="65"/>
  <c r="J259" i="65"/>
  <c r="J111" i="65"/>
  <c r="J131" i="65"/>
  <c r="H296" i="65"/>
  <c r="H288" i="65" s="1"/>
  <c r="J230" i="65"/>
  <c r="H670" i="65"/>
  <c r="J194" i="65"/>
  <c r="J195" i="65"/>
  <c r="J184" i="65"/>
  <c r="H238" i="65"/>
  <c r="H229" i="65" s="1"/>
  <c r="H228" i="65" s="1"/>
  <c r="J183" i="65"/>
  <c r="H144" i="65"/>
  <c r="H205" i="65"/>
  <c r="H204" i="65" s="1"/>
  <c r="H193" i="65" s="1"/>
  <c r="J123" i="65"/>
  <c r="H81" i="65"/>
  <c r="H71" i="65" s="1"/>
  <c r="J107" i="65"/>
  <c r="J130" i="65"/>
  <c r="H415" i="65"/>
  <c r="H414" i="65" s="1"/>
  <c r="H413" i="65" s="1"/>
  <c r="H396" i="65" s="1"/>
  <c r="H615" i="65"/>
  <c r="H614" i="65" s="1"/>
  <c r="H613" i="65" s="1"/>
  <c r="J613" i="65" s="1"/>
  <c r="H98" i="65"/>
  <c r="H97" i="65" s="1"/>
  <c r="H90" i="65" s="1"/>
  <c r="H466" i="65"/>
  <c r="H465" i="65" s="1"/>
  <c r="H464" i="65" s="1"/>
  <c r="I128" i="65"/>
  <c r="J129" i="65"/>
  <c r="H506" i="65"/>
  <c r="H505" i="65" s="1"/>
  <c r="H504" i="65" s="1"/>
  <c r="H264" i="65"/>
  <c r="H258" i="65" s="1"/>
  <c r="J91" i="65"/>
  <c r="H449" i="65"/>
  <c r="H448" i="65" s="1"/>
  <c r="H447" i="65" s="1"/>
  <c r="H563" i="65"/>
  <c r="H557" i="65" s="1"/>
  <c r="H556" i="65" s="1"/>
  <c r="J60" i="65"/>
  <c r="I92" i="65"/>
  <c r="J92" i="65" s="1"/>
  <c r="J93" i="65"/>
  <c r="H56" i="65"/>
  <c r="H55" i="65" s="1"/>
  <c r="H480" i="61"/>
  <c r="H532" i="61"/>
  <c r="F86" i="61"/>
  <c r="F76" i="61" s="1"/>
  <c r="F61" i="61" s="1"/>
  <c r="H637" i="61"/>
  <c r="H510" i="61"/>
  <c r="H370" i="61"/>
  <c r="G636" i="61"/>
  <c r="H636" i="61" s="1"/>
  <c r="G597" i="61"/>
  <c r="H598" i="61"/>
  <c r="G508" i="61"/>
  <c r="H509" i="61"/>
  <c r="H496" i="61"/>
  <c r="H369" i="61"/>
  <c r="G368" i="61"/>
  <c r="H236" i="61"/>
  <c r="H253" i="61"/>
  <c r="H82" i="61"/>
  <c r="F586" i="61"/>
  <c r="F575" i="61"/>
  <c r="F574" i="61" s="1"/>
  <c r="F508" i="61"/>
  <c r="F507" i="61" s="1"/>
  <c r="F52" i="61"/>
  <c r="F46" i="61" s="1"/>
  <c r="F45" i="61" s="1"/>
  <c r="F537" i="61"/>
  <c r="F252" i="61"/>
  <c r="F247" i="61" s="1"/>
  <c r="H194" i="61"/>
  <c r="H195" i="61"/>
  <c r="F193" i="61"/>
  <c r="F224" i="61"/>
  <c r="F223" i="61" s="1"/>
  <c r="F278" i="61"/>
  <c r="F271" i="61" s="1"/>
  <c r="F103" i="61"/>
  <c r="F102" i="61" s="1"/>
  <c r="F95" i="61" s="1"/>
  <c r="F418" i="61"/>
  <c r="F472" i="61"/>
  <c r="F148" i="61"/>
  <c r="H96" i="61"/>
  <c r="G97" i="61"/>
  <c r="H97" i="61" s="1"/>
  <c r="H98" i="61"/>
  <c r="G25" i="66"/>
  <c r="G26" i="66"/>
  <c r="G27" i="66"/>
  <c r="G28" i="66"/>
  <c r="J615" i="65" l="1"/>
  <c r="D15" i="3"/>
  <c r="D14" i="3" s="1"/>
  <c r="J614" i="65"/>
  <c r="H736" i="65"/>
  <c r="J737" i="65"/>
  <c r="H653" i="65"/>
  <c r="J653" i="65" s="1"/>
  <c r="J654" i="65"/>
  <c r="H710" i="65"/>
  <c r="J710" i="65" s="1"/>
  <c r="J711" i="65"/>
  <c r="H636" i="65"/>
  <c r="J637" i="65"/>
  <c r="H698" i="65"/>
  <c r="J698" i="65" s="1"/>
  <c r="J699" i="65"/>
  <c r="H669" i="65"/>
  <c r="J670" i="65"/>
  <c r="H724" i="65"/>
  <c r="J725" i="65"/>
  <c r="H660" i="65"/>
  <c r="J660" i="65" s="1"/>
  <c r="J661" i="65"/>
  <c r="I397" i="65"/>
  <c r="J397" i="65" s="1"/>
  <c r="J398" i="65"/>
  <c r="J597" i="65"/>
  <c r="I590" i="65"/>
  <c r="J590" i="65" s="1"/>
  <c r="H430" i="65"/>
  <c r="H429" i="65" s="1"/>
  <c r="J272" i="65"/>
  <c r="H446" i="65"/>
  <c r="H445" i="65" s="1"/>
  <c r="J55" i="65"/>
  <c r="H127" i="65"/>
  <c r="H54" i="65"/>
  <c r="H32" i="65" s="1"/>
  <c r="J128" i="65"/>
  <c r="H227" i="65"/>
  <c r="J56" i="65"/>
  <c r="G635" i="61"/>
  <c r="G634" i="61" s="1"/>
  <c r="H634" i="61" s="1"/>
  <c r="H597" i="61"/>
  <c r="G592" i="61"/>
  <c r="G507" i="61"/>
  <c r="H507" i="61" s="1"/>
  <c r="H508" i="61"/>
  <c r="H368" i="61"/>
  <c r="F16" i="61"/>
  <c r="F536" i="61"/>
  <c r="F133" i="61"/>
  <c r="F367" i="61"/>
  <c r="F222" i="61"/>
  <c r="H668" i="65" l="1"/>
  <c r="J669" i="65"/>
  <c r="J636" i="65"/>
  <c r="H635" i="65"/>
  <c r="J736" i="65"/>
  <c r="H735" i="65"/>
  <c r="H723" i="65"/>
  <c r="J724" i="65"/>
  <c r="H31" i="65"/>
  <c r="H635" i="61"/>
  <c r="H592" i="61"/>
  <c r="F15" i="61"/>
  <c r="G29" i="66"/>
  <c r="G24" i="66"/>
  <c r="G23" i="66"/>
  <c r="G22" i="66"/>
  <c r="G21" i="66"/>
  <c r="G20" i="66"/>
  <c r="G19" i="66"/>
  <c r="G18" i="66"/>
  <c r="G17" i="66"/>
  <c r="G16" i="66"/>
  <c r="J635" i="65" l="1"/>
  <c r="H612" i="65"/>
  <c r="H722" i="65"/>
  <c r="J722" i="65" s="1"/>
  <c r="J723" i="65"/>
  <c r="H734" i="65"/>
  <c r="J734" i="65" s="1"/>
  <c r="J735" i="65"/>
  <c r="H667" i="65"/>
  <c r="J667" i="65" s="1"/>
  <c r="J668" i="65"/>
  <c r="H604" i="65" l="1"/>
  <c r="H13" i="65" s="1"/>
  <c r="J612" i="65"/>
  <c r="E425" i="3"/>
  <c r="E418" i="3" s="1"/>
  <c r="E417" i="3" s="1"/>
  <c r="E195" i="3"/>
  <c r="E194" i="3" s="1"/>
  <c r="E193" i="3" s="1"/>
  <c r="E143" i="3" s="1"/>
  <c r="E547" i="3"/>
  <c r="F547" i="3" s="1"/>
  <c r="E530" i="3"/>
  <c r="E528" i="3"/>
  <c r="E526" i="3"/>
  <c r="E524" i="3"/>
  <c r="E507" i="3"/>
  <c r="E505" i="3"/>
  <c r="E499" i="3"/>
  <c r="E404" i="3"/>
  <c r="E392" i="3" s="1"/>
  <c r="F392" i="3" s="1"/>
  <c r="E304" i="3"/>
  <c r="E303" i="3" s="1"/>
  <c r="E496" i="3" l="1"/>
  <c r="E416" i="3"/>
  <c r="F416" i="3" s="1"/>
  <c r="F417" i="3"/>
  <c r="E296" i="3"/>
  <c r="E299" i="3"/>
  <c r="I359" i="65"/>
  <c r="I341" i="65"/>
  <c r="I103" i="65"/>
  <c r="I610" i="65"/>
  <c r="I609" i="65" s="1"/>
  <c r="I608" i="65" s="1"/>
  <c r="I607" i="65" s="1"/>
  <c r="I606" i="65" s="1"/>
  <c r="I605" i="65" s="1"/>
  <c r="I551" i="65"/>
  <c r="I516" i="65"/>
  <c r="I514" i="65"/>
  <c r="J520" i="65"/>
  <c r="J522" i="65"/>
  <c r="I453" i="65"/>
  <c r="I451" i="65"/>
  <c r="I419" i="65"/>
  <c r="I416" i="65" s="1"/>
  <c r="I392" i="65"/>
  <c r="I391" i="65" s="1"/>
  <c r="I379" i="65"/>
  <c r="I355" i="65"/>
  <c r="G296" i="61"/>
  <c r="I270" i="65"/>
  <c r="I209" i="65"/>
  <c r="I206" i="65" s="1"/>
  <c r="I205" i="65" s="1"/>
  <c r="I136" i="65"/>
  <c r="E320" i="3" l="1"/>
  <c r="F291" i="3"/>
  <c r="F290" i="3"/>
  <c r="J391" i="65"/>
  <c r="I390" i="65"/>
  <c r="I550" i="65"/>
  <c r="I549" i="65" s="1"/>
  <c r="I548" i="65" s="1"/>
  <c r="I547" i="65" s="1"/>
  <c r="I446" i="65" s="1"/>
  <c r="J441" i="65"/>
  <c r="I432" i="65"/>
  <c r="J556" i="65"/>
  <c r="J557" i="65"/>
  <c r="I415" i="65"/>
  <c r="J416" i="65"/>
  <c r="J341" i="65"/>
  <c r="I336" i="65"/>
  <c r="J270" i="65"/>
  <c r="I269" i="65"/>
  <c r="I265" i="65" s="1"/>
  <c r="I322" i="65"/>
  <c r="I204" i="65"/>
  <c r="J205" i="65"/>
  <c r="I135" i="65"/>
  <c r="J136" i="65"/>
  <c r="J100" i="65"/>
  <c r="J85" i="65"/>
  <c r="I223" i="65"/>
  <c r="G53" i="1"/>
  <c r="G51" i="1"/>
  <c r="G50" i="1"/>
  <c r="G49" i="1"/>
  <c r="G46" i="1"/>
  <c r="G42" i="1"/>
  <c r="G43" i="1"/>
  <c r="G44" i="1"/>
  <c r="G36" i="1"/>
  <c r="G35" i="1"/>
  <c r="G34" i="1"/>
  <c r="G29" i="1"/>
  <c r="G30" i="1"/>
  <c r="G31" i="1"/>
  <c r="G26" i="1"/>
  <c r="G27" i="1"/>
  <c r="G25" i="1"/>
  <c r="G18" i="1"/>
  <c r="G19" i="1"/>
  <c r="G20" i="1"/>
  <c r="G21" i="1"/>
  <c r="G22" i="1"/>
  <c r="G23" i="1"/>
  <c r="G17" i="1"/>
  <c r="I430" i="65" l="1"/>
  <c r="I429" i="65" s="1"/>
  <c r="I431" i="65"/>
  <c r="J204" i="65"/>
  <c r="I389" i="65"/>
  <c r="J390" i="65"/>
  <c r="J440" i="65"/>
  <c r="J530" i="65"/>
  <c r="J525" i="65"/>
  <c r="I414" i="65"/>
  <c r="J415" i="65"/>
  <c r="J336" i="65"/>
  <c r="J265" i="65"/>
  <c r="J250" i="65"/>
  <c r="I222" i="65"/>
  <c r="I193" i="65" s="1"/>
  <c r="J223" i="65"/>
  <c r="I134" i="65"/>
  <c r="J135" i="65"/>
  <c r="J99" i="65"/>
  <c r="J81" i="65"/>
  <c r="J433" i="65" l="1"/>
  <c r="I388" i="65"/>
  <c r="J388" i="65" s="1"/>
  <c r="J389" i="65"/>
  <c r="J462" i="65"/>
  <c r="I459" i="65"/>
  <c r="I413" i="65"/>
  <c r="J414" i="65"/>
  <c r="J334" i="65"/>
  <c r="J335" i="65"/>
  <c r="J229" i="65"/>
  <c r="J193" i="65"/>
  <c r="J222" i="65"/>
  <c r="J228" i="65"/>
  <c r="J134" i="65"/>
  <c r="J71" i="65"/>
  <c r="H627" i="61"/>
  <c r="G336" i="61"/>
  <c r="H336" i="61" l="1"/>
  <c r="J431" i="65"/>
  <c r="J432" i="65"/>
  <c r="J459" i="65"/>
  <c r="J413" i="65"/>
  <c r="I396" i="65"/>
  <c r="J396" i="65" s="1"/>
  <c r="H626" i="61"/>
  <c r="H284" i="61"/>
  <c r="H136" i="61"/>
  <c r="J429" i="65" l="1"/>
  <c r="J430" i="65"/>
  <c r="J449" i="65"/>
  <c r="H625" i="61"/>
  <c r="H279" i="61"/>
  <c r="H135" i="61"/>
  <c r="H44" i="61"/>
  <c r="J448" i="65" l="1"/>
  <c r="H623" i="61"/>
  <c r="H624" i="61"/>
  <c r="H134" i="61"/>
  <c r="K13" i="64"/>
  <c r="J746" i="65"/>
  <c r="J742" i="65"/>
  <c r="J740" i="65"/>
  <c r="J731" i="65"/>
  <c r="J729" i="65"/>
  <c r="J727" i="65"/>
  <c r="J721" i="65"/>
  <c r="J717" i="65"/>
  <c r="J709" i="65"/>
  <c r="J707" i="65"/>
  <c r="J705" i="65"/>
  <c r="J689" i="65"/>
  <c r="J675" i="65"/>
  <c r="J671" i="65"/>
  <c r="J648" i="65"/>
  <c r="J642" i="65"/>
  <c r="J641" i="65"/>
  <c r="J627" i="65"/>
  <c r="J617" i="65"/>
  <c r="J611" i="65"/>
  <c r="J587" i="65"/>
  <c r="J585" i="65"/>
  <c r="J583" i="65"/>
  <c r="J578" i="65"/>
  <c r="J574" i="65"/>
  <c r="J570" i="65"/>
  <c r="J561" i="65"/>
  <c r="J540" i="65"/>
  <c r="J538" i="65"/>
  <c r="J532" i="65"/>
  <c r="J521" i="65"/>
  <c r="J519" i="65"/>
  <c r="J517" i="65"/>
  <c r="I481" i="65"/>
  <c r="J473" i="65"/>
  <c r="J472" i="65"/>
  <c r="J467" i="65"/>
  <c r="J456" i="65"/>
  <c r="J452" i="65"/>
  <c r="J438" i="65"/>
  <c r="J436" i="65"/>
  <c r="J435" i="65"/>
  <c r="J428" i="65"/>
  <c r="J427" i="65"/>
  <c r="J426" i="65"/>
  <c r="J424" i="65"/>
  <c r="J422" i="65"/>
  <c r="J420" i="65"/>
  <c r="J418" i="65"/>
  <c r="J402" i="65"/>
  <c r="J395" i="65"/>
  <c r="J394" i="65"/>
  <c r="J387" i="65"/>
  <c r="J384" i="65"/>
  <c r="J378" i="65"/>
  <c r="J375" i="65"/>
  <c r="J374" i="65"/>
  <c r="J373" i="65"/>
  <c r="J371" i="65"/>
  <c r="I365" i="65"/>
  <c r="J363" i="65"/>
  <c r="I361" i="65"/>
  <c r="J360" i="65"/>
  <c r="J326" i="65"/>
  <c r="J324" i="65"/>
  <c r="J321" i="65"/>
  <c r="J319" i="65"/>
  <c r="J313" i="65"/>
  <c r="I312" i="65"/>
  <c r="I311" i="65" s="1"/>
  <c r="I310" i="65" s="1"/>
  <c r="I301" i="65"/>
  <c r="I298" i="65" s="1"/>
  <c r="J269" i="65"/>
  <c r="J267" i="65"/>
  <c r="J242" i="65"/>
  <c r="J241" i="65"/>
  <c r="J232" i="65"/>
  <c r="J231" i="65"/>
  <c r="J221" i="65"/>
  <c r="J220" i="65"/>
  <c r="J219" i="65"/>
  <c r="J218" i="65"/>
  <c r="J217" i="65"/>
  <c r="J214" i="65"/>
  <c r="J212" i="65"/>
  <c r="J210" i="65"/>
  <c r="J203" i="65"/>
  <c r="J202" i="65"/>
  <c r="J186" i="65"/>
  <c r="J182" i="65"/>
  <c r="I181" i="65"/>
  <c r="J180" i="65"/>
  <c r="I179" i="65"/>
  <c r="J178" i="65"/>
  <c r="I177" i="65"/>
  <c r="I175" i="65"/>
  <c r="J174" i="65"/>
  <c r="I173" i="65"/>
  <c r="J172" i="65"/>
  <c r="I171" i="65"/>
  <c r="J162" i="65"/>
  <c r="J156" i="65"/>
  <c r="J149" i="65"/>
  <c r="J126" i="65"/>
  <c r="J106" i="65"/>
  <c r="J105" i="65"/>
  <c r="J102" i="65"/>
  <c r="J101" i="65"/>
  <c r="J96" i="65"/>
  <c r="J80" i="65"/>
  <c r="J73" i="65"/>
  <c r="J68" i="65"/>
  <c r="J63" i="65"/>
  <c r="J57" i="65"/>
  <c r="J53" i="65"/>
  <c r="I52" i="65"/>
  <c r="I51" i="65" s="1"/>
  <c r="J48" i="65"/>
  <c r="J46" i="65"/>
  <c r="I45" i="65"/>
  <c r="J43" i="65"/>
  <c r="J42" i="65"/>
  <c r="I41" i="65"/>
  <c r="J37" i="65"/>
  <c r="I36" i="65"/>
  <c r="J30" i="65"/>
  <c r="J29" i="65"/>
  <c r="I28" i="65"/>
  <c r="J23" i="65"/>
  <c r="J22" i="65"/>
  <c r="I21" i="65"/>
  <c r="I18" i="65" s="1"/>
  <c r="I17" i="65" s="1"/>
  <c r="I16" i="65" s="1"/>
  <c r="I15" i="65" s="1"/>
  <c r="I14" i="65" s="1"/>
  <c r="J20" i="65"/>
  <c r="K15" i="64"/>
  <c r="J481" i="65" l="1"/>
  <c r="I478" i="65"/>
  <c r="J447" i="65"/>
  <c r="J310" i="65"/>
  <c r="J311" i="65"/>
  <c r="I297" i="65"/>
  <c r="I296" i="65" s="1"/>
  <c r="J298" i="65"/>
  <c r="I170" i="65"/>
  <c r="J171" i="65"/>
  <c r="J164" i="65"/>
  <c r="J575" i="65"/>
  <c r="J118" i="65"/>
  <c r="J347" i="65"/>
  <c r="J516" i="65"/>
  <c r="J280" i="65"/>
  <c r="J62" i="65"/>
  <c r="J66" i="65"/>
  <c r="J287" i="65"/>
  <c r="J582" i="65"/>
  <c r="J78" i="65"/>
  <c r="J120" i="65"/>
  <c r="J124" i="65"/>
  <c r="J199" i="65"/>
  <c r="J283" i="65"/>
  <c r="J425" i="65"/>
  <c r="J437" i="65"/>
  <c r="J535" i="65"/>
  <c r="J553" i="65"/>
  <c r="J79" i="65"/>
  <c r="J491" i="65"/>
  <c r="J562" i="65"/>
  <c r="J117" i="65"/>
  <c r="J70" i="65"/>
  <c r="J72" i="65"/>
  <c r="J197" i="65"/>
  <c r="J423" i="65"/>
  <c r="J454" i="65"/>
  <c r="J490" i="65"/>
  <c r="J741" i="65"/>
  <c r="J268" i="65"/>
  <c r="J377" i="65"/>
  <c r="J483" i="65"/>
  <c r="J509" i="65"/>
  <c r="J537" i="65"/>
  <c r="J554" i="65"/>
  <c r="J620" i="65"/>
  <c r="J706" i="65"/>
  <c r="J179" i="65"/>
  <c r="J439" i="65"/>
  <c r="J489" i="65"/>
  <c r="J730" i="65"/>
  <c r="J733" i="65"/>
  <c r="J173" i="65"/>
  <c r="J69" i="65"/>
  <c r="J52" i="65"/>
  <c r="J45" i="65"/>
  <c r="J293" i="65"/>
  <c r="J292" i="65"/>
  <c r="J47" i="65"/>
  <c r="J65" i="65"/>
  <c r="J21" i="65"/>
  <c r="J36" i="65"/>
  <c r="I44" i="65"/>
  <c r="J95" i="65"/>
  <c r="J119" i="65"/>
  <c r="J188" i="65"/>
  <c r="J190" i="65"/>
  <c r="J211" i="65"/>
  <c r="J239" i="65"/>
  <c r="J294" i="65"/>
  <c r="J41" i="65"/>
  <c r="J163" i="65"/>
  <c r="J198" i="65"/>
  <c r="J257" i="65"/>
  <c r="J77" i="65"/>
  <c r="J187" i="65"/>
  <c r="J238" i="65"/>
  <c r="J329" i="65"/>
  <c r="J320" i="65"/>
  <c r="J325" i="65"/>
  <c r="J421" i="65"/>
  <c r="J471" i="65"/>
  <c r="J584" i="65"/>
  <c r="J610" i="65"/>
  <c r="J616" i="65"/>
  <c r="J720" i="65"/>
  <c r="J356" i="65"/>
  <c r="J380" i="65"/>
  <c r="J457" i="65"/>
  <c r="J474" i="65"/>
  <c r="J476" i="65"/>
  <c r="J536" i="65"/>
  <c r="J579" i="65"/>
  <c r="J739" i="65"/>
  <c r="J279" i="65"/>
  <c r="J282" i="65"/>
  <c r="J318" i="65"/>
  <c r="J453" i="65"/>
  <c r="J455" i="65"/>
  <c r="J539" i="65"/>
  <c r="J586" i="65"/>
  <c r="J640" i="65"/>
  <c r="J34" i="65"/>
  <c r="J40" i="65"/>
  <c r="J201" i="65"/>
  <c r="J200" i="65"/>
  <c r="J155" i="65"/>
  <c r="J208" i="65"/>
  <c r="J317" i="65"/>
  <c r="J385" i="65"/>
  <c r="J386" i="65"/>
  <c r="I27" i="65"/>
  <c r="J148" i="65"/>
  <c r="J165" i="65"/>
  <c r="J213" i="65"/>
  <c r="J216" i="65"/>
  <c r="J215" i="65"/>
  <c r="J434" i="65"/>
  <c r="J176" i="65"/>
  <c r="J175" i="65"/>
  <c r="J301" i="65"/>
  <c r="J327" i="65"/>
  <c r="J393" i="65"/>
  <c r="J392" i="65"/>
  <c r="I35" i="65"/>
  <c r="J35" i="65" s="1"/>
  <c r="I50" i="65"/>
  <c r="J67" i="65"/>
  <c r="J181" i="65"/>
  <c r="J189" i="65"/>
  <c r="J262" i="65"/>
  <c r="J286" i="65"/>
  <c r="J323" i="65"/>
  <c r="J322" i="65"/>
  <c r="J328" i="65"/>
  <c r="J355" i="65"/>
  <c r="I353" i="65"/>
  <c r="I352" i="65" s="1"/>
  <c r="J361" i="65"/>
  <c r="J362" i="65"/>
  <c r="J312" i="65"/>
  <c r="J370" i="65"/>
  <c r="J372" i="65"/>
  <c r="J379" i="65"/>
  <c r="J412" i="65"/>
  <c r="J411" i="65"/>
  <c r="J419" i="65"/>
  <c r="J674" i="65"/>
  <c r="J177" i="65"/>
  <c r="J209" i="65"/>
  <c r="J263" i="65"/>
  <c r="I264" i="65"/>
  <c r="J281" i="65"/>
  <c r="J401" i="65"/>
  <c r="J534" i="65"/>
  <c r="J552" i="65"/>
  <c r="J295" i="65"/>
  <c r="J366" i="65"/>
  <c r="J383" i="65"/>
  <c r="J450" i="65"/>
  <c r="J568" i="65"/>
  <c r="J569" i="65"/>
  <c r="J515" i="65"/>
  <c r="J564" i="65"/>
  <c r="J563" i="65"/>
  <c r="J581" i="65"/>
  <c r="J580" i="65"/>
  <c r="J451" i="65"/>
  <c r="J470" i="65"/>
  <c r="J497" i="65"/>
  <c r="J500" i="65"/>
  <c r="I507" i="65"/>
  <c r="J560" i="65"/>
  <c r="J577" i="65"/>
  <c r="J576" i="65"/>
  <c r="J596" i="65"/>
  <c r="J619" i="65"/>
  <c r="J618" i="65"/>
  <c r="J475" i="65"/>
  <c r="J518" i="65"/>
  <c r="J551" i="65"/>
  <c r="J550" i="65"/>
  <c r="J555" i="65"/>
  <c r="J573" i="65"/>
  <c r="J572" i="65"/>
  <c r="J589" i="65"/>
  <c r="J588" i="65"/>
  <c r="J649" i="65"/>
  <c r="J647" i="65"/>
  <c r="J666" i="65"/>
  <c r="J673" i="65"/>
  <c r="J708" i="65"/>
  <c r="J732" i="65"/>
  <c r="J609" i="65" l="1"/>
  <c r="J507" i="65"/>
  <c r="J478" i="65"/>
  <c r="I351" i="65"/>
  <c r="I350" i="65" s="1"/>
  <c r="J352" i="65"/>
  <c r="J297" i="65"/>
  <c r="J264" i="65"/>
  <c r="I258" i="65"/>
  <c r="I169" i="65"/>
  <c r="J170" i="65"/>
  <c r="J160" i="65"/>
  <c r="I147" i="65"/>
  <c r="J116" i="65"/>
  <c r="J44" i="65"/>
  <c r="J621" i="65"/>
  <c r="J125" i="65"/>
  <c r="J376" i="65"/>
  <c r="J498" i="65"/>
  <c r="J240" i="65"/>
  <c r="J533" i="65"/>
  <c r="J595" i="65"/>
  <c r="J468" i="65"/>
  <c r="J410" i="65"/>
  <c r="J94" i="65"/>
  <c r="J549" i="65"/>
  <c r="J523" i="65"/>
  <c r="J499" i="65"/>
  <c r="J469" i="65"/>
  <c r="J514" i="65"/>
  <c r="J18" i="65"/>
  <c r="J154" i="65"/>
  <c r="J51" i="65"/>
  <c r="J76" i="65"/>
  <c r="J463" i="65"/>
  <c r="J364" i="65"/>
  <c r="J365" i="65"/>
  <c r="J285" i="65"/>
  <c r="J284" i="65"/>
  <c r="J226" i="65"/>
  <c r="I49" i="65"/>
  <c r="J49" i="65" s="1"/>
  <c r="J50" i="65"/>
  <c r="J103" i="65"/>
  <c r="J104" i="65"/>
  <c r="J39" i="65"/>
  <c r="J121" i="65"/>
  <c r="J703" i="65"/>
  <c r="J664" i="65"/>
  <c r="J719" i="65"/>
  <c r="J718" i="65"/>
  <c r="J697" i="65"/>
  <c r="J665" i="65"/>
  <c r="J503" i="65"/>
  <c r="J354" i="65"/>
  <c r="J353" i="65"/>
  <c r="J33" i="65"/>
  <c r="J728" i="65"/>
  <c r="J316" i="65"/>
  <c r="J207" i="65"/>
  <c r="J206" i="65"/>
  <c r="J28" i="65"/>
  <c r="J571" i="65"/>
  <c r="J359" i="65"/>
  <c r="J513" i="65"/>
  <c r="J382" i="65"/>
  <c r="J381" i="65"/>
  <c r="J278" i="65"/>
  <c r="J141" i="65"/>
  <c r="I26" i="65"/>
  <c r="J27" i="65"/>
  <c r="J704" i="65"/>
  <c r="J19" i="65"/>
  <c r="F20" i="3"/>
  <c r="F22" i="3"/>
  <c r="F35" i="3"/>
  <c r="F42" i="3"/>
  <c r="F46" i="3"/>
  <c r="F50" i="3"/>
  <c r="F72" i="3"/>
  <c r="F77" i="3"/>
  <c r="F79" i="3"/>
  <c r="F80" i="3"/>
  <c r="F91" i="3"/>
  <c r="F93" i="3"/>
  <c r="F99" i="3"/>
  <c r="F112" i="3"/>
  <c r="F122" i="3"/>
  <c r="F124" i="3"/>
  <c r="F132" i="3"/>
  <c r="F133" i="3"/>
  <c r="F145" i="3"/>
  <c r="F151" i="3"/>
  <c r="F152" i="3"/>
  <c r="F158" i="3"/>
  <c r="F167" i="3"/>
  <c r="F171" i="3"/>
  <c r="F178" i="3"/>
  <c r="F182" i="3"/>
  <c r="F186" i="3"/>
  <c r="F188" i="3"/>
  <c r="F197" i="3"/>
  <c r="F207" i="3"/>
  <c r="F221" i="3"/>
  <c r="F225" i="3"/>
  <c r="F231" i="3"/>
  <c r="F237" i="3"/>
  <c r="F258" i="3"/>
  <c r="F292" i="3"/>
  <c r="F299" i="3"/>
  <c r="F310" i="3"/>
  <c r="F340" i="3"/>
  <c r="F348" i="3"/>
  <c r="F358" i="3"/>
  <c r="F380" i="3"/>
  <c r="F385" i="3"/>
  <c r="F387" i="3"/>
  <c r="F391" i="3"/>
  <c r="F402" i="3"/>
  <c r="F405" i="3"/>
  <c r="F411" i="3"/>
  <c r="F414" i="3"/>
  <c r="F422" i="3"/>
  <c r="F430" i="3"/>
  <c r="F436" i="3"/>
  <c r="F438" i="3"/>
  <c r="F448" i="3"/>
  <c r="F459" i="3"/>
  <c r="F461" i="3"/>
  <c r="F465" i="3"/>
  <c r="F467" i="3"/>
  <c r="F469" i="3"/>
  <c r="F471" i="3"/>
  <c r="F473" i="3"/>
  <c r="F477" i="3"/>
  <c r="F479" i="3"/>
  <c r="F481" i="3"/>
  <c r="F483" i="3"/>
  <c r="F496" i="3"/>
  <c r="F498" i="3"/>
  <c r="F500" i="3"/>
  <c r="F514" i="3"/>
  <c r="F519" i="3"/>
  <c r="F527" i="3"/>
  <c r="F537" i="3"/>
  <c r="F554" i="3"/>
  <c r="F561" i="3"/>
  <c r="F566" i="3"/>
  <c r="F582" i="3"/>
  <c r="F584" i="3"/>
  <c r="F586" i="3"/>
  <c r="F588" i="3"/>
  <c r="F591" i="3"/>
  <c r="F593" i="3"/>
  <c r="F600" i="3"/>
  <c r="F601" i="3"/>
  <c r="F605" i="3"/>
  <c r="F609" i="3"/>
  <c r="H616" i="61"/>
  <c r="H618" i="61"/>
  <c r="H596" i="61"/>
  <c r="H585" i="61"/>
  <c r="H567" i="61"/>
  <c r="H562" i="61"/>
  <c r="H556" i="61"/>
  <c r="H545" i="61"/>
  <c r="H524" i="61"/>
  <c r="H520" i="61"/>
  <c r="H424" i="61"/>
  <c r="H428" i="61"/>
  <c r="H399" i="61"/>
  <c r="H401" i="61"/>
  <c r="H391" i="61"/>
  <c r="H364" i="61"/>
  <c r="H301" i="61"/>
  <c r="H255" i="61"/>
  <c r="H198" i="61"/>
  <c r="H170" i="61"/>
  <c r="H180" i="61"/>
  <c r="H184" i="61"/>
  <c r="H94" i="61"/>
  <c r="H603" i="61"/>
  <c r="H602" i="61"/>
  <c r="H558" i="61"/>
  <c r="H551" i="61"/>
  <c r="H528" i="61"/>
  <c r="H505" i="61"/>
  <c r="H490" i="61"/>
  <c r="H478" i="61"/>
  <c r="H414" i="61"/>
  <c r="H406" i="61"/>
  <c r="H397" i="61"/>
  <c r="H395" i="61"/>
  <c r="H389" i="61"/>
  <c r="H379" i="61"/>
  <c r="H377" i="61"/>
  <c r="H357" i="61"/>
  <c r="H350" i="61"/>
  <c r="H348" i="61"/>
  <c r="H343" i="61"/>
  <c r="H341" i="61"/>
  <c r="H331" i="61"/>
  <c r="H319" i="61"/>
  <c r="H315" i="61"/>
  <c r="H292" i="61"/>
  <c r="H290" i="61"/>
  <c r="H233" i="61"/>
  <c r="H216" i="61"/>
  <c r="H214" i="61"/>
  <c r="H212" i="61"/>
  <c r="H200" i="61"/>
  <c r="H159" i="61"/>
  <c r="H145" i="61"/>
  <c r="H143" i="61"/>
  <c r="H131" i="61"/>
  <c r="H128" i="61"/>
  <c r="H126" i="61"/>
  <c r="H122" i="61"/>
  <c r="H110" i="61"/>
  <c r="H80" i="61"/>
  <c r="H78" i="61"/>
  <c r="H34" i="61"/>
  <c r="H33" i="61"/>
  <c r="H21" i="61"/>
  <c r="J258" i="65" l="1"/>
  <c r="J38" i="65"/>
  <c r="J608" i="65"/>
  <c r="J506" i="65"/>
  <c r="J466" i="65"/>
  <c r="J350" i="65"/>
  <c r="J351" i="65"/>
  <c r="J296" i="65"/>
  <c r="I288" i="65"/>
  <c r="J288" i="65" s="1"/>
  <c r="I168" i="65"/>
  <c r="J168" i="65" s="1"/>
  <c r="J169" i="65"/>
  <c r="I146" i="65"/>
  <c r="J147" i="65"/>
  <c r="J98" i="65"/>
  <c r="I90" i="65"/>
  <c r="J346" i="65"/>
  <c r="J751" i="65"/>
  <c r="J444" i="65"/>
  <c r="J54" i="65"/>
  <c r="J314" i="65"/>
  <c r="J315" i="65"/>
  <c r="J501" i="65"/>
  <c r="J443" i="65"/>
  <c r="J512" i="65"/>
  <c r="J225" i="65"/>
  <c r="J750" i="65"/>
  <c r="J358" i="65"/>
  <c r="J64" i="65"/>
  <c r="J17" i="65"/>
  <c r="J26" i="65"/>
  <c r="I25" i="65"/>
  <c r="F109" i="3"/>
  <c r="I227" i="65" l="1"/>
  <c r="J227" i="65" s="1"/>
  <c r="J607" i="65"/>
  <c r="J547" i="65"/>
  <c r="J548" i="65"/>
  <c r="J505" i="65"/>
  <c r="J504" i="65"/>
  <c r="J465" i="65"/>
  <c r="I145" i="65"/>
  <c r="J146" i="65"/>
  <c r="J90" i="65"/>
  <c r="J97" i="65"/>
  <c r="J245" i="65"/>
  <c r="J749" i="65"/>
  <c r="J408" i="65"/>
  <c r="J16" i="65"/>
  <c r="J25" i="65"/>
  <c r="I24" i="65"/>
  <c r="J224" i="65"/>
  <c r="J256" i="65"/>
  <c r="H37" i="61"/>
  <c r="H91" i="61"/>
  <c r="F244" i="3"/>
  <c r="F126" i="3"/>
  <c r="J606" i="65" l="1"/>
  <c r="J464" i="65"/>
  <c r="J145" i="65"/>
  <c r="I144" i="65"/>
  <c r="J24" i="65"/>
  <c r="J15" i="65"/>
  <c r="J407" i="65"/>
  <c r="J748" i="65"/>
  <c r="I604" i="65" l="1"/>
  <c r="J605" i="65"/>
  <c r="J446" i="65"/>
  <c r="I445" i="65"/>
  <c r="J445" i="65" s="1"/>
  <c r="J144" i="65"/>
  <c r="I127" i="65"/>
  <c r="J14" i="65"/>
  <c r="J747" i="65"/>
  <c r="J32" i="65"/>
  <c r="J137" i="65"/>
  <c r="F443" i="3"/>
  <c r="H192" i="61"/>
  <c r="F508" i="3"/>
  <c r="F506" i="3"/>
  <c r="H221" i="61"/>
  <c r="F529" i="3"/>
  <c r="H416" i="61"/>
  <c r="H412" i="61"/>
  <c r="F525" i="3"/>
  <c r="F407" i="3"/>
  <c r="F398" i="3"/>
  <c r="F559" i="3"/>
  <c r="H422" i="61"/>
  <c r="F568" i="3"/>
  <c r="H430" i="61"/>
  <c r="H38" i="61"/>
  <c r="J127" i="65" l="1"/>
  <c r="I31" i="65"/>
  <c r="I13" i="65" s="1"/>
  <c r="J604" i="65"/>
  <c r="F523" i="3"/>
  <c r="H410" i="61"/>
  <c r="F87" i="3" l="1"/>
  <c r="J31" i="65" l="1"/>
  <c r="J13" i="65"/>
  <c r="H176" i="61" l="1"/>
  <c r="G175" i="61"/>
  <c r="H175" i="61" l="1"/>
  <c r="F490" i="3"/>
  <c r="F345" i="3" l="1"/>
  <c r="F455" i="3"/>
  <c r="H373" i="61"/>
  <c r="F418" i="3"/>
  <c r="H353" i="61"/>
  <c r="F275" i="3"/>
  <c r="H277" i="61"/>
  <c r="F434" i="3"/>
  <c r="H76" i="61"/>
  <c r="H178" i="61" l="1"/>
  <c r="F342" i="3"/>
  <c r="F241" i="3"/>
  <c r="H375" i="61"/>
  <c r="F457" i="3"/>
  <c r="F453" i="3"/>
  <c r="H355" i="61"/>
  <c r="F420" i="3"/>
  <c r="F512" i="3"/>
  <c r="H208" i="61"/>
  <c r="F492" i="3"/>
  <c r="F488" i="3"/>
  <c r="H297" i="61"/>
  <c r="F295" i="3"/>
  <c r="H182" i="61"/>
  <c r="H115" i="61"/>
  <c r="H117" i="61"/>
  <c r="H137" i="61"/>
  <c r="F531" i="3" l="1"/>
  <c r="F367" i="3"/>
  <c r="F373" i="3"/>
  <c r="F374" i="3"/>
  <c r="F29" i="3"/>
  <c r="F28" i="3" l="1"/>
  <c r="F64" i="3"/>
  <c r="H50" i="61"/>
  <c r="H49" i="61"/>
  <c r="F116" i="3" l="1"/>
  <c r="F115" i="3"/>
  <c r="H39" i="61"/>
  <c r="H90" i="61" l="1"/>
  <c r="H89" i="61"/>
  <c r="F105" i="3"/>
  <c r="F69" i="3"/>
  <c r="H581" i="61"/>
  <c r="F165" i="3"/>
  <c r="F164" i="3"/>
  <c r="H27" i="61"/>
  <c r="H28" i="61"/>
  <c r="H99" i="61"/>
  <c r="F378" i="3"/>
  <c r="H120" i="61"/>
  <c r="F597" i="3"/>
  <c r="G57" i="1"/>
  <c r="F162" i="3" l="1"/>
  <c r="F75" i="3"/>
  <c r="F74" i="3"/>
  <c r="H572" i="61"/>
  <c r="H571" i="61"/>
  <c r="G55" i="1" l="1"/>
  <c r="F229" i="3"/>
  <c r="G32" i="1"/>
  <c r="F256" i="3"/>
  <c r="F253" i="3"/>
  <c r="H251" i="61"/>
  <c r="F136" i="3" l="1"/>
  <c r="F135" i="3"/>
  <c r="F192" i="3" l="1"/>
  <c r="F191" i="3"/>
  <c r="H628" i="61"/>
  <c r="F428" i="3" l="1"/>
  <c r="F564" i="3"/>
  <c r="H426" i="61"/>
  <c r="F433" i="3" l="1"/>
  <c r="H366" i="61"/>
  <c r="F344" i="3"/>
  <c r="H174" i="61"/>
  <c r="F301" i="3"/>
  <c r="H323" i="61"/>
  <c r="F321" i="3"/>
  <c r="F305" i="3"/>
  <c r="H295" i="61"/>
  <c r="F128" i="3" l="1"/>
  <c r="F147" i="3"/>
  <c r="H522" i="61"/>
  <c r="H547" i="61"/>
  <c r="H549" i="61"/>
  <c r="F173" i="3" l="1"/>
  <c r="F175" i="3"/>
  <c r="F138" i="3"/>
  <c r="H518" i="61"/>
  <c r="F97" i="3"/>
  <c r="F130" i="3" l="1"/>
  <c r="H516" i="61"/>
  <c r="F95" i="3"/>
  <c r="F33" i="3"/>
  <c r="H447" i="61"/>
  <c r="H329" i="61" l="1"/>
  <c r="F325" i="3"/>
  <c r="H69" i="61"/>
  <c r="F204" i="3"/>
  <c r="F279" i="3"/>
  <c r="H275" i="61"/>
  <c r="F268" i="3"/>
  <c r="H270" i="61"/>
  <c r="F272" i="3"/>
  <c r="H58" i="61" l="1"/>
  <c r="H434" i="61" l="1"/>
  <c r="H432" i="61"/>
  <c r="H445" i="61" l="1"/>
  <c r="F38" i="3"/>
  <c r="F31" i="3"/>
  <c r="F603" i="3" l="1"/>
  <c r="H84" i="61"/>
  <c r="H123" i="61"/>
  <c r="F381" i="3" l="1"/>
  <c r="F379" i="3"/>
  <c r="H121" i="61"/>
  <c r="F445" i="3"/>
  <c r="F400" i="3"/>
  <c r="H339" i="61"/>
  <c r="F18" i="62" l="1"/>
  <c r="F570" i="3" l="1"/>
  <c r="F571" i="3"/>
  <c r="F60" i="3"/>
  <c r="F202" i="3" l="1"/>
  <c r="F200" i="3"/>
  <c r="H65" i="61"/>
  <c r="H67" i="61"/>
  <c r="F123" i="3" l="1"/>
  <c r="H321" i="61"/>
  <c r="F52" i="3" l="1"/>
  <c r="F62" i="3"/>
  <c r="H25" i="61"/>
  <c r="F89" i="3"/>
  <c r="H583" i="61"/>
  <c r="F107" i="3"/>
  <c r="F44" i="3"/>
  <c r="H569" i="61"/>
  <c r="H93" i="61" l="1"/>
  <c r="H438" i="61"/>
  <c r="F542" i="3" l="1"/>
  <c r="F205" i="3"/>
  <c r="H70" i="61"/>
  <c r="H326" i="61" l="1"/>
  <c r="F315" i="3" l="1"/>
  <c r="F251" i="3"/>
  <c r="F544" i="3" l="1"/>
  <c r="F40" i="3" l="1"/>
  <c r="F214" i="3"/>
  <c r="F211" i="3"/>
  <c r="H239" i="61"/>
  <c r="G189" i="61" l="1"/>
  <c r="F150" i="3"/>
  <c r="G47" i="1"/>
  <c r="F426" i="3"/>
  <c r="F551" i="3"/>
  <c r="H644" i="61"/>
  <c r="F265" i="3"/>
  <c r="H265" i="61"/>
  <c r="F66" i="3"/>
  <c r="H484" i="61"/>
  <c r="F180" i="3" l="1"/>
  <c r="H474" i="61" l="1"/>
  <c r="F49" i="3"/>
  <c r="H477" i="61"/>
  <c r="H473" i="61" l="1"/>
  <c r="F313" i="3"/>
  <c r="H303" i="61"/>
  <c r="F513" i="3" l="1"/>
  <c r="F319" i="3"/>
  <c r="F352" i="3"/>
  <c r="F360" i="3"/>
  <c r="H161" i="61"/>
  <c r="F338" i="3"/>
  <c r="F146" i="3" l="1"/>
  <c r="H521" i="61"/>
  <c r="F206" i="3" l="1"/>
  <c r="H71" i="61"/>
  <c r="H610" i="61"/>
  <c r="F141" i="3"/>
  <c r="F143" i="3"/>
  <c r="F58" i="3" l="1"/>
  <c r="F25" i="3"/>
  <c r="H455" i="61"/>
  <c r="H476" i="61"/>
  <c r="H464" i="61"/>
  <c r="F65" i="3" l="1"/>
  <c r="H483" i="61"/>
  <c r="E236" i="3" l="1"/>
  <c r="E227" i="3" s="1"/>
  <c r="E223" i="3" l="1"/>
  <c r="E222" i="3" s="1"/>
  <c r="F227" i="3"/>
  <c r="F236" i="3"/>
  <c r="F350" i="3" l="1"/>
  <c r="F470" i="3" l="1"/>
  <c r="G206" i="61"/>
  <c r="G191" i="61"/>
  <c r="G186" i="61" s="1"/>
  <c r="H186" i="61" s="1"/>
  <c r="G203" i="61" l="1"/>
  <c r="H206" i="61"/>
  <c r="F442" i="3"/>
  <c r="F466" i="3"/>
  <c r="F454" i="3"/>
  <c r="F478" i="3"/>
  <c r="F351" i="3"/>
  <c r="F456" i="3"/>
  <c r="F460" i="3"/>
  <c r="F464" i="3"/>
  <c r="F468" i="3"/>
  <c r="F472" i="3"/>
  <c r="F476" i="3"/>
  <c r="F480" i="3"/>
  <c r="F499" i="3"/>
  <c r="F444" i="3"/>
  <c r="F458" i="3"/>
  <c r="F482" i="3"/>
  <c r="F497" i="3"/>
  <c r="F491" i="3"/>
  <c r="F450" i="3"/>
  <c r="F451" i="3"/>
  <c r="F447" i="3"/>
  <c r="F489" i="3"/>
  <c r="F463" i="3"/>
  <c r="F474" i="3"/>
  <c r="F475" i="3"/>
  <c r="F493" i="3"/>
  <c r="H296" i="61"/>
  <c r="H199" i="61"/>
  <c r="H207" i="61"/>
  <c r="H209" i="61"/>
  <c r="H210" i="61"/>
  <c r="H213" i="61"/>
  <c r="H191" i="61"/>
  <c r="H211" i="61"/>
  <c r="H215" i="61"/>
  <c r="F487" i="3"/>
  <c r="F452" i="3"/>
  <c r="F510" i="3"/>
  <c r="E536" i="3"/>
  <c r="G202" i="61" l="1"/>
  <c r="H202" i="61" s="1"/>
  <c r="H203" i="61"/>
  <c r="F462" i="3"/>
  <c r="F446" i="3"/>
  <c r="F441" i="3"/>
  <c r="F486" i="3"/>
  <c r="F535" i="3"/>
  <c r="F536" i="3"/>
  <c r="H201" i="61"/>
  <c r="H189" i="61"/>
  <c r="H190" i="61"/>
  <c r="F504" i="3"/>
  <c r="H281" i="61"/>
  <c r="F534" i="3"/>
  <c r="F511" i="3"/>
  <c r="F449" i="3" l="1"/>
  <c r="F484" i="3"/>
  <c r="F485" i="3"/>
  <c r="F439" i="3"/>
  <c r="F440" i="3"/>
  <c r="H188" i="61"/>
  <c r="F166" i="3" l="1"/>
  <c r="F57" i="3" l="1"/>
  <c r="H454" i="61"/>
  <c r="F54" i="3"/>
  <c r="H451" i="61"/>
  <c r="F27" i="3"/>
  <c r="F56" i="3"/>
  <c r="H466" i="61"/>
  <c r="H453" i="61"/>
  <c r="F155" i="3"/>
  <c r="H363" i="61" l="1"/>
  <c r="F429" i="3" l="1"/>
  <c r="F543" i="3" l="1"/>
  <c r="E518" i="3"/>
  <c r="F518" i="3" l="1"/>
  <c r="F516" i="3"/>
  <c r="F517" i="3"/>
  <c r="F521" i="3"/>
  <c r="H405" i="61"/>
  <c r="H408" i="61"/>
  <c r="H403" i="61"/>
  <c r="H404" i="61"/>
  <c r="C18" i="62"/>
  <c r="C17" i="62" s="1"/>
  <c r="F524" i="3" l="1"/>
  <c r="F522" i="3"/>
  <c r="F526" i="3" l="1"/>
  <c r="F528" i="3"/>
  <c r="F530" i="3"/>
  <c r="F515" i="3"/>
  <c r="F520" i="3"/>
  <c r="F505" i="3" l="1"/>
  <c r="G220" i="61"/>
  <c r="G219" i="61" s="1"/>
  <c r="E532" i="3"/>
  <c r="E509" i="3" s="1"/>
  <c r="H280" i="61"/>
  <c r="E495" i="3" l="1"/>
  <c r="E494" i="3" s="1"/>
  <c r="F509" i="3"/>
  <c r="H220" i="61"/>
  <c r="H417" i="61"/>
  <c r="F532" i="3"/>
  <c r="F533" i="3"/>
  <c r="F503" i="3"/>
  <c r="F507" i="3"/>
  <c r="H411" i="61"/>
  <c r="H409" i="61"/>
  <c r="H413" i="61"/>
  <c r="H415" i="61"/>
  <c r="F502" i="3"/>
  <c r="G400" i="61"/>
  <c r="G398" i="61"/>
  <c r="H398" i="61" s="1"/>
  <c r="H393" i="61"/>
  <c r="G390" i="61"/>
  <c r="G388" i="61"/>
  <c r="G394" i="61"/>
  <c r="H394" i="61" s="1"/>
  <c r="G396" i="61"/>
  <c r="F495" i="3" l="1"/>
  <c r="H388" i="61"/>
  <c r="G218" i="61"/>
  <c r="H219" i="61"/>
  <c r="H400" i="61"/>
  <c r="H382" i="61"/>
  <c r="H396" i="61"/>
  <c r="H390" i="61"/>
  <c r="H381" i="61"/>
  <c r="H218" i="61" l="1"/>
  <c r="G193" i="61"/>
  <c r="H193" i="61" s="1"/>
  <c r="H217" i="61"/>
  <c r="H374" i="61" l="1"/>
  <c r="H372" i="61"/>
  <c r="H378" i="61"/>
  <c r="H376" i="61"/>
  <c r="G185" i="61" l="1"/>
  <c r="H185" i="61" s="1"/>
  <c r="F435" i="3"/>
  <c r="F108" i="3"/>
  <c r="F437" i="3"/>
  <c r="G392" i="61"/>
  <c r="G385" i="61" s="1"/>
  <c r="H385" i="61" l="1"/>
  <c r="G384" i="61"/>
  <c r="H392" i="61"/>
  <c r="H380" i="61"/>
  <c r="H79" i="61"/>
  <c r="H402" i="61"/>
  <c r="H407" i="61"/>
  <c r="H77" i="61"/>
  <c r="G383" i="61" l="1"/>
  <c r="H384" i="61"/>
  <c r="H383" i="61" l="1"/>
  <c r="H584" i="61"/>
  <c r="F110" i="3"/>
  <c r="F111" i="3"/>
  <c r="H100" i="61"/>
  <c r="F308" i="3" l="1"/>
  <c r="F580" i="3"/>
  <c r="H299" i="61"/>
  <c r="H229" i="61"/>
  <c r="H437" i="61" l="1"/>
  <c r="F501" i="3" l="1"/>
  <c r="F309" i="3" l="1"/>
  <c r="H230" i="61" l="1"/>
  <c r="H499" i="61" l="1"/>
  <c r="H503" i="61"/>
  <c r="H514" i="61"/>
  <c r="G429" i="61" l="1"/>
  <c r="F585" i="3" l="1"/>
  <c r="F567" i="3"/>
  <c r="F587" i="3"/>
  <c r="H429" i="61"/>
  <c r="F156" i="3" l="1"/>
  <c r="F157" i="3"/>
  <c r="F153" i="3"/>
  <c r="F154" i="3"/>
  <c r="F590" i="3"/>
  <c r="G232" i="61"/>
  <c r="G231" i="61" s="1"/>
  <c r="G224" i="61" s="1"/>
  <c r="H421" i="61"/>
  <c r="G431" i="61"/>
  <c r="G433" i="61"/>
  <c r="H431" i="61" l="1"/>
  <c r="H433" i="61"/>
  <c r="F592" i="3"/>
  <c r="H232" i="61"/>
  <c r="F569" i="3"/>
  <c r="F589" i="3" l="1"/>
  <c r="H523" i="61" l="1"/>
  <c r="G427" i="61"/>
  <c r="H427" i="61" l="1"/>
  <c r="F304" i="3"/>
  <c r="G294" i="61"/>
  <c r="H294" i="61" l="1"/>
  <c r="F303" i="3" l="1"/>
  <c r="F144" i="3" l="1"/>
  <c r="H519" i="61"/>
  <c r="H322" i="61"/>
  <c r="H608" i="61" l="1"/>
  <c r="F142" i="3"/>
  <c r="H609" i="61"/>
  <c r="H481" i="61"/>
  <c r="H607" i="61" l="1"/>
  <c r="F63" i="3"/>
  <c r="F84" i="3"/>
  <c r="H606" i="61" l="1"/>
  <c r="F203" i="3" l="1"/>
  <c r="H75" i="61" l="1"/>
  <c r="F607" i="3" l="1"/>
  <c r="H86" i="61"/>
  <c r="F412" i="3" l="1"/>
  <c r="F413" i="3"/>
  <c r="G555" i="61" l="1"/>
  <c r="G539" i="61" s="1"/>
  <c r="G344" i="61"/>
  <c r="G342" i="61"/>
  <c r="G340" i="61"/>
  <c r="G325" i="61" s="1"/>
  <c r="G324" i="61" s="1"/>
  <c r="G338" i="61"/>
  <c r="G538" i="61" l="1"/>
  <c r="H539" i="61"/>
  <c r="H365" i="61"/>
  <c r="G362" i="61"/>
  <c r="H517" i="61"/>
  <c r="H546" i="61"/>
  <c r="H550" i="61"/>
  <c r="H555" i="61"/>
  <c r="H515" i="61"/>
  <c r="F314" i="3"/>
  <c r="H557" i="61"/>
  <c r="H340" i="61"/>
  <c r="H342" i="61"/>
  <c r="H352" i="61"/>
  <c r="H356" i="61"/>
  <c r="H601" i="61"/>
  <c r="H338" i="61"/>
  <c r="H344" i="61"/>
  <c r="H349" i="61"/>
  <c r="H354" i="61"/>
  <c r="H359" i="61"/>
  <c r="H548" i="61"/>
  <c r="H552" i="61"/>
  <c r="H604" i="61"/>
  <c r="G183" i="61"/>
  <c r="G181" i="61"/>
  <c r="G179" i="61"/>
  <c r="G177" i="61"/>
  <c r="G173" i="61"/>
  <c r="G169" i="61"/>
  <c r="G167" i="61"/>
  <c r="H167" i="61" s="1"/>
  <c r="H538" i="61" l="1"/>
  <c r="H362" i="61"/>
  <c r="G361" i="61"/>
  <c r="G172" i="61"/>
  <c r="G171" i="61" s="1"/>
  <c r="H171" i="61" s="1"/>
  <c r="F353" i="3"/>
  <c r="H169" i="61"/>
  <c r="H173" i="61"/>
  <c r="H179" i="61"/>
  <c r="H183" i="61"/>
  <c r="H177" i="61"/>
  <c r="H181" i="61"/>
  <c r="G360" i="61" l="1"/>
  <c r="H360" i="61" s="1"/>
  <c r="H361" i="61"/>
  <c r="H172" i="61"/>
  <c r="F343" i="3"/>
  <c r="G24" i="61"/>
  <c r="H24" i="61" l="1"/>
  <c r="H26" i="61"/>
  <c r="F181" i="3" l="1"/>
  <c r="F320" i="3"/>
  <c r="H300" i="61" l="1"/>
  <c r="H305" i="61"/>
  <c r="G580" i="61"/>
  <c r="G577" i="61" s="1"/>
  <c r="G576" i="61" s="1"/>
  <c r="G575" i="61" s="1"/>
  <c r="H506" i="61"/>
  <c r="G502" i="61"/>
  <c r="H471" i="61"/>
  <c r="H463" i="61"/>
  <c r="H450" i="61"/>
  <c r="H577" i="61" l="1"/>
  <c r="H502" i="61"/>
  <c r="G501" i="61"/>
  <c r="H452" i="61"/>
  <c r="H568" i="61"/>
  <c r="H565" i="61"/>
  <c r="H573" i="61"/>
  <c r="H582" i="61"/>
  <c r="H465" i="61"/>
  <c r="H570" i="61"/>
  <c r="H456" i="61"/>
  <c r="H479" i="61"/>
  <c r="H500" i="61"/>
  <c r="H504" i="61"/>
  <c r="H580" i="61"/>
  <c r="H488" i="61"/>
  <c r="H489" i="61"/>
  <c r="H446" i="61"/>
  <c r="H485" i="61"/>
  <c r="H576" i="61" l="1"/>
  <c r="G495" i="61"/>
  <c r="G472" i="61" s="1"/>
  <c r="H501" i="61"/>
  <c r="H448" i="61"/>
  <c r="H449" i="61"/>
  <c r="H495" i="61" l="1"/>
  <c r="H472" i="61"/>
  <c r="G574" i="61"/>
  <c r="H574" i="61" s="1"/>
  <c r="H575" i="61"/>
  <c r="F59" i="3"/>
  <c r="F100" i="3"/>
  <c r="F61" i="3"/>
  <c r="F349" i="3" l="1"/>
  <c r="F606" i="3" l="1"/>
  <c r="H85" i="61"/>
  <c r="F98" i="3" l="1"/>
  <c r="F329" i="3" l="1"/>
  <c r="H48" i="61" l="1"/>
  <c r="G332" i="61"/>
  <c r="H332" i="61" s="1"/>
  <c r="H333" i="61"/>
  <c r="F359" i="3" l="1"/>
  <c r="F347" i="3"/>
  <c r="F341" i="3"/>
  <c r="F337" i="3"/>
  <c r="F357" i="3"/>
  <c r="F361" i="3"/>
  <c r="F339" i="3"/>
  <c r="G425" i="61"/>
  <c r="G423" i="61"/>
  <c r="G144" i="61"/>
  <c r="G142" i="61"/>
  <c r="G141" i="61" l="1"/>
  <c r="H141" i="61" s="1"/>
  <c r="H423" i="61"/>
  <c r="F356" i="3"/>
  <c r="F336" i="3"/>
  <c r="H425" i="61"/>
  <c r="H144" i="61"/>
  <c r="H142" i="61"/>
  <c r="H420" i="61"/>
  <c r="F328" i="3" l="1"/>
  <c r="H419" i="61" l="1"/>
  <c r="F300" i="3"/>
  <c r="H320" i="61"/>
  <c r="H418" i="61" l="1"/>
  <c r="G367" i="61"/>
  <c r="H367" i="61" s="1"/>
  <c r="F390" i="3" l="1"/>
  <c r="F384" i="3"/>
  <c r="F368" i="3"/>
  <c r="E369" i="3" l="1"/>
  <c r="F370" i="3"/>
  <c r="F386" i="3"/>
  <c r="H138" i="61"/>
  <c r="E346" i="3" l="1"/>
  <c r="F346" i="3" s="1"/>
  <c r="F369" i="3"/>
  <c r="F259" i="3"/>
  <c r="F215" i="3"/>
  <c r="F213" i="3"/>
  <c r="F201" i="3" l="1"/>
  <c r="F199" i="3"/>
  <c r="F195" i="3"/>
  <c r="F196" i="3"/>
  <c r="F209" i="3"/>
  <c r="F210" i="3"/>
  <c r="H57" i="61"/>
  <c r="H617" i="61" l="1"/>
  <c r="F198" i="3"/>
  <c r="F212" i="3"/>
  <c r="H55" i="61"/>
  <c r="H56" i="61"/>
  <c r="H235" i="61" l="1"/>
  <c r="H260" i="61"/>
  <c r="H258" i="61"/>
  <c r="H234" i="61" l="1"/>
  <c r="H231" i="61" l="1"/>
  <c r="F611" i="3"/>
  <c r="E596" i="3"/>
  <c r="F406" i="3"/>
  <c r="E255" i="3"/>
  <c r="E252" i="3" s="1"/>
  <c r="F174" i="3"/>
  <c r="F172" i="3"/>
  <c r="F161" i="3"/>
  <c r="F134" i="3"/>
  <c r="E55" i="3"/>
  <c r="E48" i="3" s="1"/>
  <c r="F575" i="3" l="1"/>
  <c r="E572" i="3"/>
  <c r="E556" i="3" s="1"/>
  <c r="F101" i="3"/>
  <c r="F82" i="3"/>
  <c r="E36" i="3"/>
  <c r="F48" i="3"/>
  <c r="F410" i="3"/>
  <c r="F163" i="3"/>
  <c r="F604" i="3"/>
  <c r="F579" i="3"/>
  <c r="F583" i="3"/>
  <c r="F599" i="3"/>
  <c r="F131" i="3"/>
  <c r="F208" i="3"/>
  <c r="F24" i="3"/>
  <c r="F34" i="3"/>
  <c r="F43" i="3"/>
  <c r="F47" i="3"/>
  <c r="F53" i="3"/>
  <c r="F73" i="3"/>
  <c r="F78" i="3"/>
  <c r="F83" i="3"/>
  <c r="F88" i="3"/>
  <c r="F92" i="3"/>
  <c r="F96" i="3"/>
  <c r="F106" i="3"/>
  <c r="F125" i="3"/>
  <c r="F129" i="3"/>
  <c r="F30" i="3"/>
  <c r="F19" i="3"/>
  <c r="F39" i="3"/>
  <c r="F226" i="3"/>
  <c r="F230" i="3"/>
  <c r="F252" i="3"/>
  <c r="F271" i="3"/>
  <c r="F274" i="3"/>
  <c r="F307" i="3"/>
  <c r="F399" i="3"/>
  <c r="F419" i="3"/>
  <c r="F425" i="3"/>
  <c r="F558" i="3"/>
  <c r="F563" i="3"/>
  <c r="F137" i="3"/>
  <c r="F148" i="3"/>
  <c r="F149" i="3"/>
  <c r="F170" i="3"/>
  <c r="F177" i="3"/>
  <c r="F185" i="3"/>
  <c r="F323" i="3"/>
  <c r="F324" i="3"/>
  <c r="E377" i="3"/>
  <c r="F377" i="3" s="1"/>
  <c r="F389" i="3"/>
  <c r="F21" i="3"/>
  <c r="F37" i="3"/>
  <c r="F45" i="3"/>
  <c r="F71" i="3"/>
  <c r="F81" i="3"/>
  <c r="F94" i="3"/>
  <c r="F224" i="3"/>
  <c r="F228" i="3"/>
  <c r="F242" i="3"/>
  <c r="F243" i="3"/>
  <c r="F250" i="3"/>
  <c r="F254" i="3"/>
  <c r="F255" i="3"/>
  <c r="F257" i="3"/>
  <c r="F267" i="3"/>
  <c r="F280" i="3"/>
  <c r="F298" i="3"/>
  <c r="F311" i="3"/>
  <c r="F312" i="3"/>
  <c r="F401" i="3"/>
  <c r="F404" i="3"/>
  <c r="F421" i="3"/>
  <c r="F427" i="3"/>
  <c r="F540" i="3"/>
  <c r="F541" i="3"/>
  <c r="F550" i="3"/>
  <c r="F553" i="3"/>
  <c r="F560" i="3"/>
  <c r="F565" i="3"/>
  <c r="F26" i="3"/>
  <c r="F32" i="3"/>
  <c r="F41" i="3"/>
  <c r="F51" i="3"/>
  <c r="F55" i="3"/>
  <c r="F76" i="3"/>
  <c r="F86" i="3"/>
  <c r="F90" i="3"/>
  <c r="F104" i="3"/>
  <c r="F127" i="3"/>
  <c r="F140" i="3"/>
  <c r="F179" i="3"/>
  <c r="F187" i="3"/>
  <c r="F189" i="3"/>
  <c r="F190" i="3"/>
  <c r="F326" i="3"/>
  <c r="F327" i="3"/>
  <c r="F335" i="3"/>
  <c r="F382" i="3"/>
  <c r="F383" i="3"/>
  <c r="F581" i="3"/>
  <c r="F595" i="3"/>
  <c r="F596" i="3"/>
  <c r="F602" i="3"/>
  <c r="F608" i="3"/>
  <c r="F239" i="3"/>
  <c r="F240" i="3"/>
  <c r="F246" i="3"/>
  <c r="F263" i="3"/>
  <c r="F264" i="3"/>
  <c r="F277" i="3"/>
  <c r="F278" i="3"/>
  <c r="F286" i="3"/>
  <c r="F294" i="3"/>
  <c r="F318" i="3"/>
  <c r="F432" i="3"/>
  <c r="F113" i="3"/>
  <c r="F114" i="3"/>
  <c r="F67" i="3"/>
  <c r="F68" i="3"/>
  <c r="F270" i="3"/>
  <c r="F572" i="3" l="1"/>
  <c r="F36" i="3"/>
  <c r="F431" i="3"/>
  <c r="F293" i="3"/>
  <c r="F266" i="3"/>
  <c r="F388" i="3"/>
  <c r="F70" i="3"/>
  <c r="F610" i="3"/>
  <c r="F403" i="3"/>
  <c r="F176" i="3"/>
  <c r="F276" i="3"/>
  <c r="F23" i="3"/>
  <c r="F273" i="3"/>
  <c r="F193" i="3"/>
  <c r="F539" i="3"/>
  <c r="F18" i="3"/>
  <c r="F302" i="3"/>
  <c r="F306" i="3"/>
  <c r="F139" i="3"/>
  <c r="F415" i="3"/>
  <c r="F285" i="3"/>
  <c r="F222" i="3"/>
  <c r="F223" i="3"/>
  <c r="F159" i="3"/>
  <c r="F160" i="3"/>
  <c r="F355" i="3"/>
  <c r="F316" i="3"/>
  <c r="F317" i="3"/>
  <c r="F562" i="3"/>
  <c r="F334" i="3"/>
  <c r="F408" i="3"/>
  <c r="F409" i="3"/>
  <c r="F238" i="3"/>
  <c r="F557" i="3"/>
  <c r="F598" i="3"/>
  <c r="F169" i="3"/>
  <c r="F85" i="3"/>
  <c r="F245" i="3"/>
  <c r="F249" i="3"/>
  <c r="F183" i="3"/>
  <c r="F184" i="3"/>
  <c r="F296" i="3"/>
  <c r="F297" i="3"/>
  <c r="F194" i="3"/>
  <c r="F552" i="3"/>
  <c r="F102" i="3"/>
  <c r="F103" i="3"/>
  <c r="G615" i="61"/>
  <c r="G612" i="61" s="1"/>
  <c r="H358" i="61"/>
  <c r="G330" i="61"/>
  <c r="G328" i="61"/>
  <c r="G314" i="61"/>
  <c r="G298" i="61"/>
  <c r="H289" i="61"/>
  <c r="G266" i="61"/>
  <c r="G263" i="61" s="1"/>
  <c r="G250" i="61"/>
  <c r="H240" i="61"/>
  <c r="G153" i="61"/>
  <c r="H153" i="61" s="1"/>
  <c r="G116" i="61"/>
  <c r="G114" i="61"/>
  <c r="H68" i="61"/>
  <c r="G66" i="61"/>
  <c r="G63" i="61" s="1"/>
  <c r="H52" i="61"/>
  <c r="G43" i="61"/>
  <c r="G36" i="61"/>
  <c r="G32" i="61"/>
  <c r="G20" i="61"/>
  <c r="G19" i="61" s="1"/>
  <c r="G18" i="61" s="1"/>
  <c r="G17" i="61" s="1"/>
  <c r="G62" i="61" l="1"/>
  <c r="H63" i="61"/>
  <c r="F549" i="3"/>
  <c r="F546" i="3"/>
  <c r="E288" i="3"/>
  <c r="F289" i="3"/>
  <c r="F248" i="3"/>
  <c r="G611" i="61"/>
  <c r="H612" i="61"/>
  <c r="H564" i="61"/>
  <c r="H325" i="61"/>
  <c r="H324" i="61"/>
  <c r="H293" i="61"/>
  <c r="H278" i="61"/>
  <c r="G311" i="61"/>
  <c r="G310" i="61" s="1"/>
  <c r="H272" i="61"/>
  <c r="H274" i="61"/>
  <c r="H250" i="61"/>
  <c r="G249" i="61"/>
  <c r="G113" i="61"/>
  <c r="F322" i="3"/>
  <c r="H160" i="61"/>
  <c r="G243" i="61"/>
  <c r="H298" i="61"/>
  <c r="F594" i="3"/>
  <c r="F17" i="3"/>
  <c r="F556" i="3"/>
  <c r="F168" i="3"/>
  <c r="F269" i="3"/>
  <c r="H645" i="61"/>
  <c r="H302" i="61"/>
  <c r="H276" i="61"/>
  <c r="H36" i="61"/>
  <c r="H47" i="61"/>
  <c r="H66" i="61"/>
  <c r="H88" i="61"/>
  <c r="H114" i="61"/>
  <c r="H162" i="61"/>
  <c r="H238" i="61"/>
  <c r="H246" i="61"/>
  <c r="H264" i="61"/>
  <c r="H269" i="61"/>
  <c r="H330" i="61"/>
  <c r="H266" i="61"/>
  <c r="H328" i="61"/>
  <c r="H92" i="61"/>
  <c r="H109" i="61"/>
  <c r="H116" i="61"/>
  <c r="H125" i="61"/>
  <c r="H130" i="61"/>
  <c r="H228" i="61"/>
  <c r="H527" i="61"/>
  <c r="H561" i="61"/>
  <c r="H615" i="61"/>
  <c r="H291" i="61"/>
  <c r="H314" i="61"/>
  <c r="H87" i="61"/>
  <c r="H101" i="61"/>
  <c r="H119" i="61"/>
  <c r="H127" i="61"/>
  <c r="H132" i="61"/>
  <c r="H158" i="61"/>
  <c r="H351" i="61"/>
  <c r="H51" i="61"/>
  <c r="G42" i="61"/>
  <c r="H43" i="61"/>
  <c r="G35" i="61"/>
  <c r="H35" i="61" s="1"/>
  <c r="G31" i="61"/>
  <c r="H31" i="61" s="1"/>
  <c r="H32" i="61"/>
  <c r="H20" i="61"/>
  <c r="G252" i="61"/>
  <c r="H252" i="61" s="1"/>
  <c r="G118" i="61"/>
  <c r="G23" i="61"/>
  <c r="H310" i="61" l="1"/>
  <c r="G271" i="61"/>
  <c r="H273" i="61"/>
  <c r="G61" i="61"/>
  <c r="H61" i="61" s="1"/>
  <c r="H62" i="61"/>
  <c r="F538" i="3"/>
  <c r="F494" i="3"/>
  <c r="F288" i="3"/>
  <c r="E287" i="3"/>
  <c r="E281" i="3" s="1"/>
  <c r="E247" i="3" s="1"/>
  <c r="E15" i="3" s="1"/>
  <c r="H611" i="61"/>
  <c r="H563" i="61"/>
  <c r="G537" i="61"/>
  <c r="H311" i="61"/>
  <c r="G248" i="61"/>
  <c r="H249" i="61"/>
  <c r="G242" i="61"/>
  <c r="G241" i="61" s="1"/>
  <c r="H243" i="61"/>
  <c r="G30" i="61"/>
  <c r="H30" i="61" s="1"/>
  <c r="H113" i="61"/>
  <c r="H106" i="61"/>
  <c r="H124" i="61"/>
  <c r="H46" i="61"/>
  <c r="H227" i="61"/>
  <c r="H327" i="61"/>
  <c r="H263" i="61"/>
  <c r="H531" i="61"/>
  <c r="H313" i="61"/>
  <c r="H288" i="61"/>
  <c r="H614" i="61"/>
  <c r="H118" i="61"/>
  <c r="H129" i="61"/>
  <c r="H579" i="61"/>
  <c r="H560" i="61"/>
  <c r="G107" i="61"/>
  <c r="H108" i="61"/>
  <c r="G41" i="61"/>
  <c r="H42" i="61"/>
  <c r="G22" i="61"/>
  <c r="H23" i="61"/>
  <c r="H19" i="61"/>
  <c r="E14" i="3" l="1"/>
  <c r="F14" i="3" s="1"/>
  <c r="F15" i="3"/>
  <c r="F287" i="3"/>
  <c r="H605" i="61"/>
  <c r="H586" i="61"/>
  <c r="H537" i="61"/>
  <c r="G536" i="61"/>
  <c r="H536" i="61" s="1"/>
  <c r="H271" i="61"/>
  <c r="G247" i="61"/>
  <c r="H247" i="61" s="1"/>
  <c r="H248" i="61"/>
  <c r="G223" i="61"/>
  <c r="H242" i="61"/>
  <c r="H226" i="61"/>
  <c r="G150" i="61"/>
  <c r="G140" i="61"/>
  <c r="H107" i="61"/>
  <c r="G104" i="61"/>
  <c r="G29" i="61"/>
  <c r="H29" i="61" s="1"/>
  <c r="H22" i="61"/>
  <c r="G40" i="61"/>
  <c r="H40" i="61" s="1"/>
  <c r="H41" i="61"/>
  <c r="H17" i="61"/>
  <c r="H18" i="61"/>
  <c r="H45" i="61" l="1"/>
  <c r="G16" i="61"/>
  <c r="H16" i="61" s="1"/>
  <c r="F281" i="3"/>
  <c r="G222" i="61"/>
  <c r="H241" i="61"/>
  <c r="H225" i="61"/>
  <c r="G139" i="61"/>
  <c r="H140" i="61"/>
  <c r="G149" i="61"/>
  <c r="H150" i="61"/>
  <c r="G103" i="61"/>
  <c r="H104" i="61"/>
  <c r="H139" i="61" l="1"/>
  <c r="F247" i="3"/>
  <c r="H224" i="61"/>
  <c r="G148" i="61"/>
  <c r="G133" i="61" s="1"/>
  <c r="H149" i="61"/>
  <c r="H103" i="61"/>
  <c r="H222" i="61" l="1"/>
  <c r="H223" i="61"/>
  <c r="H148" i="61"/>
  <c r="H133" i="61"/>
  <c r="G95" i="61"/>
  <c r="H102" i="61"/>
  <c r="E18" i="62"/>
  <c r="E17" i="62" s="1"/>
  <c r="D18" i="62"/>
  <c r="D17" i="62" s="1"/>
  <c r="F15" i="62"/>
  <c r="F14" i="62" s="1"/>
  <c r="E15" i="62"/>
  <c r="D15" i="62"/>
  <c r="D14" i="62" l="1"/>
  <c r="D22" i="62" s="1"/>
  <c r="E14" i="62"/>
  <c r="E22" i="62" s="1"/>
  <c r="H95" i="61"/>
  <c r="G15" i="61"/>
  <c r="H15" i="61" s="1"/>
  <c r="F56" i="1"/>
  <c r="E56" i="1"/>
  <c r="F54" i="1"/>
  <c r="E54" i="1"/>
  <c r="F52" i="1"/>
  <c r="E52" i="1"/>
  <c r="F48" i="1"/>
  <c r="E48" i="1"/>
  <c r="E45" i="1"/>
  <c r="F45" i="1"/>
  <c r="F28" i="1"/>
  <c r="E28" i="1"/>
  <c r="F24" i="1"/>
  <c r="E24" i="1"/>
  <c r="F16" i="1"/>
  <c r="E16" i="1"/>
  <c r="G45" i="1" l="1"/>
  <c r="G48" i="1"/>
  <c r="G54" i="1"/>
  <c r="G28" i="1"/>
  <c r="G24" i="1"/>
  <c r="G52" i="1"/>
  <c r="G56" i="1"/>
  <c r="G33" i="1"/>
  <c r="G16" i="1"/>
  <c r="F15" i="1"/>
  <c r="E15" i="1"/>
  <c r="D21" i="62" l="1"/>
  <c r="F20" i="62"/>
  <c r="G15" i="1"/>
  <c r="E21" i="62" s="1"/>
  <c r="C20" i="62"/>
  <c r="C22" i="62" s="1"/>
  <c r="F17" i="62" l="1"/>
  <c r="F22" i="62"/>
</calcChain>
</file>

<file path=xl/sharedStrings.xml><?xml version="1.0" encoding="utf-8"?>
<sst xmlns="http://schemas.openxmlformats.org/spreadsheetml/2006/main" count="6962" uniqueCount="825">
  <si>
    <t>Развитие деятельности муниципального бюджетного учреждения Городской молодежный центр "Звездный"</t>
  </si>
  <si>
    <t>Транспорт</t>
  </si>
  <si>
    <t>Профессиональная подготовка, переподготовка и повышение квалификации</t>
  </si>
  <si>
    <t>Предоставление субсидий общественным организациям ветеранов войны, труда, вооруженных сил и правоохранительных органов, инвалидов и т.д.</t>
  </si>
  <si>
    <t>Другие вопросы в области национальной экономики</t>
  </si>
  <si>
    <t>Резервные фонды</t>
  </si>
  <si>
    <t>Массовый спорт</t>
  </si>
  <si>
    <t xml:space="preserve">Другие вопросы в области культуры, кинематографии </t>
  </si>
  <si>
    <t>Средства массовой информации</t>
  </si>
  <si>
    <t>13</t>
  </si>
  <si>
    <t>Обеспечение деятельности финансовых, налоговых и таможенных органов и органов (финансово-бюджетного) надзора</t>
  </si>
  <si>
    <t>Обслуживание государственного и муниципального долга</t>
  </si>
  <si>
    <t>Процентные платежи по муниципальному долгу</t>
  </si>
  <si>
    <t>Резервные фонды  местных администраций</t>
  </si>
  <si>
    <t>810</t>
  </si>
  <si>
    <t>Охрана семьи и детства</t>
  </si>
  <si>
    <t>730</t>
  </si>
  <si>
    <t>Обслуживание муниципального долга</t>
  </si>
  <si>
    <t>Другие вопросы в области средств массовой информации</t>
  </si>
  <si>
    <t>Реализация государственных полномочий по созданию, исполнению полномочий и обеспечению деятельности комиссий по делам несовершеннолетних и защите их прав</t>
  </si>
  <si>
    <t>Осуществление  государственных полномочий Тверской области по созданию административных комиссий</t>
  </si>
  <si>
    <t>Функционирование высшего должностного лица субъекта Российской Федерации и муниципального образования</t>
  </si>
  <si>
    <t>Органы юстиции</t>
  </si>
  <si>
    <t>630</t>
  </si>
  <si>
    <t xml:space="preserve">Культура и кинематография </t>
  </si>
  <si>
    <t>Р</t>
  </si>
  <si>
    <t>Другие вопросы в области национальной безопасности и правоохранительной деятельности</t>
  </si>
  <si>
    <t>Содержание и ремонт детских и спортивных площадок</t>
  </si>
  <si>
    <t>Обустройство и ремонт контейнерных площадок</t>
  </si>
  <si>
    <t>9940000000</t>
  </si>
  <si>
    <t>Подпрограмма "Организация похоронного дела"</t>
  </si>
  <si>
    <t>П</t>
  </si>
  <si>
    <t>Сумма тыс.руб.</t>
  </si>
  <si>
    <t>Расходы на обеспечение деятельности представительного органа местного самоуправления</t>
  </si>
  <si>
    <t>Расходы на обеспечение деятельности исполнительного органа местного самоуправления</t>
  </si>
  <si>
    <t>0230000000</t>
  </si>
  <si>
    <t>0290000000</t>
  </si>
  <si>
    <t>0700000000</t>
  </si>
  <si>
    <t>0710000000</t>
  </si>
  <si>
    <t>0730000000</t>
  </si>
  <si>
    <t>1300000000</t>
  </si>
  <si>
    <t>1310000000</t>
  </si>
  <si>
    <t>1320000000</t>
  </si>
  <si>
    <t>Отдельные мероприятия, не включенные в муниципальные программы</t>
  </si>
  <si>
    <t>Реализация  функций, связанных с общегосударственным управлением</t>
  </si>
  <si>
    <t>Прочие выплаты по обязательствам муниципального образования</t>
  </si>
  <si>
    <t>Коммунальное хозяйство</t>
  </si>
  <si>
    <t>Жилищное хозяйство</t>
  </si>
  <si>
    <t>0220000000</t>
  </si>
  <si>
    <t>Финансовое обеспечение повышения квалификации и профессиональной подготовки педагогических кадров</t>
  </si>
  <si>
    <t>Организация отдыха детей</t>
  </si>
  <si>
    <t>Обеспечивающая подпрограмма</t>
  </si>
  <si>
    <t>Жилищно-коммунальное хозяйство</t>
  </si>
  <si>
    <t>Благоустройство</t>
  </si>
  <si>
    <t>Организационное и методическое сопровождение государственной итоговой аттестации</t>
  </si>
  <si>
    <t>1100000000</t>
  </si>
  <si>
    <t>1110000000</t>
  </si>
  <si>
    <t>1120000000</t>
  </si>
  <si>
    <t>1130000000</t>
  </si>
  <si>
    <t>1140000000</t>
  </si>
  <si>
    <t>1200000000</t>
  </si>
  <si>
    <t>1210000000</t>
  </si>
  <si>
    <t>1220000000</t>
  </si>
  <si>
    <t>1230000000</t>
  </si>
  <si>
    <t>1240000000</t>
  </si>
  <si>
    <t>0200000000</t>
  </si>
  <si>
    <t>0210000000</t>
  </si>
  <si>
    <t>Командирование спортсменов муниципального образования для участия в официальных областных спортивно-массовых мероприятиях и соревнованиях</t>
  </si>
  <si>
    <t>120</t>
  </si>
  <si>
    <t>Расходы на выплаты персоналу государственных (муниципальных) органов</t>
  </si>
  <si>
    <t>110</t>
  </si>
  <si>
    <t>0600000000</t>
  </si>
  <si>
    <t>0610000000</t>
  </si>
  <si>
    <t>0900000000</t>
  </si>
  <si>
    <t>0910000000</t>
  </si>
  <si>
    <t>0300000000</t>
  </si>
  <si>
    <t>0310000000</t>
  </si>
  <si>
    <t>1000000000</t>
  </si>
  <si>
    <t>1010000000</t>
  </si>
  <si>
    <t>0100000000</t>
  </si>
  <si>
    <t>0110000000</t>
  </si>
  <si>
    <t>0120000000</t>
  </si>
  <si>
    <t>0190000000</t>
  </si>
  <si>
    <t>Организация выездов представителей молодежных общественных объединений на областные, межрегиональные, всероссийские мероприятия</t>
  </si>
  <si>
    <t>Расходы на выплату персоналу государственных (муниципальных) органов</t>
  </si>
  <si>
    <t xml:space="preserve">                                                        </t>
  </si>
  <si>
    <t>Подпрограмма "Реализация социальной политики"</t>
  </si>
  <si>
    <t>360</t>
  </si>
  <si>
    <t>Иные выплаты населению</t>
  </si>
  <si>
    <t>Подпрограмма "Обеспечение жильем отдельных категорий граждан"</t>
  </si>
  <si>
    <t>870</t>
  </si>
  <si>
    <t>Резервные средства</t>
  </si>
  <si>
    <t>№ п/п</t>
  </si>
  <si>
    <t>01</t>
  </si>
  <si>
    <t>02</t>
  </si>
  <si>
    <t xml:space="preserve">                                 Наименование</t>
  </si>
  <si>
    <t>Общегосударственные вопросы</t>
  </si>
  <si>
    <t>В С Е Г О:</t>
  </si>
  <si>
    <t>03</t>
  </si>
  <si>
    <t>04</t>
  </si>
  <si>
    <t>05</t>
  </si>
  <si>
    <t>06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</si>
  <si>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</si>
  <si>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</si>
  <si>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</si>
  <si>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</si>
  <si>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</si>
  <si>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11</t>
  </si>
  <si>
    <t>Сельское хозяйство и рыболовство</t>
  </si>
  <si>
    <t>07</t>
  </si>
  <si>
    <t>Образование</t>
  </si>
  <si>
    <t>Культура</t>
  </si>
  <si>
    <t>Дошкольное образование</t>
  </si>
  <si>
    <t>Общее образование</t>
  </si>
  <si>
    <t>Другие вопросы в области образования</t>
  </si>
  <si>
    <t>10</t>
  </si>
  <si>
    <t>Социальная политика</t>
  </si>
  <si>
    <t>Пенсионное обеспечение</t>
  </si>
  <si>
    <t>КВР</t>
  </si>
  <si>
    <t>Глава муниципального образования</t>
  </si>
  <si>
    <t>Центральный аппарат</t>
  </si>
  <si>
    <t>Социальное обеспечение населения</t>
  </si>
  <si>
    <t xml:space="preserve"> Р</t>
  </si>
  <si>
    <t xml:space="preserve"> П</t>
  </si>
  <si>
    <t xml:space="preserve"> КЦСР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</si>
  <si>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</si>
  <si>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14</t>
  </si>
  <si>
    <t>12</t>
  </si>
  <si>
    <t>Физическая культура и спорт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</si>
  <si>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</si>
  <si>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</si>
  <si>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</si>
  <si>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ППП</t>
  </si>
  <si>
    <t>Расходы на выплаты персоналу казенных учреждений</t>
  </si>
  <si>
    <t>850</t>
  </si>
  <si>
    <t>Уплата налогов, сборов и иных платежей</t>
  </si>
  <si>
    <t>Финансовое обеспечение массовых мероприятий муниципального значения, способствующих духовно-нравственному воспитанию детей и формированию гражданской позиции</t>
  </si>
  <si>
    <t>Финансовое обеспечение мероприятий по формированию здорового образа жизни</t>
  </si>
  <si>
    <t>Организационно-методическое сопровождение организации и обеспечения подвоза учащихся и воспитанников общеобразовательных, дошкольных образовательных учреждений</t>
  </si>
  <si>
    <t>Удомельская городская Дума</t>
  </si>
  <si>
    <t>Председатель городской Думы</t>
  </si>
  <si>
    <t>плановый период</t>
  </si>
  <si>
    <t>2018 год</t>
  </si>
  <si>
    <t>2019 год</t>
  </si>
  <si>
    <t xml:space="preserve">Расходы, не включенные в муниципальные программы </t>
  </si>
  <si>
    <t>Расходы, не включенные в муниципальные программы</t>
  </si>
  <si>
    <t>0800000000</t>
  </si>
  <si>
    <t>0810000000</t>
  </si>
  <si>
    <t>Подпрограмма "Расселение аварийного жилищного фонда Удомельского городского округа"</t>
  </si>
  <si>
    <t>Подпрограмма "Капитальный ремонт общего имущества в многоквартирных домах на территории Удомельского городского округа"</t>
  </si>
  <si>
    <t>0510000000</t>
  </si>
  <si>
    <t>0520000000</t>
  </si>
  <si>
    <t>0530000000</t>
  </si>
  <si>
    <t>Уплата взносов на проведение капитального ремонта общего имущества в многоквартирных домах, в части муниципального жилищного фонда Удомельского городского округа</t>
  </si>
  <si>
    <t>0500000000</t>
  </si>
  <si>
    <t>132032001Э</t>
  </si>
  <si>
    <t>Молодежная политика</t>
  </si>
  <si>
    <t>Дополнительное образование детей</t>
  </si>
  <si>
    <t>Подпрограмма "Управление имуществом Удомельского городского округа"</t>
  </si>
  <si>
    <t>Проведение инвентаризации муниципального имущества Удомельского городского округа</t>
  </si>
  <si>
    <t xml:space="preserve">Оценка рыночной стоимости объектов недвижимости и рыночной стоимости арендной платы за объекты муниципального имущества </t>
  </si>
  <si>
    <t>Обеспечение учета муниципального имущества для поддержки полной и достоверной информации об объектах, находящихся в собственности муниципального образования Удомельский городской округ</t>
  </si>
  <si>
    <t>Содержание объектов нежилого фонда муниципальной казны Удомельского городского округа</t>
  </si>
  <si>
    <t>Подпрограмма "Управление земельными ресурсами Удомельского городского округа"</t>
  </si>
  <si>
    <t>0320000000</t>
  </si>
  <si>
    <t>Организация работ по формированию земельных участков, в том числе по объектам жилищно-коммунального хозяйства</t>
  </si>
  <si>
    <t>Подпрограмма "Сохранность автомобильных дорог общего пользования местного значения на территории Удомельского городского округа"</t>
  </si>
  <si>
    <t>Подпрограмма "Поддержка средств массовой информации муниципального образования Удомельский городской округ"</t>
  </si>
  <si>
    <t>Формирование земельных участков для бесплатного предоставления многодетным гражданам</t>
  </si>
  <si>
    <t>Приобретение  жилых помещений для детей-сирот, детей, оставшихся без попечения родителей за счет средств областного бюджета Тверской области</t>
  </si>
  <si>
    <t>Финансирование расходов на борьбу с борщевиком Сосновского</t>
  </si>
  <si>
    <t>Предоставление субсидий муниципальным унитарным предприятиям коммунального хозяйства на возмещение нормативных затрат, связанных с оказанием ими услуг</t>
  </si>
  <si>
    <t>Сохранение и развитие библиотечного дела в Удомельском городском округе</t>
  </si>
  <si>
    <t>Подпрограмма "Культура Удомельского городского округа"</t>
  </si>
  <si>
    <t>Организация и проведение культурно-досуговых мероприятий и развитие народного творчества в Удомельском городском округе</t>
  </si>
  <si>
    <t>Развитие дополнительного образования в сфере культуры и искусства</t>
  </si>
  <si>
    <t>Популяризация и пропаганда деятельности по сохранению объектов культурного наследия Удомельского городского округа</t>
  </si>
  <si>
    <t xml:space="preserve"> Управление культуры, спорта и молодежной политики Администрации Удомельского городского округа</t>
  </si>
  <si>
    <t>Проведение официальных муниципальных физкультурно-оздоровительных и спортивных мероприятий для всех возрастных групп и категорий населения муниципального образования Удомельского городского округа</t>
  </si>
  <si>
    <t xml:space="preserve">Подпрограмма "Молодежь Удомельского городского округа" </t>
  </si>
  <si>
    <t>Организация и проведение творческих  мероприятий для детей и молодежи</t>
  </si>
  <si>
    <t xml:space="preserve">Подпрограмма "Противодействие незаконному обороту наркотиков, наркомании, алкоголизму, табакокурению и другим видам зависимости в Удомельском городском округе" </t>
  </si>
  <si>
    <t>Проведение мероприятий для подростков и молодежи, направленных на формирование здорового образа жизни и  негативного отношения к наркомании, алкоголизму , табакокурению. Поддержка детского и молодежного самодеятельного творчества</t>
  </si>
  <si>
    <t>Социальная реклама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</si>
  <si>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учреждений, проживающим и работающим в сельских населенных пунктах Удомельского городского округа</t>
  </si>
  <si>
    <t>Финансовое обеспечение деятельности муниципального центра тестирования ГТО</t>
  </si>
  <si>
    <t>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</t>
  </si>
  <si>
    <t>Содержание улично-дорожной сети в городе Удомля</t>
  </si>
  <si>
    <t>Подпрограмма "Организации регулярных перевозок пассажиров и багажа автомобильным транспортом на территории Удомельского городского округа"</t>
  </si>
  <si>
    <t>Подпрограмма "Общественная безопасность и профилактика правонарушений на территории Удомельского городского округа"</t>
  </si>
  <si>
    <t>Обслуживание газового хозяйства северной части города Удомля</t>
  </si>
  <si>
    <t>Разработка и актуализация схем теплоснабжения, водоснабжения Удомельского городского округа</t>
  </si>
  <si>
    <t>Организация и содержание мест захоронений (кладбищ)</t>
  </si>
  <si>
    <t>Финансирование расходов по проведению субботников</t>
  </si>
  <si>
    <t>9950000000</t>
  </si>
  <si>
    <t>Казенные учреждения, не включенные в муниципальные программы</t>
  </si>
  <si>
    <t>Обслуживание государственного внутреннего и муниципального долга</t>
  </si>
  <si>
    <t>Администрация Удомельского городского округа</t>
  </si>
  <si>
    <t>Финансовое Управление Администрации Удомельского городского округа</t>
  </si>
  <si>
    <t>Дорожное хозяйство (дорожные фонды)</t>
  </si>
  <si>
    <t>Подпрограмма "Повышение пожарной безопасности на территории Удомельского городского округа"</t>
  </si>
  <si>
    <t>Контрольно-счетная комиссия Удомельского городского округа</t>
  </si>
  <si>
    <t>Подпрограмма "Физическая культура и спорт  Удомельского городского округа"</t>
  </si>
  <si>
    <t>Приобретение жилых помещений для малоимущих многодетных семей за счет местного бюджета</t>
  </si>
  <si>
    <t>Подпрограмма "Снижение рисков и смягчение последствий чрезвычайных ситуаций на территории Удомельского городского округа"</t>
  </si>
  <si>
    <t>Подпрограмма "Осуществление мероприятий по обеспечению безопасности людей на водных объектах Удомельского городского округа"</t>
  </si>
  <si>
    <t>Оснащение и модернизация сил и средств для оповещения населения об угрозе возникновения или о возникновении чрезвычайных ситуаций</t>
  </si>
  <si>
    <t>Организация и проведение акций, посвященных памятным датам истории России, государственным символам Российской Федерации</t>
  </si>
  <si>
    <t>Управление образования  Администрации Удомельского городского округа</t>
  </si>
  <si>
    <t>0210100000</t>
  </si>
  <si>
    <t>0230100000</t>
  </si>
  <si>
    <t>0810100000</t>
  </si>
  <si>
    <t>240</t>
  </si>
  <si>
    <t>Иные закупки товаров, работ и услуг для обеспечения государственных (муниципальных) нужд</t>
  </si>
  <si>
    <t>Задача "Сохранение и развитие культурного потенциала Удомельского городского округа"</t>
  </si>
  <si>
    <t>0920000000</t>
  </si>
  <si>
    <t>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</t>
  </si>
  <si>
    <t>Подпрограмма "Создание условий для формирования современной городской среды и обустройства мест массового отдыха населения (общественной территории) на территории Удомельского городского округа"</t>
  </si>
  <si>
    <t>Оснащение сил и средств гражданской обороны, создание материальных запасов</t>
  </si>
  <si>
    <t>1110100000</t>
  </si>
  <si>
    <t>1120100000</t>
  </si>
  <si>
    <t>1130100000</t>
  </si>
  <si>
    <t>Информирование населения по противодействию терроризму и экстремизму</t>
  </si>
  <si>
    <t>Задача "Создание необходимых условий для обеспечения безопасности людей на водных объектах Удомельского городского округа</t>
  </si>
  <si>
    <t>Информирование населения по безопасному нахождению на водных объектах</t>
  </si>
  <si>
    <t>Субсидии бюджетным учреждениям</t>
  </si>
  <si>
    <t>610</t>
  </si>
  <si>
    <t>1010100000</t>
  </si>
  <si>
    <t>1600000000</t>
  </si>
  <si>
    <t>1610000000</t>
  </si>
  <si>
    <t>Подпрограмма "Повышение безопасности дорожного движения на территории Удомельского городского округа"</t>
  </si>
  <si>
    <t>1610100000</t>
  </si>
  <si>
    <t>Задача "Профилактика дорожно-транспортных происшествий на территории Удомельского городского округа"</t>
  </si>
  <si>
    <t>Подпрограмма "Поддержка средств массовой информации муниципального образования  Удомельского городского округа"</t>
  </si>
  <si>
    <t>Задача "Создание эффективной системы обеспечения населения качественными и доступными услугами, поддержка отдельных категорий граждан"</t>
  </si>
  <si>
    <t>Задача "Обслуживание действующего емкостного газового хозяйства северной части города Удомля"</t>
  </si>
  <si>
    <t>0710100000</t>
  </si>
  <si>
    <t>0730100000</t>
  </si>
  <si>
    <t>1210100000</t>
  </si>
  <si>
    <t>Озеленение видовых и памятных мест на территории города, в том числе приобретение, посадка цветов, уход за ними, покос травы, стрижка кустов и спиливание деревьев</t>
  </si>
  <si>
    <t>Наружное оформление территорий города Удомля</t>
  </si>
  <si>
    <t>1220100000</t>
  </si>
  <si>
    <t>Задача "Содержание мест захоронений"</t>
  </si>
  <si>
    <t>1230100000</t>
  </si>
  <si>
    <t>1240100000</t>
  </si>
  <si>
    <t>Задача "Предотвращение и ликвидация вредного воздействия отходов производства и потребления на окружающую среду"</t>
  </si>
  <si>
    <t>0310100000</t>
  </si>
  <si>
    <t>Задача "Оптимизация состава муниципального имущества Удомельского городского округа"</t>
  </si>
  <si>
    <t>0310200000</t>
  </si>
  <si>
    <t>Задача "Повышение эффективности использования имущества, находящегося в собственности муниципального образования Удомельский городской округ"</t>
  </si>
  <si>
    <t>0320100000</t>
  </si>
  <si>
    <t>Бюджетные инвестиции</t>
  </si>
  <si>
    <t>410</t>
  </si>
  <si>
    <t>Социальные выплаты гражданам, кроме публичных нормативных социальных выплат</t>
  </si>
  <si>
    <t>Подпрограмма" Профилактика терроризма и экстремизма на территории Удомельского городского округа"</t>
  </si>
  <si>
    <t>Изготовление наглядной агитации: памятки, плакаты, рекламные щиты</t>
  </si>
  <si>
    <t>Задача "Содержание и озеленение территории города Удомля"</t>
  </si>
  <si>
    <t>0210200000</t>
  </si>
  <si>
    <t>Задача "Укрепление и модернизация материально-технической базы муниципальных учреждений культуры Удомельского городского округа"</t>
  </si>
  <si>
    <t>0210300000</t>
  </si>
  <si>
    <t>Задача "Сохранение культурного наследия Удомельского городского округа"</t>
  </si>
  <si>
    <t>0220100000</t>
  </si>
  <si>
    <t>Задача "Развитие массового спорта и физкультурно-оздоровительного движения среди всех возрастных групп и категорий населения Удомельского городского округа, включая лиц с ограниченными физическими возможностями и инвалидов"</t>
  </si>
  <si>
    <t>0230200000</t>
  </si>
  <si>
    <t>Задача "Создание условий для повышения качества и разнообразия услуг, предоставляемых в сфере молодежной политики, удовлетворения потребностей в развитии и реализации духовного потенциала молодежи"</t>
  </si>
  <si>
    <t>320</t>
  </si>
  <si>
    <t>Расходы на руководство и управление администратора программы (Управление культуры, спорта и молодежной политики Администрации Удомельского городского округа)</t>
  </si>
  <si>
    <t>0510100000</t>
  </si>
  <si>
    <t>Содержания муниципальных жилых помещений до момента их предоставления в пользование гражданам</t>
  </si>
  <si>
    <t>Задача  "Обеспечение содержания и сохранности муниципального жилищного фонда"</t>
  </si>
  <si>
    <t>Задача  "Проведение текущего ремонта жилых помещений муниципального жилищного фонда"</t>
  </si>
  <si>
    <t>0520100000</t>
  </si>
  <si>
    <t>Задача "Выявление аварийного жилищного фонда"</t>
  </si>
  <si>
    <t>0520200000</t>
  </si>
  <si>
    <t xml:space="preserve"> Наименование</t>
  </si>
  <si>
    <t xml:space="preserve"> Бюджетные инвестиции</t>
  </si>
  <si>
    <t>0530100000</t>
  </si>
  <si>
    <t>0530200000</t>
  </si>
  <si>
    <t>1310100000</t>
  </si>
  <si>
    <t>Задача "Содействие в решении жилищных проблем малоимущих многодетных семей"</t>
  </si>
  <si>
    <t>1310200000</t>
  </si>
  <si>
    <t>1320100000</t>
  </si>
  <si>
    <t>1320200000</t>
  </si>
  <si>
    <t>310</t>
  </si>
  <si>
    <t>Публичные нормативные социальные выплаты гражданам</t>
  </si>
  <si>
    <t>Задача "Социальная поддержка старшего поколения"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</si>
  <si>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</si>
  <si>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0110200000</t>
  </si>
  <si>
    <t>0110300000</t>
  </si>
  <si>
    <t>Расходы на обеспечение деятельности казенного учреждения Централизованная бухгалтерия</t>
  </si>
  <si>
    <t>Содержание казенных учреждений</t>
  </si>
  <si>
    <t>Финансовое обеспечение муниципального задания на оказание муниципальных услуг (выполнение работ) муниципальных бюджетных общеобразовательных учреждений</t>
  </si>
  <si>
    <t>0120100000</t>
  </si>
  <si>
    <t>Судебная система</t>
  </si>
  <si>
    <t>1210200000</t>
  </si>
  <si>
    <t>Задача "Благоустройство и наружное оформление территории города Удомля"</t>
  </si>
  <si>
    <t>1140100000</t>
  </si>
  <si>
    <t>Задача "Осуществление подготовки и содержания в готовности необходимых сил и средств для защиты населения и территории Удомельского городского округа от чрезвычайных ситуаций"</t>
  </si>
  <si>
    <t>Задача "Эффективное управление муниципальными унитарными предприятиями"</t>
  </si>
  <si>
    <t>Выполнение работ по содержанию автомобильных дорог общего пользования местного значения и сооружений на них, нацеленное на обеспечение их проезжаемости и безопасности до сельских населенных пунктов"</t>
  </si>
  <si>
    <t>0910100000</t>
  </si>
  <si>
    <t>Задача "Развитие автомобильного транспорта"</t>
  </si>
  <si>
    <t>Подпрограмма "Содержание и ремонт муниципального жилищного фонда Удомельского городского округа"</t>
  </si>
  <si>
    <t>0510200000</t>
  </si>
  <si>
    <t xml:space="preserve">Подпрограмма "Предоставление субсидий муниципальным унитарным предприятиям на возмещение нормативных затрат, связанных с оказанием ими услуг, юридическим лицам (за исключением субсидий государственным (муниципальным) учреждениям), индивидуальным предпринимателям, оказывающим услуги для граждан" </t>
  </si>
  <si>
    <t>1310300000</t>
  </si>
  <si>
    <t>Задача "Осуществление взаимодействия с общественными организациями по реализации социально значимых мероприятий"</t>
  </si>
  <si>
    <t>Задача "Распределение объемов энергоресурсов на инженерных сетях Удомельского городского округа"</t>
  </si>
  <si>
    <t>830</t>
  </si>
  <si>
    <t>Исполнение судебных актов</t>
  </si>
  <si>
    <t>Задача "Создание необходимых условий по обеспечению пожарной безопасности на территории  Удомельского городского округа"</t>
  </si>
  <si>
    <t>Санитарная очистка города (сбор, вывоз, утилизация ТКО и КГМ)</t>
  </si>
  <si>
    <t>09201S0300</t>
  </si>
  <si>
    <t>13101S0290</t>
  </si>
  <si>
    <t>04201S0320</t>
  </si>
  <si>
    <t>Задача "Содержание автомобильных дорог и сооружений на них в границах Удомельского городского округа"</t>
  </si>
  <si>
    <t>Финансовое обеспечение мероприятий по подвозу учащихся из средств областного бюджета</t>
  </si>
  <si>
    <t>Задача "Организация и проведение патриотических и творческих мероприятий"</t>
  </si>
  <si>
    <t>Задача "Эффективное управление и распоряжение муниципальными земельными участками и земельными участками, государственная собственность на которые не разграничена"</t>
  </si>
  <si>
    <t>Задача "Реализация механизма проведения капитального ремонта общего имущества в многоквартирных домах, в соответствии с действующим законодательством Российской Федерации"</t>
  </si>
  <si>
    <t>Задача "Проведение профилактических мероприятий по предупреждению террористических и экстремистских проявлений на территории Удомельского городского округа"</t>
  </si>
  <si>
    <t>Задача "Создание необходимых условий для обеспечения безопасности людей на водных объектах Удомельского городского округа"</t>
  </si>
  <si>
    <t>Приобретение  жилых помещений для детей-сирот, детей, оставшихся без попечения родителей</t>
  </si>
  <si>
    <t>Задача "Проведение работы по профилактике распространения наркомании, алкоголизма и связанных с ними правонарушений</t>
  </si>
  <si>
    <t xml:space="preserve"> Приложение 6</t>
  </si>
  <si>
    <t>Повышение заработной платы работникам муниципальных учреждений культуры  из бюджета Удомельского городского округа</t>
  </si>
  <si>
    <t>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</t>
  </si>
  <si>
    <t>Повышение заработной платы работникам учреждений дополнительного образования в сфере культуры и искусства из бюджета Удомельского городского округа</t>
  </si>
  <si>
    <t>02101S0680</t>
  </si>
  <si>
    <t xml:space="preserve">Реализация мероприятий по благоустройству общественных территорий </t>
  </si>
  <si>
    <t xml:space="preserve">Предоставление молодым семьям Удомельского городского округа социальных выплат на приобретение (строительство) жилья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</si>
  <si>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товаров,работ,услуг</t>
  </si>
  <si>
    <t>код</t>
  </si>
  <si>
    <t>000 01 03 00 00 00 0000 000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</si>
  <si>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</si>
  <si>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</si>
  <si>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</si>
  <si>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</si>
  <si>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Увеличение прочих остатков денежных средств бюджетов городских округов</t>
  </si>
  <si>
    <t>000 01 05 00 00 00 0000 600</t>
  </si>
  <si>
    <t>Уменьшение остатков средств бюджетов</t>
  </si>
  <si>
    <t>Уменьшение прочих остатков денежных средств бюджетов городских округов</t>
  </si>
  <si>
    <t xml:space="preserve"> Итого источники финансирования дефицита бюджета </t>
  </si>
  <si>
    <t>Содержание светофорного регулирования</t>
  </si>
  <si>
    <t>Предоставление субсидий юридическим лицам (за исключением субсидий государственным (муниципальным)учреждениям), индивидуальным предпринимателям, оказывающим банно-прачечные услуги для отдельной  категорий граждан в городе Удомля</t>
  </si>
  <si>
    <t>13103L4970</t>
  </si>
  <si>
    <t>Задача "Обеспечение жильем молодых семей Удомельского городского округа "</t>
  </si>
  <si>
    <t>0110100000</t>
  </si>
  <si>
    <t>Страхование газового хозяйства северной части города Удомля</t>
  </si>
  <si>
    <t>Задача "Содержание действующего емкостного газового хозяйства северной части города Удомля"</t>
  </si>
  <si>
    <t>0710200000</t>
  </si>
  <si>
    <t>Расходы на реализацию предложений по обращениям, поступающим к депутатам Удомельской городской Думы</t>
  </si>
  <si>
    <t>Проведение текущего ремонта муниципального жилого фонда</t>
  </si>
  <si>
    <t>13102R0820</t>
  </si>
  <si>
    <t>Задача "Вовлечение земельных участков в хозяйственный оборот"</t>
  </si>
  <si>
    <t>Задача "Профилактика  совершения правонарушений и преступлений в общественных местах"</t>
  </si>
  <si>
    <t>Предоставление компенсаций членам добровольной народной дружины Удомельского городского округа, участвовавшим в охране общественного порядка</t>
  </si>
  <si>
    <t>0320200000</t>
  </si>
  <si>
    <t>Подпрограмма "Развитие инженерных сетей округа"</t>
  </si>
  <si>
    <t>09101S1050</t>
  </si>
  <si>
    <t>Выполнение работ по ремонту дорог общего пользования</t>
  </si>
  <si>
    <t>Ремонт автомобильных дорог за счет средств областного бюджета</t>
  </si>
  <si>
    <t>Организация  транспортного обслуживания населения на муниципальных маршрутах регулярных перевозок по регулируемым тарифам в границах Удомельского городского округа  за счет средств областного бюджета</t>
  </si>
  <si>
    <t>Ремонт дворовых территорий многоквартирных домов, проездов к дворовым территориям многоквартирных домов</t>
  </si>
  <si>
    <t>09101S1020</t>
  </si>
  <si>
    <t>Ремонт дворовых территорий многоквартирных домов, проездов к дворовым территориям многоквартирных домов за счет средств областного бюджета</t>
  </si>
  <si>
    <t>Обеспечение безопасности дорожного движения на автомобильных дорогах общего пользования местного значения за счет средств областного бюджета</t>
  </si>
  <si>
    <t>141F255552</t>
  </si>
  <si>
    <t xml:space="preserve">Обеспечение безопасности дорожного движения на автомобильных дорогах общего пользования местного значения </t>
  </si>
  <si>
    <t>Повышение заработной платы из областного бюджета работникам муниципальных учреждений культуры Удомельского городского округа</t>
  </si>
  <si>
    <t xml:space="preserve">Предоставление субсидии  из бюджета Удомельского  городского округа на поддержку некоммерческих организаций </t>
  </si>
  <si>
    <t>161R3S1090</t>
  </si>
  <si>
    <t>161R311090</t>
  </si>
  <si>
    <t>350</t>
  </si>
  <si>
    <t>Премии и гранты</t>
  </si>
  <si>
    <t>Муниципальные программы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</si>
  <si>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</si>
  <si>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Пенсии за выслугу лет муниципальным служащим</t>
  </si>
  <si>
    <t>Задача "Повышение уровня благоустройства общественных территорий  в соответствии с едиными требованиями и внедрение цифровых сервисов и современных технологий, направленных на создание благоприятной (комфортной) городской среды"</t>
  </si>
  <si>
    <t>Осуществление переданных полномочий Российской Федерации на государственную регистрацию актов гражданского состояния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</si>
  <si>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</si>
  <si>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</si>
  <si>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Разработка проектно - сметной документации</t>
  </si>
  <si>
    <t>0730200000</t>
  </si>
  <si>
    <t>0720000000</t>
  </si>
  <si>
    <t>Замена светильников на современные энергосберегающие</t>
  </si>
  <si>
    <t>Строительство объектов водоснабжения и водоотведения</t>
  </si>
  <si>
    <t>Обеспечение комплексной безопасности зданий и помещений дошкольных образовательных учреждений, находящихся в муниципальной собственности</t>
  </si>
  <si>
    <t>к решению Удомельской городской Думы</t>
  </si>
  <si>
    <t>902 01 05 02 01 04 0000 510</t>
  </si>
  <si>
    <t>902 01 05 02 01 04 0000 610</t>
  </si>
  <si>
    <t>Организация бесплатного горячего питания обучающихся, получающих начальное общее образование в муниципальных образовательных учреждениях</t>
  </si>
  <si>
    <t>Защита населения и территории от чрезвычайных ситуаций природного и техногенного характера,  пожарная безопасность</t>
  </si>
  <si>
    <t>03202L5110</t>
  </si>
  <si>
    <t>Организация проведения комплексных кадастровых работ на территории Удомельского городского округа</t>
  </si>
  <si>
    <t>Ремонт автомобильных дорог на территории г.Удомля</t>
  </si>
  <si>
    <t>Поддержка волонтерского движения</t>
  </si>
  <si>
    <t>Ремонт (капитальный ремонт) тротуаров на территории г.Удомля</t>
  </si>
  <si>
    <t>Задача "Ремонт дворовых территорий многоквартирных домов в рамках реализации мероприятий поддержки общественных и гражданских инициатив на территории Удомельского городского округа"</t>
  </si>
  <si>
    <t xml:space="preserve"> Приложение 4</t>
  </si>
  <si>
    <t>Подпрограмма "Реализация Программы поддержки местных инициатив Тверской области на территории Удомельского городского округа"</t>
  </si>
  <si>
    <t>Задача "Благоустройство территории Удомельского городского округа в рамках реализации программы поддержки местных инициатив"</t>
  </si>
  <si>
    <t>Выполнение работ по разработке проектно-сметной документации</t>
  </si>
  <si>
    <t>Реализация мероприятий по благоустройству общественных территорий города Удомля</t>
  </si>
  <si>
    <t>141F200000</t>
  </si>
  <si>
    <t>161R300000</t>
  </si>
  <si>
    <t>021А200000</t>
  </si>
  <si>
    <t>Задача "Реализация  проекта "Творческие люди" в рамках национального проекта "Культура"</t>
  </si>
  <si>
    <t>Задача "Реализация  проекта "Безопасность дорожного движения" в рамках национального проекта "Безопасные и качественные автомобильные дороги"</t>
  </si>
  <si>
    <t>Задача "Реализация  проекта "Формирование комфортной городской среды" в рамках национального проекта "Жилье и городская среда"</t>
  </si>
  <si>
    <t>0120210920</t>
  </si>
  <si>
    <t>0120200000</t>
  </si>
  <si>
    <t>Финансовое обеспечение участия педагогов и обучающихся в региональных и межрегиональных мероприятиях в рамках регионального проекта "Цифровая образовательная среда"</t>
  </si>
  <si>
    <t>Приобретение жилых помещений для малоимущих многодетных семей за счет средств областного бюджета</t>
  </si>
  <si>
    <t>1310110290</t>
  </si>
  <si>
    <t>Финансовое обеспечение мероприятий капитального и (или) текущего ремонтов муниципальных дошкольных образовательных учреждений</t>
  </si>
  <si>
    <t>Благоустройство парковой зоны ул. Венецианова</t>
  </si>
  <si>
    <t>Устройство автоматической пожарной сигнализации многоквартирного дома, расположенного по адресу: Тверская область, г. Удомля, пр. Курчатова д.14</t>
  </si>
  <si>
    <t>0720100000</t>
  </si>
  <si>
    <t>Выполнение работ по содержанию автомобильных дорог общего пользования местного значения и сооружений на них, нацеленное на обеспечение их проезжаемости и безопасности до сельских населенных пунктов</t>
  </si>
  <si>
    <t>Утверждено решением о бюджете</t>
  </si>
  <si>
    <t xml:space="preserve"> исполнено, %</t>
  </si>
  <si>
    <t xml:space="preserve">от     № </t>
  </si>
  <si>
    <t>"Об исполнении бюджета Удомельского</t>
  </si>
  <si>
    <t xml:space="preserve"> Приложение 7</t>
  </si>
  <si>
    <t>Наименование публичного нормативного обязательства</t>
  </si>
  <si>
    <t>Код строки</t>
  </si>
  <si>
    <t>Реквизиты нормативного правового акта</t>
  </si>
  <si>
    <t>Наименование</t>
  </si>
  <si>
    <t>Код расходов                       по БК</t>
  </si>
  <si>
    <t>Вид</t>
  </si>
  <si>
    <t>Дата</t>
  </si>
  <si>
    <t>Номер</t>
  </si>
  <si>
    <t>РП</t>
  </si>
  <si>
    <t>ЦСР</t>
  </si>
  <si>
    <t>1.Публичные нормативные обязательства, исполняемые за счет средств областного бюджета</t>
  </si>
  <si>
    <t>Финансовое обеспечение компенсации расходов на оплату жилых помещений, отопления и освещения педагогическим работникам образовательных учреждений Удомельского района, проживающим и работающим в сельских населенных пунктах</t>
  </si>
  <si>
    <t>Закон Тверской области</t>
  </si>
  <si>
    <t>82-ЗО</t>
  </si>
  <si>
    <t>"О компенсации расходов на оплату жилых помещений, отопления и освещения педагогическим работникам, проживающим и работающим в сельских населенных пунктах, рабочих поселках (поселках городского типа)"</t>
  </si>
  <si>
    <t>10 03</t>
  </si>
  <si>
    <t>2.Публичные нормативные обязательства, исполняемые за счет средств  бюджета Удомельского городского округа</t>
  </si>
  <si>
    <t>Решение  Удомельской городской Думы</t>
  </si>
  <si>
    <t>"Об утверждении Положения о муниципальной службе муниципального образования Удомельский городской округ"</t>
  </si>
  <si>
    <t>10 01</t>
  </si>
  <si>
    <t xml:space="preserve"> Приложение 5</t>
  </si>
  <si>
    <t>исполнено, %</t>
  </si>
  <si>
    <t xml:space="preserve">Источники финансирования дефицита бюджета Удомельского городского округа                               на 2022 год  </t>
  </si>
  <si>
    <t xml:space="preserve"> Приложение 1</t>
  </si>
  <si>
    <t xml:space="preserve"> Приложение 3</t>
  </si>
  <si>
    <t xml:space="preserve"> Приложение 8</t>
  </si>
  <si>
    <t>к решению Удомельской городской</t>
  </si>
  <si>
    <t xml:space="preserve">Думы от   № </t>
  </si>
  <si>
    <t>"О внесении изменений в решение  Удомельской</t>
  </si>
  <si>
    <t>городской Думы от 23.12.2019   № 436</t>
  </si>
  <si>
    <t>N п/п</t>
  </si>
  <si>
    <t xml:space="preserve"> Наименование мероприятий</t>
  </si>
  <si>
    <t>Главный распорядитель, распорядитель бюджетных средств</t>
  </si>
  <si>
    <t>1</t>
  </si>
  <si>
    <t>2</t>
  </si>
  <si>
    <t>3</t>
  </si>
  <si>
    <t>Управление образования  Администрации УГО, МБУ ДО ДДТ</t>
  </si>
  <si>
    <t>4</t>
  </si>
  <si>
    <t>5</t>
  </si>
  <si>
    <t>6</t>
  </si>
  <si>
    <t xml:space="preserve"> Администрация УГО</t>
  </si>
  <si>
    <t>7</t>
  </si>
  <si>
    <t>8</t>
  </si>
  <si>
    <t xml:space="preserve"> Управление культуры, спорта и молодежной политики Администрации УГО, МКУК "Удомельская ЦБС"</t>
  </si>
  <si>
    <t>Итого:</t>
  </si>
  <si>
    <t xml:space="preserve"> Управление культуры, спорта и молодежной политики Администрации УГО,МБОУ ДО "УДШИ"</t>
  </si>
  <si>
    <t>Приобретение напольного покрытия</t>
  </si>
  <si>
    <t xml:space="preserve"> Управление культуры, спорта и молодежной политики Администрации УГО,МБУ ГМЦ "Звездный"</t>
  </si>
  <si>
    <t>Другие вопросы в области жилищно-коммунального хозяйства</t>
  </si>
  <si>
    <t>Кассовое исполнение за 2022 год</t>
  </si>
  <si>
    <t xml:space="preserve">Распределение бюджетных ассигнований  бюджета  Удомельского городского округа по разделам и подразделам классификации расходов бюджета на 2022 год </t>
  </si>
  <si>
    <t>городского округа за 2022 год"</t>
  </si>
  <si>
    <t>Бюджетные кредиты из других бюджетов бюджетной системы  Российской Федерации</t>
  </si>
  <si>
    <t>000 01 03 01 00 00 0000 700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</si>
  <si>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</si>
  <si>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000 01 03 01 00 04 0500 710</t>
  </si>
  <si>
    <t>Привлечение бюджетных кредитов городскими округами из бюджета субъекта Российской Федерации, за исключением бюджетных кредитов, предоставляемых за счет федерального бюджета для погашения долговых обязательств по кредитам, полученным от кредитных организаций</t>
  </si>
  <si>
    <t xml:space="preserve"> Распределение бюджетных ассигнований  бюджета Удомельского городского округа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 расходов бюджета на 2022 год</t>
  </si>
  <si>
    <t>Центральный аппарат Удомельской городской Думы</t>
  </si>
  <si>
    <t>Муниципальная программа муниципального образования Удомельский городской округ «Управление имуществом и земельными ресурсами Удомельского городского округа на 2022 - 2027 годы»</t>
  </si>
  <si>
    <t>0310123171</t>
  </si>
  <si>
    <t>0310223172</t>
  </si>
  <si>
    <t>0310223173</t>
  </si>
  <si>
    <t>0310223174</t>
  </si>
  <si>
    <t>0310223175</t>
  </si>
  <si>
    <t>Увеличение уставного фонда МУП в целях финансовой устойчивости и недопущения платежеспособности</t>
  </si>
  <si>
    <t>9940026300</t>
  </si>
  <si>
    <t>9950022700</t>
  </si>
  <si>
    <t>9950022800</t>
  </si>
  <si>
    <t xml:space="preserve"> Расходы на обеспечение деятельности муниципального казенного учреждения "Управление административно-хозяйственного обеспечения"</t>
  </si>
  <si>
    <t>Муниципальная программа муниципального образования Удомельский городской округ «Обеспечение безопасности жизнедеятельности населения Удомельского городского округа на 2022 - 2027 годы»</t>
  </si>
  <si>
    <t xml:space="preserve">Обеспечение первичных мер пожарной безопасности на территории Удомельского городского округа </t>
  </si>
  <si>
    <t>Изготовление наглядной агитации: памятки,плакаты,рекламные щиты</t>
  </si>
  <si>
    <t>9950022600</t>
  </si>
  <si>
    <t>Расходы на обеспечение деятельности муниципального казенного учреждения  "Управление по делам гражданской обороны и чрезвычайным ситуациям УГО"</t>
  </si>
  <si>
    <t>Муниципальная программа муниципального образования Удомельский городской округ «Профилактика правонарушений на территории Удомельского городского округа на 2022 - 2027 годы»</t>
  </si>
  <si>
    <t>1010123081</t>
  </si>
  <si>
    <t>Муниципальная программа муниципального образования Удомельский городской округ «Повышение безопасности дорожного движения на территории Удомельского городского округа на 2022 - 2027 годы»</t>
  </si>
  <si>
    <t>Муниципальная программа муниципального образования Удомельский городской округ «Создание условий для экономического развития Удомельского городского округа на 2022 - 2027 годы»</t>
  </si>
  <si>
    <t>Подпрограмма "Создание условий для развития экономического потенциала и формирования благоприятного предпринимательского климата"</t>
  </si>
  <si>
    <t>Задача "Предотвращение распространения борщевика Сосновского на территории Удомельского городского округа"</t>
  </si>
  <si>
    <t>04101223205</t>
  </si>
  <si>
    <t>Муниципальная программа муниципального образования Удомельский городской округ «Развитие транспортного комплекса и дорожного хозяйства на территории Удомельского городского округа на 2022 - 2027 годы»</t>
  </si>
  <si>
    <t>Организация транспортного обслуживания населения на муниципальных маршрутах регулярных перевозок сверх минимальных социальных требований, установленных Правительством Тверской области</t>
  </si>
  <si>
    <t>Выполнение работ по разработке проектно-сметной документации на реконструкцию и ремонт автомобильных дорог, дворовых территорий многоквартирных домов, проездов к дворовым территориям, в т.ч. парковок и проведение лабораторных исследований</t>
  </si>
  <si>
    <t>0910111020</t>
  </si>
  <si>
    <t>0910111050</t>
  </si>
  <si>
    <t>1500000000</t>
  </si>
  <si>
    <t>Муниципальная программа муниципального образования Удомельский городской округ «Поддержка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2022 - 2027 годы»</t>
  </si>
  <si>
    <t>15102S9017</t>
  </si>
  <si>
    <t>Благоустройство дворовой территории МКД (устройство парковочных мест) по адресу: Тверская область, г.Удомля, ул.Александрова, д.10</t>
  </si>
  <si>
    <t>15102S9018</t>
  </si>
  <si>
    <t xml:space="preserve">Капитальный ремонт дороги на дворовой территории многоквартирного дома по адресу: Тверская область, г.Удомля, ул.Энергетиков, д.11-д </t>
  </si>
  <si>
    <t>15102S9021</t>
  </si>
  <si>
    <t>Благоустройство дворовой территории  жилого дома (устройство парковочных мест) по адресу: Тверская область, г.Удомля, ул.Курчатова, д.6а - 1 этап (парковка)</t>
  </si>
  <si>
    <t>Капитальный ремонт дороги на дворовой территории многоквартирного дома по адресу: Тверская область, г.Удомля, ул.Энергетиков, д.11-д</t>
  </si>
  <si>
    <t>1610123155</t>
  </si>
  <si>
    <t>0320123190</t>
  </si>
  <si>
    <t>0320223195</t>
  </si>
  <si>
    <t>0410223210</t>
  </si>
  <si>
    <t xml:space="preserve"> Привлечение субъектов малого и среднего предпринимательства к участию в выставках, ярмарках, конкурсах, мероприятиях, проводимых на территории Удомельского городского округа</t>
  </si>
  <si>
    <t>0410223215</t>
  </si>
  <si>
    <t xml:space="preserve"> Создание и развитие школы малого и среднего предпринимательства</t>
  </si>
  <si>
    <t>0410327210</t>
  </si>
  <si>
    <t>Предоставление гранта в форме субсидии начинающим субъектам предпринимательства на создание собственного дела</t>
  </si>
  <si>
    <t>0410327220</t>
  </si>
  <si>
    <t>Предоставление гранта в форме субсидии субъектам малого и среднего предпринимательства на создание и развитие крестьянского (фермерского) хозяйства</t>
  </si>
  <si>
    <t>0410327230</t>
  </si>
  <si>
    <t>Предоставление субсидий субъектам малого и среднего предпринимательства - сельскохозяйственным кооперативам и крестьянским (фермерским) хозяйствам на проведение профилактических, противоэпизодических, противоинфекционных мероприятий</t>
  </si>
  <si>
    <t>0410327240</t>
  </si>
  <si>
    <t>Предоставление субсидий субъектам малого и среднего предпринимательства - сельскохозяйственным кооперативам и крестьянским (фермерским) хозяйствам на оказание поддержки по сохранению поголовья сельскохозяйственных животных</t>
  </si>
  <si>
    <t>0410327250</t>
  </si>
  <si>
    <t>Предоставление субсидий субъектам малого и среднего предпринимательства - сельскохозяйственным кооперативам и крестьянским (фермерским) хозяйствам на возмещение затрат за коммунальные услуги в сфере водоснабжения</t>
  </si>
  <si>
    <t>Муниципальная программа муниципального образования Удомельский городской округ «Территориальное планирование Удомельского городского округа на 2022 - 2027 годы»</t>
  </si>
  <si>
    <t>Подпрограмма "Реализация Генерального плана и Правил землепользования и застройки  на территории Удомельского городского округа"</t>
  </si>
  <si>
    <t>0810123101</t>
  </si>
  <si>
    <t>Разработка материалов по описанию границ населенных пунктов на основании Генерального плана Удомельского городского округа</t>
  </si>
  <si>
    <t>Муниципальная программа муниципального образования Удомельский городской округ «Управление жилищным фондом Удомельского городского округа на 2022 - 2027 годы»</t>
  </si>
  <si>
    <t>0510123251</t>
  </si>
  <si>
    <t>0510223252</t>
  </si>
  <si>
    <t>0520123263</t>
  </si>
  <si>
    <t>Разработка проектно-сметной документации</t>
  </si>
  <si>
    <t>Приобретение жилых помещений для предоставления гражданам, по договорам социального найма,проживающим в аварийном жилищном фонде</t>
  </si>
  <si>
    <t>Проведение капитального ремонта общего имущества в многоквартирных домах на территории Удомельского городского округа</t>
  </si>
  <si>
    <t>Подпрограмма «Реализация мероприятий поддержки общественных и гражданских инициатив  на территории Удомельского городского округа»</t>
  </si>
  <si>
    <t>Задача "Обеспечение безопасности многоквартирных домов»"</t>
  </si>
  <si>
    <t>Муниципальная программа "Создание условий для экономического развития Удомельского городского округа на 2022-2027 годы"</t>
  </si>
  <si>
    <t>Муниципальная программа муниципального образования Удомельский городской округ «Комплекс мероприятий по организации коммунального и газового хозяйства Удомельского городского округа на 2022 - 2027 годы»</t>
  </si>
  <si>
    <t>Подпрограмма "Организация газоснабжения северной части города Удомля"</t>
  </si>
  <si>
    <t>0710123351</t>
  </si>
  <si>
    <t>0710223352</t>
  </si>
  <si>
    <t>0720123361</t>
  </si>
  <si>
    <t>0720123362</t>
  </si>
  <si>
    <t>Подпрограмма "Организация коммунального хозяйства Удомельского городского округа"</t>
  </si>
  <si>
    <t>0730123371</t>
  </si>
  <si>
    <t>Развитие, модернизация и капитальный ремонт объектов коммунальной инфраструктуры</t>
  </si>
  <si>
    <t>0730223372</t>
  </si>
  <si>
    <t>9940026900</t>
  </si>
  <si>
    <t>Муниципальная программа муниципального образования Удомельский городской округ «Улучшение экологической обстановки Удомельского городского округа на 2022 - 2027 годы»</t>
  </si>
  <si>
    <t>Подпрограмма "Организация мероприятий по охране окружающей среды в границах Удомельского городского округа"</t>
  </si>
  <si>
    <t>0610123075</t>
  </si>
  <si>
    <t xml:space="preserve">Ликвидация несанкционированных мест размещения твердых коммунальных отходов </t>
  </si>
  <si>
    <t>0610123080</t>
  </si>
  <si>
    <t>Организация видео-фото наблюдения на территории Удомельского  городского округа</t>
  </si>
  <si>
    <t>Муниципальная программа муниципального образования Удомельский городской округ «Содержание и благоустройство территории Удомельского городского округа на 2022 - 2027 годы»</t>
  </si>
  <si>
    <t>Подпрограмма "Содержание, озеленение и благоустройство территории Удомельского городского округа "</t>
  </si>
  <si>
    <t>Содержание и благоустройство видовых и памятных мест  Удомельского городского округа</t>
  </si>
  <si>
    <t>12101L2990</t>
  </si>
  <si>
    <t>Обустройство и восстановление воинских захоронений в рамках реализации федеральной целевой программы «Увековечение памяти погибших при защите Отечества на 2019 - 2024 годы»</t>
  </si>
  <si>
    <t>Подпрограмма "Улучшение состояния и содержание территорииУдомельского городского округа"</t>
  </si>
  <si>
    <t>1230123535</t>
  </si>
  <si>
    <t>1230123540</t>
  </si>
  <si>
    <t>1230123545</t>
  </si>
  <si>
    <t>Подпрограмма "Энергосбережение и повышение энергетической эффективности территории Удомельского городского округа"</t>
  </si>
  <si>
    <t>1240123550</t>
  </si>
  <si>
    <t>1240123560</t>
  </si>
  <si>
    <t>Выполнение работ по выявлению  и устранению неучтенных точек подключения уличного освещения, установка (замена) счетчиков</t>
  </si>
  <si>
    <t>1240323580</t>
  </si>
  <si>
    <t>Обеспечение уличного освещения  на территории Удомельского городского округа</t>
  </si>
  <si>
    <t>1240323585</t>
  </si>
  <si>
    <t xml:space="preserve"> Содержание сетей уличного освещения</t>
  </si>
  <si>
    <t>Муниципальная программа муниципального образования Удомельский городской округ «Формирование комфортной городской среды на территории Удомельского городского округа на 2018 - 2024 годы»</t>
  </si>
  <si>
    <t>Приобретение и установка детских игровых комплексов</t>
  </si>
  <si>
    <t>141F254240</t>
  </si>
  <si>
    <t>Создание комфортной городской среды в малых городах - победителях Всероссийского конкурса лучших проектов создания комфортной городской среды</t>
  </si>
  <si>
    <t>15103S9012</t>
  </si>
  <si>
    <t>Устройство спортивно-игрового комплекса по адресу: Тверская область, г. Удомля, ул. Космонавтов, д.5 а</t>
  </si>
  <si>
    <t>15103S9013</t>
  </si>
  <si>
    <t>Благоустройство гражданского кладбища по адресу: Тверская область, Удомельский городской округ, д. Венецианово</t>
  </si>
  <si>
    <t>15103S9014</t>
  </si>
  <si>
    <t>Благоустройство гражданского кладбища по адресу: Тверская область, Удомельский городской округ, пос. Брусово</t>
  </si>
  <si>
    <t>15103S9015</t>
  </si>
  <si>
    <t>Благоустройство гражданского кладбища по адресу: Тверская область,Удомельский городской округ, с.Еремково</t>
  </si>
  <si>
    <t>15103S9016</t>
  </si>
  <si>
    <t xml:space="preserve">Благоустройство гражданского кладбища по адресу: Тверская область,Удомельский городской округ, д.Касково </t>
  </si>
  <si>
    <t xml:space="preserve">Благоустройство гражданского кладбища по адресу: Тверская область,Удомельский городской округ, с.Еремково </t>
  </si>
  <si>
    <t>Благоустройство гражданского кладбища по адресу: Тверская область, Удомельский городской округ, с.Еремково</t>
  </si>
  <si>
    <t>Благоустройство гражданского кладбища по адресу: Тверская область,Удомельский городской округ, д.Касково</t>
  </si>
  <si>
    <t>Подпрограмма "Реализация мероприятий поддержки общественных и гражданских инициатив  на территории Удомельского городского округа"</t>
  </si>
  <si>
    <t>Благоустройство дворовой территории пр. Курчатова д.8</t>
  </si>
  <si>
    <t xml:space="preserve">Подпрограмма "Предоставление субсидий муниципальным унитарным предприятиям на возмещение нормативных затрат, связанных с оказанием ими услуг, юридическим лицам (за исключением субсидий государственным (муниципальным) учреждениям), индивидуальным предпринимателям,физическим лицам, оказывающим услуги для граждан" 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</si>
  <si>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предпринимателям,физическим лицам, оказывающим  услуги туалета общественного пользования  в городе Удомля</t>
  </si>
  <si>
    <t>Муниципальная программа муниципального образования Удомельский городской округ «Развитие образования Удомельского городского округа на 2022 - 2027 годы»</t>
  </si>
  <si>
    <t>Подпрограмма "Развитие системы дошкольного образования"</t>
  </si>
  <si>
    <t>0110110740</t>
  </si>
  <si>
    <t>Обеспечение государственных гарантий реализации прав на получение бесплатного дошкольного образования  за счет средств областного бюджета</t>
  </si>
  <si>
    <t>0110121100</t>
  </si>
  <si>
    <t>Финансовое обеспечение муниципального задания на оказание муниципальных услуг (выполнение работ) муниципальных бюджетных образовательных учреждений дошкольного образования</t>
  </si>
  <si>
    <t>0110111390</t>
  </si>
  <si>
    <t>Единовременная выплата к началу нового учебного года работникам муниципальных бюджетных дошкольных образовательных учреждений</t>
  </si>
  <si>
    <t>01101S1390</t>
  </si>
  <si>
    <t>Единовременная выплата к началу нового учебного года работникам муниципальных бюджетных дошкольных образовательных учреждений за счет средств бюджета округа</t>
  </si>
  <si>
    <t>0110221210</t>
  </si>
  <si>
    <t>0110221220</t>
  </si>
  <si>
    <t>Подпрограмма "Развитие системы начального общего, основного общего и среднего общего образования"</t>
  </si>
  <si>
    <t>0120110750</t>
  </si>
  <si>
    <t>Обеспечение государственных гарантий реализации прав на получение бесплатного начального общего, основного общего и среднего общего образования  за счет средств областного бюджета</t>
  </si>
  <si>
    <t>0120121100</t>
  </si>
  <si>
    <t>0120153031</t>
  </si>
  <si>
    <t xml:space="preserve"> Ежемесячное денежное вознаграждение за классное руководство педагогическим работникам муниципальных образовательных учреждений</t>
  </si>
  <si>
    <t>0120111390</t>
  </si>
  <si>
    <t>Единовременная выплата к началу нового учебного года работникам муниципальных бюджетных общеобразовательных учреждений</t>
  </si>
  <si>
    <t>01201S1390</t>
  </si>
  <si>
    <t>Единовременная выплата к началу нового учебного года работникам муниципальных бюджетных общеобразовательных учреждений за счет средств бюджета округа</t>
  </si>
  <si>
    <t>0120221210</t>
  </si>
  <si>
    <t>Финансовое обеспечение мероприятий капитального и (или) текущего ремонтов муниципальных  общеобразовательных учреждений</t>
  </si>
  <si>
    <t>0120221220</t>
  </si>
  <si>
    <t xml:space="preserve"> Обеспечение комплексной безопасности зданий и помещений общеобразовательных учреждений, находящихся в муниципальной собственности</t>
  </si>
  <si>
    <t>0120221240</t>
  </si>
  <si>
    <t xml:space="preserve">Укрепление материально-технической базы муниципальных общеобразовательных учреждений  </t>
  </si>
  <si>
    <t>Средства депутатов Законодательного Собрания Тверской области общеобразовательным учреждениям</t>
  </si>
  <si>
    <t>0120310250</t>
  </si>
  <si>
    <t>01203S0250</t>
  </si>
  <si>
    <t>0120321260</t>
  </si>
  <si>
    <t>Оснащение автобусов, осуществляющих подвоз  обучающихся и воспитанников муниципальных учреждений, необходимыми техническими средствами</t>
  </si>
  <si>
    <t>01204L3040</t>
  </si>
  <si>
    <t>0120421600</t>
  </si>
  <si>
    <t>Финансовое обеспечение бесплатным питанием обучающихся с ограниченными возможностями здоровья в муниципальных общеобразовательных учреждениях</t>
  </si>
  <si>
    <t>01205S8001</t>
  </si>
  <si>
    <t>Финансовое обеспечение реализации проекта «Радио на все времена» в УСОШ 1</t>
  </si>
  <si>
    <t>0120518001</t>
  </si>
  <si>
    <t>0130000000</t>
  </si>
  <si>
    <t>Подпрограмма "Развитие системы дополнительного образования и воспитания детей"</t>
  </si>
  <si>
    <t>0130121100</t>
  </si>
  <si>
    <t xml:space="preserve"> Финансовое обеспечение муниципального задания на оказание муниципальных услуг (выполнение работ) муниципальных бюджетных учреждений дополнительного образования</t>
  </si>
  <si>
    <t>0130121120</t>
  </si>
  <si>
    <t>Обеспечение функционирования модели персонифицированного финансирования дополнительного образования</t>
  </si>
  <si>
    <t>0130110690</t>
  </si>
  <si>
    <t xml:space="preserve"> Финансовое обеспечение повышения заработной платы педагогическим работникам  муниципальных бюджетных учреждений дополнительного образования за счет средств областного бюджета</t>
  </si>
  <si>
    <t>01301S0690</t>
  </si>
  <si>
    <t xml:space="preserve"> Финансовое обеспечение повышения заработной платы педагогическим работникам  муниципальных бюджетных учреждений дополнительного образования за счет средств бюджета округа</t>
  </si>
  <si>
    <t>0130111390</t>
  </si>
  <si>
    <t>Единовременная выплата к началу нового учебного года работникам муниципальных бюджетных учреждений дополнительного образования</t>
  </si>
  <si>
    <t>01301S1390</t>
  </si>
  <si>
    <t>Единовременная выплата к началу нового учебного года работникам муниципальных бюджетных учреждений дополнительного образования за счет средств бюджета округа</t>
  </si>
  <si>
    <t>0130221220</t>
  </si>
  <si>
    <t xml:space="preserve"> Обеспечение комплексной безопасности зданий и помещений учреждений дополнительного образования, находящихся в муниципальной собственности</t>
  </si>
  <si>
    <t>0130221240</t>
  </si>
  <si>
    <t>Укрепление материально-технической базы учреждений  дополнительного образования</t>
  </si>
  <si>
    <t>0130321250</t>
  </si>
  <si>
    <t>Финансовое обеспечение участия в спортивных мероприятиях регионального,всероссийского, международного уровней</t>
  </si>
  <si>
    <t>0130321260</t>
  </si>
  <si>
    <t>0130321400</t>
  </si>
  <si>
    <t>0130321500</t>
  </si>
  <si>
    <t>Финансовое обеспечение муниципального мероприятия "День защиты детей"</t>
  </si>
  <si>
    <t>0140000000</t>
  </si>
  <si>
    <t>Подпрограмма "Создание современной образовательной среды"</t>
  </si>
  <si>
    <t>0140121270</t>
  </si>
  <si>
    <t>Муниципальная программа муниципального образования Удомельский городской округ «Развитие культуры, спорта и молодежной политики Удомельского городского округа на 2022 - 2027 годы»</t>
  </si>
  <si>
    <t>02102S0690</t>
  </si>
  <si>
    <t>Единовременная выплата к началу нового учебного года работникам муниципальных бюджетных учреждений дополнительного образования в сфере культуры</t>
  </si>
  <si>
    <t>02102S1390</t>
  </si>
  <si>
    <t>Единовременная выплата к началу нового учебного года работникам муниципальных бюджетных учреждений дополнительного образования в сфере культуры. за счет средств бюджета округа</t>
  </si>
  <si>
    <t>0210421210</t>
  </si>
  <si>
    <t>Финансовое обеспечение мероприятий капитального и (или) текущего ремонтов муниципальных  учреждений дополнительного образования в сфере культуры и искусства</t>
  </si>
  <si>
    <t>0210421220</t>
  </si>
  <si>
    <t>Обеспечение комплексной безопасности зданий и помещений муниципальных  учреждений дополнительного образования в сфере культуры и искусства</t>
  </si>
  <si>
    <t>9940021900</t>
  </si>
  <si>
    <t>0140221280</t>
  </si>
  <si>
    <t>01204S0240</t>
  </si>
  <si>
    <t>0120410240</t>
  </si>
  <si>
    <t xml:space="preserve"> Финансирование обеспечение отдыха, оздоровления и занятости детей и подростков</t>
  </si>
  <si>
    <t>0230123050</t>
  </si>
  <si>
    <t>0230123055</t>
  </si>
  <si>
    <t>0230123060</t>
  </si>
  <si>
    <t>0230123065</t>
  </si>
  <si>
    <t>0230300000</t>
  </si>
  <si>
    <t>Задача "Укрепление и модернизация материально-технической базы муниципальных учреждений  в сфере молодежной политикиУдомельского городского округа"</t>
  </si>
  <si>
    <t xml:space="preserve"> Финансовое обеспечение мероприятий капитального и (или) текущего ремонтов муниципальных  учреждений  в сфере молодежной политики</t>
  </si>
  <si>
    <t>1020000000</t>
  </si>
  <si>
    <t>1030000000</t>
  </si>
  <si>
    <t xml:space="preserve">Подпрограмма "Профилактика безнадзорности и правонарушений несовершеннолетних в Удомельском городском округе" </t>
  </si>
  <si>
    <t>Изготовление лифлетов, баннеров по профилактике безнадзорности и правонарушений несовершеннолетних</t>
  </si>
  <si>
    <t>0120423005</t>
  </si>
  <si>
    <t>0140123010</t>
  </si>
  <si>
    <t>Финансовое обеспечение поощрения лучших педагогов,работающих в муниципальной сети профильных курсов</t>
  </si>
  <si>
    <t>0140123015</t>
  </si>
  <si>
    <t>0140221300</t>
  </si>
  <si>
    <t>Финансовое обеспечение мероприятий по поддержке  педагогов - молодых специалистов</t>
  </si>
  <si>
    <t>Финансовое обеспечение проведения муниципальных мероприятий с одаренными и высокомотивированными обучающимися, воспитанниками, организация их участия в региональных, всероссийских мероприятиях</t>
  </si>
  <si>
    <t>340</t>
  </si>
  <si>
    <t>Стипендии</t>
  </si>
  <si>
    <t>01403S1080</t>
  </si>
  <si>
    <t>Финансовое обеспечение участия детей и подростков в социально-значимых региональных проектах из бюджета Удомельского городского округа</t>
  </si>
  <si>
    <t xml:space="preserve"> Организация участия детей и подростков в социально-значимых региональных проектах</t>
  </si>
  <si>
    <t>0140410920</t>
  </si>
  <si>
    <t>Средства депутатов Законодательного Собрания Тверской области на финансовое обеспечение информационного сопровождения развития образования</t>
  </si>
  <si>
    <t xml:space="preserve"> Расходы на руководство и управление главного администратора программы (Управление образования Администрации Удомельского городского округа)</t>
  </si>
  <si>
    <t>02103L4670</t>
  </si>
  <si>
    <t>0210321210</t>
  </si>
  <si>
    <t>Финансовое обеспечение мероприятий капитального и (или) текущего ремонтов муниципальных  учреждений культуры</t>
  </si>
  <si>
    <t>02103S1310</t>
  </si>
  <si>
    <t>Обеспечение муниципального учреждения культурно-досугового типа автотранспортом для перевозки участников творческих коллективов</t>
  </si>
  <si>
    <t>0210311310</t>
  </si>
  <si>
    <t>021А154540</t>
  </si>
  <si>
    <t>Создание модельных муниципальных библиотек</t>
  </si>
  <si>
    <t>021А255194</t>
  </si>
  <si>
    <t>Государственная поддержка отрасли культуры (в части оказания государственной поддержки лучшим работникам сельских учреждений культуры)</t>
  </si>
  <si>
    <t>141F25424F</t>
  </si>
  <si>
    <t>Создание комфортной городской среды в малых городах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</si>
  <si>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 xml:space="preserve"> Расходы на реализацию предложений по обращениям, поступающим к депутатам Удомельской городской Думы бюджетных учреждений</t>
  </si>
  <si>
    <t>0210600000</t>
  </si>
  <si>
    <t>0210623035</t>
  </si>
  <si>
    <t>0210610920</t>
  </si>
  <si>
    <t>Средства депутатов Законодательного Собрания Тверской области</t>
  </si>
  <si>
    <t>Муниципальная программа муниципального образования Удомельский городской округ «Социальная политика, поддержка и защита населения Удомельского городского округа на 2022 - 2027 годы»</t>
  </si>
  <si>
    <t>0110310500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</si>
  <si>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</si>
  <si>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0220123040</t>
  </si>
  <si>
    <t>0220123045</t>
  </si>
  <si>
    <t>0220123046</t>
  </si>
  <si>
    <t>Подготовка площадки и установка на ней оборудования</t>
  </si>
  <si>
    <t>Оплата услуг средствам массовой информации за размещение информации и объявлений о деятельности органов местного самоуправления в печатных изданиях</t>
  </si>
  <si>
    <t xml:space="preserve">Предоставление субсидии из областного бюджета на поддержку некоммерческих организаций </t>
  </si>
  <si>
    <t>Оплата услуг средствам массовой информации за размещение информации и объявлений о деятельности органов местного самоуправления в телевизионном эфире</t>
  </si>
  <si>
    <t>Оплата услуг средствам массовой информации  за размещение информации и объявлений о деятельности органов местного самоуправления в радиоэфире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</si>
  <si>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</si>
  <si>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</si>
  <si>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Ведомственная структура расходов  бюджета Удомельского городского округа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 видов расходов классификации  расходов бюджетов                 на  2022 год                                             </t>
  </si>
  <si>
    <t>Защита населения и территории от чрезвычайных ситуаций природного и техногенного характера, гражданская оборона</t>
  </si>
  <si>
    <t>Задача "Капитальный ремонт и/или ремонт автомобильных дорог на территории Удомельского городского округа в рамках реализации программы поддержки местных инициатив"</t>
  </si>
  <si>
    <t>Задача "Развитие и поддержка субъектов малого и среднего предпринимательства и самозанятых в Удомельском городском округе"</t>
  </si>
  <si>
    <t>0410300000</t>
  </si>
  <si>
    <t>Задача "Расширение доступа субъектов малого и среднего предпринимательства и самозанятых к финансовым ресурсам"</t>
  </si>
  <si>
    <t>Подпрограмма "Реализация Генерального плана и Правил землепользования и застройки  на территории Удомельского городского округа "</t>
  </si>
  <si>
    <t>Задача "Внесение в ЕГРН сведений о границах населенных пунктов и территориальных зон на основании Генерального плана и Правил землепользования и застройки на территории Удомельского городского округа"</t>
  </si>
  <si>
    <t>Задача "Переселение граждан из  аварийного жилищного фонда"</t>
  </si>
  <si>
    <t>Задача "Проведение капитального ремонта общего имущества в многоквартирных домах на территории Удомельского городского округа"</t>
  </si>
  <si>
    <t>Подпрограмма "Организация газоснабжения северной части города Удомля "</t>
  </si>
  <si>
    <t>Задача "Обеспечение бесперебойного функционирования объектов коммунального хозяйства территорий Удомельского городского округа"</t>
  </si>
  <si>
    <t>Задача "Строительство  инженерных систем округа"</t>
  </si>
  <si>
    <t>Задача  "Обеспечение снижения негативного воздействия от несанкционированного размещения твердых коммунальных отходов на окружающую среду"</t>
  </si>
  <si>
    <t>Задача "Энергосбережение и повышение энергетической эффективности при обеспечении уличного освещения территории Удомельского городского округа"</t>
  </si>
  <si>
    <t>1240300000</t>
  </si>
  <si>
    <t>Задача "Обеспечение уличного освещения населенных пунктов, расположенных на территории Удомельского городского округа"</t>
  </si>
  <si>
    <t>Задача "Приобретение жилых помещений для детей-сирот, детей оставшихся без попечения родителей, лиц из их числа для обеспечения их жилыми помещениями по договорам найма специализированных жилых помещений"</t>
  </si>
  <si>
    <t>Задача "Повышение качества,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области, местного самоуправления Удомельского городского округа в печатных изданиях"</t>
  </si>
  <si>
    <t>Задача "Повышение качества,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области, местного самоуправления Удомельского городского округа в телевизионном и радиоэфире"</t>
  </si>
  <si>
    <t>Задача "Обеспечение качества условий предоставления образовательных услуг учреждениями дошкольного образования"</t>
  </si>
  <si>
    <t>Задача "Развитие инфраструктуры дошкольных образовательных учреждений"</t>
  </si>
  <si>
    <t>Задача "Обеспечение качества условий предоставления образовательных услуг муниципальными бюджетными общеобразовательными учреждениямиг"</t>
  </si>
  <si>
    <t>Задача "Развитие инфраструктуры муниципальных общеобразовательных учреждений"</t>
  </si>
  <si>
    <t>0120300000</t>
  </si>
  <si>
    <t>Задача "Обеспечение доступности  транспортных услуг в общеобразовательных учреждениях в части  подвоза обучающихся к месту обучения и обратно"</t>
  </si>
  <si>
    <t>0120400000</t>
  </si>
  <si>
    <t>Задача "Обеспечение деятельности по сохранению и укреплению здоровья школьников, формирование основ здорового образа жизни"</t>
  </si>
  <si>
    <t>0120500000</t>
  </si>
  <si>
    <t>Задача «Реализация проектов в рамках программы поддержки школьных инициатив»</t>
  </si>
  <si>
    <t>0130100000</t>
  </si>
  <si>
    <t>Задача "Обеспечение качества условий предоставления образовательных услуг учреждениями дополнительного образования"</t>
  </si>
  <si>
    <t>0130200000</t>
  </si>
  <si>
    <t>Задача "Развитие инфраструктуры учреждений дополнительного образования"</t>
  </si>
  <si>
    <t>0130300000</t>
  </si>
  <si>
    <t>Задача "Обеспечение доступности  направлений дополнительного образования"</t>
  </si>
  <si>
    <t>0140100000</t>
  </si>
  <si>
    <t>Задача "Управление качеством образования"</t>
  </si>
  <si>
    <t>0140200000</t>
  </si>
  <si>
    <t>Задача "Создание условий для непрерывного развития кадрового потенциала отрасли "Образование"</t>
  </si>
  <si>
    <t>Задача "Создание условий для непрывного развития кадрового потенциала отрасли "Образование"</t>
  </si>
  <si>
    <t>0140300000</t>
  </si>
  <si>
    <t>Задача "Создание условий для воспитания гармонично развитой  и социально ориентированной личности"</t>
  </si>
  <si>
    <t>0140400000</t>
  </si>
  <si>
    <t>Задача "Система информирования граждан в сфере образования"</t>
  </si>
  <si>
    <t>Задача " Содействие развитию системы дошкольного образования"</t>
  </si>
  <si>
    <t>Задача "Развитие художественно-эстетического округа"</t>
  </si>
  <si>
    <t>0210400000</t>
  </si>
  <si>
    <t>Задача "Укрепление и модернизация материально-технической базы муниципальных учреждений дополнительного образования в сфере культуры и искусства Удомельского городского округа"</t>
  </si>
  <si>
    <t>1020100000</t>
  </si>
  <si>
    <t>1030300000</t>
  </si>
  <si>
    <t>Задача "Работа по формированию здорового образа жизни у несовершеннолетних, состоящих на учете в КДН и ЗП"</t>
  </si>
  <si>
    <t>021А100000</t>
  </si>
  <si>
    <t>Задача "Реализация  проекта "Культурная среда" в рамках национального проекта "Культура"</t>
  </si>
  <si>
    <t>0410123205</t>
  </si>
  <si>
    <t>Задача "Проведение работы по профилактике распространения наркомании, алкоголизма и связанных с ними правонарушений"</t>
  </si>
  <si>
    <t xml:space="preserve">Распределение бюджетных ассигнований по целевым статьям  (муниципальным программам и непрограммным направлениям деятельности), 
группам видов расходов, классификации расходов бюджета на 2022 год </t>
  </si>
  <si>
    <t xml:space="preserve">     Общий объем бюджетных ассигнований, направляемых на исполнение публичных нормативных обязательств  Удомельского городского округа на 2022 год </t>
  </si>
  <si>
    <t xml:space="preserve">Перечень
мероприятий по обращениям, поступающим к депутатам
Удомельской городской Думы, на 2022 год </t>
  </si>
  <si>
    <t xml:space="preserve">Приобретение спортивного инвентаря (спортивной формы для игроков) объединению "Футбол" </t>
  </si>
  <si>
    <t>Танцевальный коллектив "Акварель", проведение мастер класса с привлечением специалиста</t>
  </si>
  <si>
    <t xml:space="preserve"> Управление культуры, спорта и молодежной политики Администрации УГО, МБУК "Удомельский центр культуры и досуга"</t>
  </si>
  <si>
    <t>Приобретение глубинных насосов</t>
  </si>
  <si>
    <t xml:space="preserve">Приобретение спортивного инвентаря </t>
  </si>
  <si>
    <t>Управление образования  Администрации УГО, МБУ ДО ДЮСШ</t>
  </si>
  <si>
    <t>Ремонт (замена окон в студии)</t>
  </si>
  <si>
    <t>ликвидация несанкционированной свалки д.Галичено</t>
  </si>
  <si>
    <t>Приобретение ростовой куклы в дом ремесел</t>
  </si>
  <si>
    <t xml:space="preserve">Издание книги </t>
  </si>
  <si>
    <t>Приобретение спортивного инвентаря и оборудования, наградного материала и атрибутики</t>
  </si>
  <si>
    <t>обустройство контейнерной площадки д.Галичено, д.Никулкино</t>
  </si>
  <si>
    <t>Подпрограмма "Содержание, озеленение и благоустройство территории Удомельского городского округа"</t>
  </si>
  <si>
    <t>ФИО депутата</t>
  </si>
  <si>
    <t>Байков В.Г.</t>
  </si>
  <si>
    <t>Бреус Н.Н.</t>
  </si>
  <si>
    <t>Давыдов А.А.</t>
  </si>
  <si>
    <t>Лебедев О.В.</t>
  </si>
  <si>
    <t>Ларионов Д,В.</t>
  </si>
  <si>
    <t>Пажетных К.А.</t>
  </si>
  <si>
    <t>Серяков А.В.</t>
  </si>
  <si>
    <t>Шишкин В.Р.</t>
  </si>
  <si>
    <t>Южакова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</si>
</sst>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000000"/>
    <numFmt numFmtId="166" formatCode="#,##0.0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Bookman Old Style"/>
      <family val="1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i/>
      <sz val="11"/>
      <name val="Arial"/>
      <family val="2"/>
      <charset val="204"/>
    </font>
    <font>
      <i/>
      <sz val="11"/>
      <name val="Bookman Old Style"/>
      <family val="1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i/>
      <sz val="11"/>
      <name val="Bookman Old Style"/>
      <family val="1"/>
      <charset val="204"/>
    </font>
    <font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3"/>
      <name val="Arial Cyr"/>
      <charset val="204"/>
    </font>
    <font>
      <sz val="10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i/>
      <sz val="9"/>
      <name val="Arial"/>
      <family val="2"/>
      <charset val="204"/>
    </font>
    <font>
      <sz val="9"/>
      <name val="Bookman Old Style"/>
      <family val="1"/>
      <charset val="204"/>
    </font>
    <font>
      <sz val="10"/>
      <color indexed="8"/>
      <name val="Arial"/>
      <family val="2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 Cyr"/>
    </font>
    <font>
      <i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1"/>
      <color rgb="FF000000"/>
      <name val="Times New Roman"/>
      <family val="1"/>
      <charset val="204"/>
    </font>
    <font>
      <sz val="10"/>
      <color theme="1" tint="4.9989318521683403E-2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34" fillId="0" borderId="0"/>
    <xf numFmtId="0" fontId="26" fillId="0" borderId="0" applyNumberFormat="0" applyFill="0" applyBorder="0" applyAlignment="0" applyProtection="0"/>
    <xf numFmtId="0" fontId="34" fillId="0" borderId="0"/>
    <xf numFmtId="1" fontId="43" fillId="0" borderId="16">
      <alignment horizontal="center" vertical="top" shrinkToFit="1"/>
    </xf>
  </cellStyleXfs>
  <cellXfs count="28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0" xfId="0" applyFont="1"/>
    <xf numFmtId="0" fontId="10" fillId="0" borderId="0" xfId="0" applyFont="1"/>
    <xf numFmtId="49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4" fillId="0" borderId="1" xfId="0" applyFont="1" applyBorder="1"/>
    <xf numFmtId="0" fontId="15" fillId="0" borderId="1" xfId="0" applyFont="1" applyBorder="1"/>
    <xf numFmtId="0" fontId="13" fillId="0" borderId="1" xfId="0" applyFont="1" applyBorder="1"/>
    <xf numFmtId="0" fontId="14" fillId="0" borderId="0" xfId="0" applyFont="1"/>
    <xf numFmtId="0" fontId="16" fillId="0" borderId="1" xfId="0" applyFont="1" applyBorder="1"/>
    <xf numFmtId="49" fontId="17" fillId="0" borderId="1" xfId="0" applyNumberFormat="1" applyFont="1" applyBorder="1" applyAlignment="1">
      <alignment horizontal="center"/>
    </xf>
    <xf numFmtId="0" fontId="18" fillId="0" borderId="1" xfId="0" applyFont="1" applyBorder="1"/>
    <xf numFmtId="49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8" fillId="0" borderId="0" xfId="0" applyFont="1"/>
    <xf numFmtId="49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49" fontId="2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18" fillId="0" borderId="1" xfId="0" applyNumberFormat="1" applyFont="1" applyBorder="1"/>
    <xf numFmtId="164" fontId="1" fillId="0" borderId="1" xfId="0" applyNumberFormat="1" applyFont="1" applyBorder="1"/>
    <xf numFmtId="164" fontId="16" fillId="0" borderId="1" xfId="0" applyNumberFormat="1" applyFont="1" applyBorder="1"/>
    <xf numFmtId="164" fontId="17" fillId="0" borderId="1" xfId="0" applyNumberFormat="1" applyFont="1" applyBorder="1"/>
    <xf numFmtId="0" fontId="1" fillId="0" borderId="0" xfId="0" applyFont="1" applyAlignment="1">
      <alignment horizontal="right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1" fillId="0" borderId="1" xfId="0" applyFont="1" applyBorder="1"/>
    <xf numFmtId="49" fontId="2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164" fontId="22" fillId="0" borderId="1" xfId="0" applyNumberFormat="1" applyFont="1" applyBorder="1"/>
    <xf numFmtId="164" fontId="9" fillId="0" borderId="1" xfId="0" applyNumberFormat="1" applyFont="1" applyBorder="1"/>
    <xf numFmtId="0" fontId="27" fillId="0" borderId="1" xfId="0" applyFont="1" applyFill="1" applyBorder="1" applyAlignment="1">
      <alignment horizontal="left" vertical="center" wrapText="1"/>
    </xf>
    <xf numFmtId="164" fontId="20" fillId="0" borderId="1" xfId="0" applyNumberFormat="1" applyFont="1" applyBorder="1"/>
    <xf numFmtId="164" fontId="29" fillId="0" borderId="1" xfId="0" applyNumberFormat="1" applyFont="1" applyBorder="1"/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wrapText="1"/>
    </xf>
    <xf numFmtId="164" fontId="31" fillId="0" borderId="1" xfId="0" applyNumberFormat="1" applyFont="1" applyBorder="1"/>
    <xf numFmtId="0" fontId="27" fillId="0" borderId="0" xfId="0" applyFont="1" applyFill="1" applyBorder="1" applyAlignment="1">
      <alignment horizontal="left" vertical="center" wrapText="1"/>
    </xf>
    <xf numFmtId="0" fontId="8" fillId="0" borderId="1" xfId="0" applyFont="1" applyBorder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49" fontId="11" fillId="0" borderId="4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165" fontId="11" fillId="0" borderId="1" xfId="1" applyNumberFormat="1" applyFont="1" applyBorder="1" applyAlignment="1">
      <alignment horizontal="center"/>
    </xf>
    <xf numFmtId="165" fontId="22" fillId="0" borderId="1" xfId="1" applyNumberFormat="1" applyFont="1" applyBorder="1" applyAlignment="1">
      <alignment horizontal="center"/>
    </xf>
    <xf numFmtId="165" fontId="29" fillId="0" borderId="1" xfId="1" applyNumberFormat="1" applyFon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49" fontId="36" fillId="0" borderId="1" xfId="0" applyNumberFormat="1" applyFont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5" fontId="25" fillId="0" borderId="1" xfId="3" applyNumberFormat="1" applyFont="1" applyBorder="1" applyAlignment="1">
      <alignment horizontal="center"/>
    </xf>
    <xf numFmtId="165" fontId="37" fillId="0" borderId="1" xfId="1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5" fontId="30" fillId="0" borderId="1" xfId="3" applyNumberFormat="1" applyFont="1" applyBorder="1" applyAlignment="1">
      <alignment horizontal="center"/>
    </xf>
    <xf numFmtId="0" fontId="30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6"/>
    </xf>
    <xf numFmtId="0" fontId="0" fillId="0" borderId="0" xfId="0" applyAlignment="1">
      <alignment horizontal="left" indent="16"/>
    </xf>
    <xf numFmtId="0" fontId="2" fillId="0" borderId="0" xfId="0" applyFont="1" applyAlignment="1">
      <alignment horizontal="left" indent="22"/>
    </xf>
    <xf numFmtId="0" fontId="2" fillId="0" borderId="0" xfId="0" applyFont="1" applyAlignment="1">
      <alignment horizontal="left" indent="19"/>
    </xf>
    <xf numFmtId="49" fontId="0" fillId="0" borderId="2" xfId="0" applyNumberFormat="1" applyFont="1" applyBorder="1" applyAlignment="1">
      <alignment horizontal="center"/>
    </xf>
    <xf numFmtId="0" fontId="0" fillId="0" borderId="0" xfId="0"/>
    <xf numFmtId="0" fontId="12" fillId="0" borderId="1" xfId="0" applyFont="1" applyBorder="1"/>
    <xf numFmtId="164" fontId="4" fillId="0" borderId="1" xfId="0" applyNumberFormat="1" applyFont="1" applyBorder="1"/>
    <xf numFmtId="164" fontId="14" fillId="0" borderId="1" xfId="0" applyNumberFormat="1" applyFont="1" applyBorder="1"/>
    <xf numFmtId="164" fontId="11" fillId="0" borderId="1" xfId="0" applyNumberFormat="1" applyFont="1" applyBorder="1"/>
    <xf numFmtId="164" fontId="24" fillId="0" borderId="1" xfId="0" applyNumberFormat="1" applyFont="1" applyBorder="1"/>
    <xf numFmtId="164" fontId="3" fillId="0" borderId="1" xfId="0" applyNumberFormat="1" applyFont="1" applyBorder="1"/>
    <xf numFmtId="0" fontId="11" fillId="0" borderId="1" xfId="0" applyFont="1" applyBorder="1" applyAlignment="1">
      <alignment wrapText="1"/>
    </xf>
    <xf numFmtId="0" fontId="25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Font="1"/>
    <xf numFmtId="0" fontId="0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164" fontId="0" fillId="0" borderId="1" xfId="0" applyNumberFormat="1" applyFill="1" applyBorder="1"/>
    <xf numFmtId="49" fontId="0" fillId="0" borderId="1" xfId="0" applyNumberFormat="1" applyFont="1" applyFill="1" applyBorder="1" applyAlignment="1">
      <alignment horizontal="center"/>
    </xf>
    <xf numFmtId="0" fontId="11" fillId="0" borderId="8" xfId="0" applyFont="1" applyBorder="1" applyAlignment="1">
      <alignment wrapText="1"/>
    </xf>
    <xf numFmtId="165" fontId="25" fillId="0" borderId="4" xfId="3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/>
    <xf numFmtId="0" fontId="11" fillId="0" borderId="1" xfId="0" applyFont="1" applyFill="1" applyBorder="1" applyAlignment="1">
      <alignment wrapText="1"/>
    </xf>
    <xf numFmtId="49" fontId="29" fillId="0" borderId="1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49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wrapText="1"/>
    </xf>
    <xf numFmtId="164" fontId="14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49" fontId="11" fillId="0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wrapText="1"/>
    </xf>
    <xf numFmtId="166" fontId="1" fillId="0" borderId="1" xfId="0" applyNumberFormat="1" applyFont="1" applyBorder="1"/>
    <xf numFmtId="0" fontId="1" fillId="0" borderId="0" xfId="0" applyFont="1"/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0" fontId="39" fillId="0" borderId="0" xfId="0" applyFont="1" applyAlignment="1">
      <alignment wrapText="1"/>
    </xf>
    <xf numFmtId="166" fontId="3" fillId="0" borderId="1" xfId="0" applyNumberFormat="1" applyFont="1" applyBorder="1"/>
    <xf numFmtId="0" fontId="12" fillId="0" borderId="1" xfId="0" applyFont="1" applyBorder="1" applyAlignment="1">
      <alignment wrapText="1"/>
    </xf>
    <xf numFmtId="166" fontId="14" fillId="0" borderId="1" xfId="0" applyNumberFormat="1" applyFont="1" applyBorder="1"/>
    <xf numFmtId="0" fontId="13" fillId="0" borderId="2" xfId="0" applyFont="1" applyBorder="1"/>
    <xf numFmtId="0" fontId="39" fillId="0" borderId="1" xfId="0" applyFont="1" applyBorder="1" applyAlignment="1">
      <alignment wrapText="1"/>
    </xf>
    <xf numFmtId="0" fontId="30" fillId="0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14"/>
    </xf>
    <xf numFmtId="0" fontId="40" fillId="0" borderId="0" xfId="0" applyFont="1" applyAlignment="1">
      <alignment vertical="justify" wrapText="1"/>
    </xf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0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0" xfId="0" applyFont="1"/>
    <xf numFmtId="0" fontId="2" fillId="0" borderId="0" xfId="0" applyFont="1" applyAlignment="1">
      <alignment horizontal="left" indent="14"/>
    </xf>
    <xf numFmtId="164" fontId="11" fillId="0" borderId="0" xfId="0" applyNumberFormat="1" applyFont="1" applyBorder="1"/>
    <xf numFmtId="49" fontId="0" fillId="0" borderId="4" xfId="0" applyNumberFormat="1" applyFont="1" applyBorder="1" applyAlignment="1">
      <alignment horizontal="center"/>
    </xf>
    <xf numFmtId="164" fontId="0" fillId="0" borderId="1" xfId="0" applyNumberFormat="1" applyFont="1" applyFill="1" applyBorder="1"/>
    <xf numFmtId="166" fontId="3" fillId="0" borderId="1" xfId="0" applyNumberFormat="1" applyFont="1" applyBorder="1"/>
    <xf numFmtId="164" fontId="41" fillId="0" borderId="1" xfId="0" applyNumberFormat="1" applyFont="1" applyBorder="1"/>
    <xf numFmtId="164" fontId="11" fillId="0" borderId="1" xfId="0" applyNumberFormat="1" applyFont="1" applyFill="1" applyBorder="1"/>
    <xf numFmtId="0" fontId="4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  <xf numFmtId="0" fontId="0" fillId="0" borderId="6" xfId="0" applyBorder="1" applyAlignment="1">
      <alignment horizontal="center" wrapText="1"/>
    </xf>
    <xf numFmtId="14" fontId="0" fillId="0" borderId="1" xfId="0" applyNumberFormat="1" applyFont="1" applyBorder="1" applyAlignment="1">
      <alignment horizontal="right" wrapText="1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wrapText="1"/>
    </xf>
    <xf numFmtId="164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indent="25"/>
    </xf>
    <xf numFmtId="0" fontId="2" fillId="0" borderId="0" xfId="0" applyFont="1" applyAlignment="1">
      <alignment horizontal="left" indent="30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0" borderId="0" xfId="0" applyFont="1" applyAlignment="1">
      <alignment horizontal="left" indent="26"/>
    </xf>
    <xf numFmtId="0" fontId="0" fillId="0" borderId="0" xfId="0" applyAlignment="1">
      <alignment horizontal="left" indent="26"/>
    </xf>
    <xf numFmtId="0" fontId="0" fillId="0" borderId="0" xfId="0" applyAlignment="1">
      <alignment horizontal="left" indent="30"/>
    </xf>
    <xf numFmtId="0" fontId="0" fillId="0" borderId="0" xfId="0" applyAlignment="1">
      <alignment horizontal="left" indent="19"/>
    </xf>
    <xf numFmtId="164" fontId="11" fillId="0" borderId="1" xfId="0" applyNumberFormat="1" applyFont="1" applyBorder="1" applyAlignment="1">
      <alignment wrapText="1"/>
    </xf>
    <xf numFmtId="164" fontId="11" fillId="0" borderId="1" xfId="0" applyNumberFormat="1" applyFont="1" applyFill="1" applyBorder="1" applyAlignment="1">
      <alignment wrapText="1"/>
    </xf>
    <xf numFmtId="164" fontId="11" fillId="0" borderId="2" xfId="0" applyNumberFormat="1" applyFont="1" applyBorder="1" applyAlignment="1">
      <alignment wrapText="1"/>
    </xf>
    <xf numFmtId="0" fontId="25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42" fillId="0" borderId="1" xfId="0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/>
    </xf>
    <xf numFmtId="0" fontId="42" fillId="0" borderId="1" xfId="0" applyFont="1" applyBorder="1" applyAlignment="1">
      <alignment wrapText="1"/>
    </xf>
    <xf numFmtId="0" fontId="0" fillId="0" borderId="1" xfId="0" applyFont="1" applyFill="1" applyBorder="1"/>
    <xf numFmtId="49" fontId="43" fillId="0" borderId="17" xfId="4" applyNumberFormat="1" applyBorder="1" applyAlignment="1" applyProtection="1">
      <alignment horizontal="center" shrinkToFit="1"/>
    </xf>
    <xf numFmtId="49" fontId="43" fillId="0" borderId="18" xfId="4" applyNumberFormat="1" applyBorder="1" applyAlignment="1" applyProtection="1">
      <alignment horizontal="center" shrinkToFit="1"/>
    </xf>
    <xf numFmtId="0" fontId="42" fillId="0" borderId="1" xfId="0" applyFont="1" applyFill="1" applyBorder="1" applyAlignment="1">
      <alignment wrapText="1"/>
    </xf>
    <xf numFmtId="1" fontId="44" fillId="0" borderId="1" xfId="4" applyNumberFormat="1" applyFont="1" applyBorder="1" applyAlignment="1" applyProtection="1">
      <alignment horizontal="center" shrinkToFit="1"/>
    </xf>
    <xf numFmtId="49" fontId="43" fillId="0" borderId="1" xfId="4" applyNumberFormat="1" applyBorder="1" applyAlignment="1" applyProtection="1">
      <alignment horizontal="center" wrapText="1" shrinkToFit="1"/>
    </xf>
    <xf numFmtId="0" fontId="22" fillId="0" borderId="0" xfId="0" applyFont="1" applyAlignment="1">
      <alignment horizontal="left" vertical="center" wrapText="1"/>
    </xf>
    <xf numFmtId="1" fontId="43" fillId="0" borderId="1" xfId="4" applyNumberFormat="1" applyBorder="1" applyAlignment="1" applyProtection="1">
      <alignment horizontal="center" shrinkToFit="1"/>
    </xf>
    <xf numFmtId="1" fontId="45" fillId="0" borderId="1" xfId="4" applyNumberFormat="1" applyFont="1" applyFill="1" applyBorder="1" applyAlignment="1" applyProtection="1">
      <alignment horizontal="center" shrinkToFit="1"/>
    </xf>
    <xf numFmtId="164" fontId="4" fillId="0" borderId="1" xfId="0" applyNumberFormat="1" applyFont="1" applyFill="1" applyBorder="1"/>
    <xf numFmtId="49" fontId="46" fillId="0" borderId="17" xfId="4" applyNumberFormat="1" applyFont="1" applyBorder="1" applyAlignment="1" applyProtection="1">
      <alignment horizontal="center" shrinkToFit="1"/>
    </xf>
    <xf numFmtId="49" fontId="46" fillId="0" borderId="1" xfId="4" applyNumberFormat="1" applyFont="1" applyBorder="1" applyAlignment="1" applyProtection="1">
      <alignment horizontal="center" shrinkToFit="1"/>
    </xf>
    <xf numFmtId="49" fontId="46" fillId="0" borderId="0" xfId="4" applyNumberFormat="1" applyFont="1" applyBorder="1" applyAlignment="1" applyProtection="1">
      <alignment horizontal="center" shrinkToFit="1"/>
    </xf>
    <xf numFmtId="49" fontId="40" fillId="0" borderId="1" xfId="0" applyNumberFormat="1" applyFont="1" applyBorder="1" applyAlignment="1">
      <alignment horizontal="center"/>
    </xf>
    <xf numFmtId="0" fontId="47" fillId="0" borderId="1" xfId="0" applyFont="1" applyFill="1" applyBorder="1"/>
    <xf numFmtId="49" fontId="11" fillId="0" borderId="1" xfId="0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wrapText="1"/>
    </xf>
    <xf numFmtId="49" fontId="11" fillId="0" borderId="0" xfId="0" applyNumberFormat="1" applyFont="1" applyAlignment="1">
      <alignment horizontal="center"/>
    </xf>
    <xf numFmtId="0" fontId="22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3" fillId="0" borderId="1" xfId="0" applyFont="1" applyBorder="1"/>
    <xf numFmtId="164" fontId="48" fillId="0" borderId="1" xfId="0" applyNumberFormat="1" applyFont="1" applyBorder="1"/>
    <xf numFmtId="49" fontId="46" fillId="0" borderId="18" xfId="4" applyNumberFormat="1" applyFont="1" applyBorder="1" applyAlignment="1" applyProtection="1">
      <alignment horizontal="center" shrinkToFit="1"/>
    </xf>
    <xf numFmtId="1" fontId="45" fillId="0" borderId="1" xfId="4" applyNumberFormat="1" applyFont="1" applyBorder="1" applyAlignment="1" applyProtection="1">
      <alignment horizontal="center" shrinkToFit="1"/>
    </xf>
    <xf numFmtId="49" fontId="11" fillId="0" borderId="11" xfId="0" applyNumberFormat="1" applyFont="1" applyBorder="1" applyAlignment="1">
      <alignment horizontal="center"/>
    </xf>
    <xf numFmtId="164" fontId="0" fillId="0" borderId="8" xfId="0" applyNumberFormat="1" applyBorder="1"/>
    <xf numFmtId="0" fontId="25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8" fillId="0" borderId="1" xfId="0" applyFont="1" applyBorder="1"/>
    <xf numFmtId="0" fontId="0" fillId="0" borderId="8" xfId="0" applyBorder="1" applyAlignment="1">
      <alignment wrapText="1"/>
    </xf>
    <xf numFmtId="0" fontId="0" fillId="0" borderId="0" xfId="0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2" fillId="0" borderId="0" xfId="0" applyFont="1" applyAlignment="1">
      <alignment horizontal="left" indent="15"/>
    </xf>
    <xf numFmtId="49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3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164" fontId="11" fillId="0" borderId="2" xfId="0" applyNumberFormat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2" xfId="0" applyNumberFormat="1" applyFill="1" applyBorder="1" applyAlignment="1">
      <alignment vertical="center" wrapText="1"/>
    </xf>
    <xf numFmtId="164" fontId="0" fillId="0" borderId="4" xfId="0" applyNumberForma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wrapText="1"/>
    </xf>
    <xf numFmtId="49" fontId="11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Fill="1" applyBorder="1" applyAlignment="1">
      <alignment wrapText="1"/>
    </xf>
    <xf numFmtId="164" fontId="0" fillId="0" borderId="4" xfId="0" applyNumberFormat="1" applyFill="1" applyBorder="1" applyAlignment="1">
      <alignment wrapText="1"/>
    </xf>
    <xf numFmtId="164" fontId="0" fillId="2" borderId="1" xfId="0" applyNumberFormat="1" applyFill="1" applyBorder="1"/>
  </cellXfs>
  <cellStyles count="5">
    <cellStyle name="Normal" xfId="1"/>
    <cellStyle name="xl25" xfId="4"/>
    <cellStyle name="Название" xfId="2" builtinId="15" customBuiltin="1"/>
    <cellStyle name="Обычный" xfId="0" builtinId="0"/>
    <cellStyle name="Обычный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3063"/>
      <rgbColor rgb="00EAEAEA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10" zoomScaleNormal="100" workbookViewId="0">
      <selection activeCell="H27" sqref="H27"/>
    </sheetView>
  </sheetViews>
  <sheetFormatPr defaultColWidth="9.109375" defaultRowHeight="13.2" x14ac:dyDescent="0.25"/>
  <cols>
    <col min="1" max="1" width="24" style="92" customWidth="1"/>
    <col min="2" max="2" width="51" style="92" customWidth="1"/>
    <col min="3" max="3" width="12" style="92" bestFit="1" customWidth="1"/>
    <col min="4" max="4" width="10" style="92" hidden="1" customWidth="1"/>
    <col min="5" max="5" width="1.88671875" style="92" hidden="1" customWidth="1"/>
    <col min="6" max="6" width="11.5546875" style="92" customWidth="1"/>
    <col min="7" max="16384" width="9.109375" style="92"/>
  </cols>
  <sheetData>
    <row r="1" spans="1:6" x14ac:dyDescent="0.25">
      <c r="B1" s="177" t="s">
        <v>448</v>
      </c>
    </row>
    <row r="2" spans="1:6" x14ac:dyDescent="0.25">
      <c r="B2" s="177" t="s">
        <v>388</v>
      </c>
    </row>
    <row r="3" spans="1:6" x14ac:dyDescent="0.25">
      <c r="B3" s="177" t="s">
        <v>422</v>
      </c>
    </row>
    <row r="4" spans="1:6" x14ac:dyDescent="0.25">
      <c r="B4" s="177" t="s">
        <v>423</v>
      </c>
    </row>
    <row r="5" spans="1:6" x14ac:dyDescent="0.25">
      <c r="B5" s="177" t="s">
        <v>476</v>
      </c>
    </row>
    <row r="6" spans="1:6" x14ac:dyDescent="0.25">
      <c r="A6" s="7"/>
      <c r="B6" s="155"/>
      <c r="C6" s="90"/>
    </row>
    <row r="7" spans="1:6" x14ac:dyDescent="0.25">
      <c r="A7" s="7"/>
      <c r="B7" s="146"/>
      <c r="C7" s="90"/>
    </row>
    <row r="8" spans="1:6" ht="28.5" customHeight="1" x14ac:dyDescent="0.25">
      <c r="A8" s="235" t="s">
        <v>447</v>
      </c>
      <c r="B8" s="236"/>
      <c r="C8" s="236"/>
      <c r="D8" s="237"/>
      <c r="E8" s="237"/>
      <c r="F8" s="237"/>
    </row>
    <row r="10" spans="1:6" x14ac:dyDescent="0.25">
      <c r="C10" s="131"/>
    </row>
    <row r="11" spans="1:6" ht="17.25" customHeight="1" x14ac:dyDescent="0.25">
      <c r="A11" s="238" t="s">
        <v>332</v>
      </c>
      <c r="B11" s="234" t="s">
        <v>95</v>
      </c>
      <c r="C11" s="239" t="s">
        <v>32</v>
      </c>
      <c r="D11" s="234"/>
      <c r="E11" s="234"/>
      <c r="F11" s="234"/>
    </row>
    <row r="12" spans="1:6" ht="12.75" customHeight="1" x14ac:dyDescent="0.25">
      <c r="A12" s="238"/>
      <c r="B12" s="234"/>
      <c r="C12" s="239" t="s">
        <v>420</v>
      </c>
      <c r="D12" s="234" t="s">
        <v>141</v>
      </c>
      <c r="E12" s="234"/>
      <c r="F12" s="239" t="s">
        <v>474</v>
      </c>
    </row>
    <row r="13" spans="1:6" ht="46.5" customHeight="1" x14ac:dyDescent="0.25">
      <c r="A13" s="238"/>
      <c r="B13" s="234"/>
      <c r="C13" s="239"/>
      <c r="D13" s="148" t="s">
        <v>142</v>
      </c>
      <c r="E13" s="148" t="s">
        <v>143</v>
      </c>
      <c r="F13" s="239"/>
    </row>
    <row r="14" spans="1:6" s="135" customFormat="1" ht="27" customHeight="1" x14ac:dyDescent="0.25">
      <c r="A14" s="132" t="s">
        <v>333</v>
      </c>
      <c r="B14" s="133" t="s">
        <v>477</v>
      </c>
      <c r="C14" s="159">
        <f>C15</f>
        <v>24975</v>
      </c>
      <c r="D14" s="159">
        <f t="shared" ref="D14:F14" si="0">D15</f>
        <v>24975</v>
      </c>
      <c r="E14" s="159">
        <f t="shared" si="0"/>
        <v>24975</v>
      </c>
      <c r="F14" s="159">
        <f t="shared" si="0"/>
        <v>24975</v>
      </c>
    </row>
    <row r="15" spans="1:6" s="135" customFormat="1" ht="36.75" customHeight="1" x14ac:dyDescent="0.25">
      <c r="A15" s="136" t="s">
        <v>478</v>
      </c>
      <c r="B15" s="137" t="s">
        <v>479</v>
      </c>
      <c r="C15" s="134">
        <v>24975</v>
      </c>
      <c r="D15" s="134">
        <f t="shared" ref="D15:F15" si="1">D16</f>
        <v>24975</v>
      </c>
      <c r="E15" s="134">
        <f t="shared" si="1"/>
        <v>24975</v>
      </c>
      <c r="F15" s="134">
        <f t="shared" si="1"/>
        <v>24975</v>
      </c>
    </row>
    <row r="16" spans="1:6" s="135" customFormat="1" ht="74.25" customHeight="1" x14ac:dyDescent="0.25">
      <c r="A16" s="138" t="s">
        <v>480</v>
      </c>
      <c r="B16" s="139" t="s">
        <v>481</v>
      </c>
      <c r="C16" s="134">
        <v>24975</v>
      </c>
      <c r="D16" s="134">
        <v>24975</v>
      </c>
      <c r="E16" s="134">
        <v>24975</v>
      </c>
      <c r="F16" s="134">
        <v>24975</v>
      </c>
    </row>
    <row r="17" spans="1:6" s="135" customFormat="1" ht="24" x14ac:dyDescent="0.25">
      <c r="A17" s="93" t="s">
        <v>334</v>
      </c>
      <c r="B17" s="141" t="s">
        <v>335</v>
      </c>
      <c r="C17" s="159">
        <f>C18+C20</f>
        <v>40823.899999999907</v>
      </c>
      <c r="D17" s="159">
        <f t="shared" ref="D17:F17" si="2">D18+D20</f>
        <v>0</v>
      </c>
      <c r="E17" s="159">
        <f t="shared" si="2"/>
        <v>0</v>
      </c>
      <c r="F17" s="159">
        <f t="shared" si="2"/>
        <v>-28846.199999999953</v>
      </c>
    </row>
    <row r="18" spans="1:6" s="135" customFormat="1" ht="15.75" customHeight="1" x14ac:dyDescent="0.25">
      <c r="A18" s="24" t="s">
        <v>336</v>
      </c>
      <c r="B18" s="137" t="s">
        <v>337</v>
      </c>
      <c r="C18" s="142">
        <f>C19</f>
        <v>-1221326.1000000001</v>
      </c>
      <c r="D18" s="142">
        <f t="shared" ref="D18:E18" si="3">D19</f>
        <v>-902627.3</v>
      </c>
      <c r="E18" s="142">
        <f t="shared" si="3"/>
        <v>-915831.4</v>
      </c>
      <c r="F18" s="142">
        <f>F19</f>
        <v>-1241684.5</v>
      </c>
    </row>
    <row r="19" spans="1:6" s="135" customFormat="1" ht="23.4" x14ac:dyDescent="0.25">
      <c r="A19" s="25" t="s">
        <v>389</v>
      </c>
      <c r="B19" s="139" t="s">
        <v>338</v>
      </c>
      <c r="C19" s="134">
        <v>-1221326.1000000001</v>
      </c>
      <c r="D19" s="134">
        <v>-902627.3</v>
      </c>
      <c r="E19" s="134">
        <v>-915831.4</v>
      </c>
      <c r="F19" s="134">
        <v>-1241684.5</v>
      </c>
    </row>
    <row r="20" spans="1:6" s="135" customFormat="1" ht="15" customHeight="1" x14ac:dyDescent="0.25">
      <c r="A20" s="24" t="s">
        <v>339</v>
      </c>
      <c r="B20" s="137" t="s">
        <v>340</v>
      </c>
      <c r="C20" s="142">
        <f>C21</f>
        <v>1262150</v>
      </c>
      <c r="D20" s="142">
        <v>902627.3</v>
      </c>
      <c r="E20" s="142">
        <v>915831.4</v>
      </c>
      <c r="F20" s="142">
        <f t="shared" ref="F20" si="4">F21</f>
        <v>1212838.3</v>
      </c>
    </row>
    <row r="21" spans="1:6" s="135" customFormat="1" ht="25.5" customHeight="1" x14ac:dyDescent="0.25">
      <c r="A21" s="143" t="s">
        <v>390</v>
      </c>
      <c r="B21" s="144" t="s">
        <v>341</v>
      </c>
      <c r="C21" s="134">
        <v>1262150</v>
      </c>
      <c r="D21" s="134">
        <f>прил.3!F15-прил.1!D16</f>
        <v>1187863.2999999998</v>
      </c>
      <c r="E21" s="134">
        <f>прил.3!G15-прил.1!E16</f>
        <v>-24878.9</v>
      </c>
      <c r="F21" s="134">
        <v>1212838.3</v>
      </c>
    </row>
    <row r="22" spans="1:6" s="135" customFormat="1" x14ac:dyDescent="0.25">
      <c r="A22" s="233" t="s">
        <v>342</v>
      </c>
      <c r="B22" s="234"/>
      <c r="C22" s="140">
        <f>C14+C17</f>
        <v>65798.899999999907</v>
      </c>
      <c r="D22" s="159">
        <f t="shared" ref="D22:F22" si="5">D14+D18+D20</f>
        <v>24975</v>
      </c>
      <c r="E22" s="159">
        <f t="shared" si="5"/>
        <v>24975</v>
      </c>
      <c r="F22" s="159">
        <f t="shared" si="5"/>
        <v>-3871.1999999999534</v>
      </c>
    </row>
    <row r="23" spans="1:6" s="19" customFormat="1" ht="13.8" x14ac:dyDescent="0.25"/>
  </sheetData>
  <mergeCells count="8">
    <mergeCell ref="A22:B22"/>
    <mergeCell ref="A8:F8"/>
    <mergeCell ref="A11:A13"/>
    <mergeCell ref="B11:B13"/>
    <mergeCell ref="C12:C13"/>
    <mergeCell ref="D12:E12"/>
    <mergeCell ref="F12:F13"/>
    <mergeCell ref="C11:F11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G61"/>
  <sheetViews>
    <sheetView zoomScaleNormal="100" workbookViewId="0">
      <selection activeCell="E44" sqref="E44"/>
    </sheetView>
  </sheetViews>
  <sheetFormatPr defaultColWidth="9.109375" defaultRowHeight="13.8" x14ac:dyDescent="0.25"/>
  <cols>
    <col min="1" max="1" width="3" style="19" customWidth="1"/>
    <col min="2" max="2" width="3.109375" style="92" customWidth="1"/>
    <col min="3" max="3" width="3.33203125" style="92" customWidth="1"/>
    <col min="4" max="4" width="50" style="92" customWidth="1"/>
    <col min="5" max="5" width="12.6640625" style="92" customWidth="1"/>
    <col min="6" max="6" width="12.5546875" style="92" customWidth="1"/>
    <col min="7" max="7" width="7.5546875" style="92" customWidth="1"/>
    <col min="8" max="8" width="9.109375" style="92"/>
    <col min="9" max="9" width="16.88671875" style="92" customWidth="1"/>
    <col min="10" max="16384" width="9.109375" style="92"/>
  </cols>
  <sheetData>
    <row r="1" spans="1:7" x14ac:dyDescent="0.25">
      <c r="D1" s="178" t="s">
        <v>449</v>
      </c>
    </row>
    <row r="2" spans="1:7" x14ac:dyDescent="0.25">
      <c r="D2" s="178" t="s">
        <v>388</v>
      </c>
    </row>
    <row r="3" spans="1:7" x14ac:dyDescent="0.25">
      <c r="D3" s="178" t="s">
        <v>422</v>
      </c>
    </row>
    <row r="4" spans="1:7" x14ac:dyDescent="0.25">
      <c r="D4" s="178" t="s">
        <v>423</v>
      </c>
    </row>
    <row r="5" spans="1:7" x14ac:dyDescent="0.25">
      <c r="D5" s="178" t="s">
        <v>476</v>
      </c>
    </row>
    <row r="6" spans="1:7" x14ac:dyDescent="0.25">
      <c r="E6" s="7"/>
    </row>
    <row r="7" spans="1:7" x14ac:dyDescent="0.25">
      <c r="E7" s="7"/>
    </row>
    <row r="8" spans="1:7" ht="38.25" customHeight="1" x14ac:dyDescent="0.25">
      <c r="A8" s="235" t="s">
        <v>475</v>
      </c>
      <c r="B8" s="235"/>
      <c r="C8" s="235"/>
      <c r="D8" s="235"/>
      <c r="E8" s="235"/>
      <c r="F8" s="237"/>
      <c r="G8" s="237"/>
    </row>
    <row r="10" spans="1:7" x14ac:dyDescent="0.25">
      <c r="E10" s="6"/>
    </row>
    <row r="11" spans="1:7" ht="13.2" x14ac:dyDescent="0.25">
      <c r="A11" s="240" t="s">
        <v>92</v>
      </c>
      <c r="B11" s="243" t="s">
        <v>25</v>
      </c>
      <c r="C11" s="243" t="s">
        <v>31</v>
      </c>
      <c r="D11" s="246" t="s">
        <v>95</v>
      </c>
      <c r="E11" s="249" t="s">
        <v>32</v>
      </c>
      <c r="F11" s="250"/>
      <c r="G11" s="246" t="s">
        <v>446</v>
      </c>
    </row>
    <row r="12" spans="1:7" ht="12.75" customHeight="1" x14ac:dyDescent="0.25">
      <c r="A12" s="241"/>
      <c r="B12" s="244"/>
      <c r="C12" s="244"/>
      <c r="D12" s="247"/>
      <c r="E12" s="243" t="s">
        <v>420</v>
      </c>
      <c r="F12" s="243" t="s">
        <v>474</v>
      </c>
      <c r="G12" s="247"/>
    </row>
    <row r="13" spans="1:7" ht="34.5" customHeight="1" x14ac:dyDescent="0.25">
      <c r="A13" s="242"/>
      <c r="B13" s="245"/>
      <c r="C13" s="245"/>
      <c r="D13" s="248"/>
      <c r="E13" s="245"/>
      <c r="F13" s="245"/>
      <c r="G13" s="248"/>
    </row>
    <row r="14" spans="1:7" ht="13.2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</row>
    <row r="15" spans="1:7" ht="17.399999999999999" x14ac:dyDescent="0.3">
      <c r="A15" s="67"/>
      <c r="B15" s="12"/>
      <c r="C15" s="12"/>
      <c r="D15" s="9" t="s">
        <v>97</v>
      </c>
      <c r="E15" s="97">
        <f>E16+E24+E28+E33+E38+E45+E48+E52+E54+E56</f>
        <v>1262150</v>
      </c>
      <c r="F15" s="97">
        <f>F16+F24+F28+F33+F38+F45+F48+F52+F54+F56</f>
        <v>1212838.2999999998</v>
      </c>
      <c r="G15" s="160">
        <f t="shared" ref="G15:G57" si="0">ROUND((F15/E15*100),1)</f>
        <v>96.1</v>
      </c>
    </row>
    <row r="16" spans="1:7" ht="15.6" x14ac:dyDescent="0.3">
      <c r="A16" s="15">
        <v>1</v>
      </c>
      <c r="B16" s="4" t="s">
        <v>93</v>
      </c>
      <c r="C16" s="11"/>
      <c r="D16" s="3" t="s">
        <v>96</v>
      </c>
      <c r="E16" s="94">
        <f>SUM(E17:E23)</f>
        <v>133022</v>
      </c>
      <c r="F16" s="94">
        <f>SUM(F17:F23)</f>
        <v>114445.6</v>
      </c>
      <c r="G16" s="160">
        <f t="shared" si="0"/>
        <v>86</v>
      </c>
    </row>
    <row r="17" spans="1:7" ht="39.6" x14ac:dyDescent="0.25">
      <c r="A17" s="67"/>
      <c r="B17" s="5" t="s">
        <v>93</v>
      </c>
      <c r="C17" s="5" t="s">
        <v>94</v>
      </c>
      <c r="D17" s="22" t="s">
        <v>21</v>
      </c>
      <c r="E17" s="101">
        <v>1580</v>
      </c>
      <c r="F17" s="39">
        <v>1580</v>
      </c>
      <c r="G17" s="96">
        <f t="shared" si="0"/>
        <v>100</v>
      </c>
    </row>
    <row r="18" spans="1:7" ht="37.5" customHeight="1" x14ac:dyDescent="0.25">
      <c r="A18" s="67"/>
      <c r="B18" s="5" t="s">
        <v>93</v>
      </c>
      <c r="C18" s="5" t="s">
        <v>98</v>
      </c>
      <c r="D18" s="22" t="s">
        <v>131</v>
      </c>
      <c r="E18" s="39">
        <v>3590.5</v>
      </c>
      <c r="F18" s="39">
        <v>3541.8</v>
      </c>
      <c r="G18" s="96">
        <f t="shared" si="0"/>
        <v>98.6</v>
      </c>
    </row>
    <row r="19" spans="1:7" ht="52.8" x14ac:dyDescent="0.25">
      <c r="A19" s="67"/>
      <c r="B19" s="5" t="s">
        <v>93</v>
      </c>
      <c r="C19" s="5" t="s">
        <v>99</v>
      </c>
      <c r="D19" s="22" t="s">
        <v>125</v>
      </c>
      <c r="E19" s="39">
        <v>46735.7</v>
      </c>
      <c r="F19" s="39">
        <v>46427.7</v>
      </c>
      <c r="G19" s="96">
        <f t="shared" si="0"/>
        <v>99.3</v>
      </c>
    </row>
    <row r="20" spans="1:7" x14ac:dyDescent="0.25">
      <c r="A20" s="67"/>
      <c r="B20" s="5" t="s">
        <v>93</v>
      </c>
      <c r="C20" s="5" t="s">
        <v>100</v>
      </c>
      <c r="D20" s="22" t="s">
        <v>293</v>
      </c>
      <c r="E20" s="115">
        <v>96.3</v>
      </c>
      <c r="F20" s="115">
        <v>96.3</v>
      </c>
      <c r="G20" s="96">
        <f t="shared" si="0"/>
        <v>100</v>
      </c>
    </row>
    <row r="21" spans="1:7" ht="39.6" x14ac:dyDescent="0.25">
      <c r="A21" s="67"/>
      <c r="B21" s="5" t="s">
        <v>93</v>
      </c>
      <c r="C21" s="5" t="s">
        <v>101</v>
      </c>
      <c r="D21" s="128" t="s">
        <v>10</v>
      </c>
      <c r="E21" s="39">
        <v>11130.5</v>
      </c>
      <c r="F21" s="39">
        <v>11084.5</v>
      </c>
      <c r="G21" s="96">
        <f t="shared" si="0"/>
        <v>99.6</v>
      </c>
    </row>
    <row r="22" spans="1:7" x14ac:dyDescent="0.25">
      <c r="A22" s="67"/>
      <c r="B22" s="5" t="s">
        <v>93</v>
      </c>
      <c r="C22" s="5" t="s">
        <v>107</v>
      </c>
      <c r="D22" s="226" t="s">
        <v>5</v>
      </c>
      <c r="E22" s="39">
        <v>50</v>
      </c>
      <c r="F22" s="39">
        <v>0</v>
      </c>
      <c r="G22" s="96">
        <f t="shared" si="0"/>
        <v>0</v>
      </c>
    </row>
    <row r="23" spans="1:7" x14ac:dyDescent="0.25">
      <c r="A23" s="67"/>
      <c r="B23" s="5" t="s">
        <v>93</v>
      </c>
      <c r="C23" s="5" t="s">
        <v>9</v>
      </c>
      <c r="D23" s="1" t="s">
        <v>102</v>
      </c>
      <c r="E23" s="39">
        <v>69839</v>
      </c>
      <c r="F23" s="39">
        <v>51715.3</v>
      </c>
      <c r="G23" s="96">
        <f t="shared" si="0"/>
        <v>74</v>
      </c>
    </row>
    <row r="24" spans="1:7" ht="31.2" x14ac:dyDescent="0.3">
      <c r="A24" s="15">
        <v>2</v>
      </c>
      <c r="B24" s="4" t="s">
        <v>98</v>
      </c>
      <c r="C24" s="3"/>
      <c r="D24" s="10" t="s">
        <v>103</v>
      </c>
      <c r="E24" s="94">
        <f>SUM(E25:E27)</f>
        <v>9009.3000000000011</v>
      </c>
      <c r="F24" s="94">
        <f>SUM(F25:F27)</f>
        <v>8988.4000000000015</v>
      </c>
      <c r="G24" s="160">
        <f t="shared" si="0"/>
        <v>99.8</v>
      </c>
    </row>
    <row r="25" spans="1:7" x14ac:dyDescent="0.25">
      <c r="A25" s="15"/>
      <c r="B25" s="5" t="s">
        <v>98</v>
      </c>
      <c r="C25" s="5" t="s">
        <v>99</v>
      </c>
      <c r="D25" s="128" t="s">
        <v>22</v>
      </c>
      <c r="E25" s="39">
        <v>1196.7</v>
      </c>
      <c r="F25" s="39">
        <v>1196.7</v>
      </c>
      <c r="G25" s="96">
        <f t="shared" si="0"/>
        <v>100</v>
      </c>
    </row>
    <row r="26" spans="1:7" ht="39.6" x14ac:dyDescent="0.25">
      <c r="A26" s="67"/>
      <c r="B26" s="5" t="s">
        <v>98</v>
      </c>
      <c r="C26" s="5" t="s">
        <v>115</v>
      </c>
      <c r="D26" s="128" t="s">
        <v>392</v>
      </c>
      <c r="E26" s="39">
        <v>7796.5</v>
      </c>
      <c r="F26" s="39">
        <v>7775.6</v>
      </c>
      <c r="G26" s="96">
        <f t="shared" si="0"/>
        <v>99.7</v>
      </c>
    </row>
    <row r="27" spans="1:7" ht="26.4" x14ac:dyDescent="0.25">
      <c r="A27" s="67"/>
      <c r="B27" s="5" t="s">
        <v>98</v>
      </c>
      <c r="C27" s="5" t="s">
        <v>126</v>
      </c>
      <c r="D27" s="99" t="s">
        <v>26</v>
      </c>
      <c r="E27" s="39">
        <v>16.100000000000001</v>
      </c>
      <c r="F27" s="39">
        <v>16.100000000000001</v>
      </c>
      <c r="G27" s="96">
        <f t="shared" si="0"/>
        <v>100</v>
      </c>
    </row>
    <row r="28" spans="1:7" ht="15.6" x14ac:dyDescent="0.3">
      <c r="A28" s="15">
        <v>3</v>
      </c>
      <c r="B28" s="4" t="s">
        <v>99</v>
      </c>
      <c r="C28" s="3"/>
      <c r="D28" s="10" t="s">
        <v>105</v>
      </c>
      <c r="E28" s="94">
        <f>SUM(E29:E32)</f>
        <v>185734.69999999998</v>
      </c>
      <c r="F28" s="94">
        <f>SUM(F29:F32)</f>
        <v>181596.3</v>
      </c>
      <c r="G28" s="160">
        <f t="shared" si="0"/>
        <v>97.8</v>
      </c>
    </row>
    <row r="29" spans="1:7" x14ac:dyDescent="0.25">
      <c r="A29" s="67"/>
      <c r="B29" s="5" t="s">
        <v>99</v>
      </c>
      <c r="C29" s="5" t="s">
        <v>100</v>
      </c>
      <c r="D29" s="1" t="s">
        <v>108</v>
      </c>
      <c r="E29" s="39">
        <f>600-176.5</f>
        <v>423.5</v>
      </c>
      <c r="F29" s="39">
        <v>423.5</v>
      </c>
      <c r="G29" s="96">
        <f t="shared" si="0"/>
        <v>100</v>
      </c>
    </row>
    <row r="30" spans="1:7" x14ac:dyDescent="0.25">
      <c r="A30" s="67"/>
      <c r="B30" s="5" t="s">
        <v>99</v>
      </c>
      <c r="C30" s="5" t="s">
        <v>106</v>
      </c>
      <c r="D30" s="1" t="s">
        <v>1</v>
      </c>
      <c r="E30" s="39">
        <v>26608.9</v>
      </c>
      <c r="F30" s="39">
        <v>26197</v>
      </c>
      <c r="G30" s="96">
        <f t="shared" si="0"/>
        <v>98.5</v>
      </c>
    </row>
    <row r="31" spans="1:7" x14ac:dyDescent="0.25">
      <c r="A31" s="67"/>
      <c r="B31" s="5" t="s">
        <v>99</v>
      </c>
      <c r="C31" s="5" t="s">
        <v>104</v>
      </c>
      <c r="D31" s="1" t="s">
        <v>199</v>
      </c>
      <c r="E31" s="39">
        <v>154573.29999999999</v>
      </c>
      <c r="F31" s="39">
        <v>150846.79999999999</v>
      </c>
      <c r="G31" s="96">
        <f t="shared" si="0"/>
        <v>97.6</v>
      </c>
    </row>
    <row r="32" spans="1:7" x14ac:dyDescent="0.25">
      <c r="A32" s="67"/>
      <c r="B32" s="5" t="s">
        <v>99</v>
      </c>
      <c r="C32" s="5" t="s">
        <v>127</v>
      </c>
      <c r="D32" s="128" t="s">
        <v>4</v>
      </c>
      <c r="E32" s="39">
        <v>4129</v>
      </c>
      <c r="F32" s="39">
        <v>4129</v>
      </c>
      <c r="G32" s="96">
        <f t="shared" si="0"/>
        <v>100</v>
      </c>
    </row>
    <row r="33" spans="1:7" ht="15.6" x14ac:dyDescent="0.3">
      <c r="A33" s="15">
        <v>4</v>
      </c>
      <c r="B33" s="4" t="s">
        <v>100</v>
      </c>
      <c r="C33" s="5"/>
      <c r="D33" s="49" t="s">
        <v>52</v>
      </c>
      <c r="E33" s="94">
        <f>SUM(E34:E37)</f>
        <v>128427</v>
      </c>
      <c r="F33" s="94">
        <f>SUM(F34:F37)</f>
        <v>111625.2</v>
      </c>
      <c r="G33" s="160">
        <f t="shared" si="0"/>
        <v>86.9</v>
      </c>
    </row>
    <row r="34" spans="1:7" x14ac:dyDescent="0.25">
      <c r="A34" s="15"/>
      <c r="B34" s="16" t="s">
        <v>100</v>
      </c>
      <c r="C34" s="16" t="s">
        <v>93</v>
      </c>
      <c r="D34" s="51" t="s">
        <v>47</v>
      </c>
      <c r="E34" s="41">
        <f>9594.5-53.4</f>
        <v>9541.1</v>
      </c>
      <c r="F34" s="39">
        <v>7265.2</v>
      </c>
      <c r="G34" s="96">
        <f t="shared" si="0"/>
        <v>76.099999999999994</v>
      </c>
    </row>
    <row r="35" spans="1:7" x14ac:dyDescent="0.25">
      <c r="A35" s="15"/>
      <c r="B35" s="16" t="s">
        <v>100</v>
      </c>
      <c r="C35" s="16" t="s">
        <v>94</v>
      </c>
      <c r="D35" s="51" t="s">
        <v>46</v>
      </c>
      <c r="E35" s="41">
        <v>30000.3</v>
      </c>
      <c r="F35" s="39">
        <v>28402</v>
      </c>
      <c r="G35" s="96">
        <f t="shared" si="0"/>
        <v>94.7</v>
      </c>
    </row>
    <row r="36" spans="1:7" x14ac:dyDescent="0.25">
      <c r="A36" s="67"/>
      <c r="B36" s="16" t="s">
        <v>100</v>
      </c>
      <c r="C36" s="16" t="s">
        <v>98</v>
      </c>
      <c r="D36" s="51" t="s">
        <v>53</v>
      </c>
      <c r="E36" s="41">
        <v>87476.5</v>
      </c>
      <c r="F36" s="39">
        <v>74591</v>
      </c>
      <c r="G36" s="96">
        <f t="shared" si="0"/>
        <v>85.3</v>
      </c>
    </row>
    <row r="37" spans="1:7" ht="26.4" x14ac:dyDescent="0.25">
      <c r="A37" s="67"/>
      <c r="B37" s="16" t="s">
        <v>100</v>
      </c>
      <c r="C37" s="84" t="s">
        <v>100</v>
      </c>
      <c r="D37" s="99" t="s">
        <v>473</v>
      </c>
      <c r="E37" s="41">
        <v>1409.1</v>
      </c>
      <c r="F37" s="39">
        <v>1367</v>
      </c>
      <c r="G37" s="96">
        <f t="shared" si="0"/>
        <v>97</v>
      </c>
    </row>
    <row r="38" spans="1:7" ht="15.6" x14ac:dyDescent="0.3">
      <c r="A38" s="15">
        <v>5</v>
      </c>
      <c r="B38" s="4" t="s">
        <v>109</v>
      </c>
      <c r="C38" s="3"/>
      <c r="D38" s="10" t="s">
        <v>110</v>
      </c>
      <c r="E38" s="94">
        <f>SUM(E39:E44)</f>
        <v>586547.80000000005</v>
      </c>
      <c r="F38" s="94">
        <f t="shared" ref="F38" si="1">SUM(F39:F44)</f>
        <v>584805.30000000005</v>
      </c>
      <c r="G38" s="160">
        <f t="shared" si="0"/>
        <v>99.7</v>
      </c>
    </row>
    <row r="39" spans="1:7" x14ac:dyDescent="0.25">
      <c r="A39" s="67"/>
      <c r="B39" s="5" t="s">
        <v>109</v>
      </c>
      <c r="C39" s="5" t="s">
        <v>93</v>
      </c>
      <c r="D39" s="1" t="s">
        <v>112</v>
      </c>
      <c r="E39" s="39">
        <v>150863.9</v>
      </c>
      <c r="F39" s="39">
        <v>150863.9</v>
      </c>
      <c r="G39" s="96">
        <f t="shared" si="0"/>
        <v>100</v>
      </c>
    </row>
    <row r="40" spans="1:7" x14ac:dyDescent="0.25">
      <c r="A40" s="67"/>
      <c r="B40" s="5" t="s">
        <v>109</v>
      </c>
      <c r="C40" s="5" t="s">
        <v>94</v>
      </c>
      <c r="D40" s="1" t="s">
        <v>113</v>
      </c>
      <c r="E40" s="39">
        <f>354667.5-131.5</f>
        <v>354536</v>
      </c>
      <c r="F40" s="39">
        <v>354191.4</v>
      </c>
      <c r="G40" s="96">
        <f t="shared" si="0"/>
        <v>99.9</v>
      </c>
    </row>
    <row r="41" spans="1:7" x14ac:dyDescent="0.25">
      <c r="A41" s="67"/>
      <c r="B41" s="5" t="s">
        <v>109</v>
      </c>
      <c r="C41" s="5" t="s">
        <v>98</v>
      </c>
      <c r="D41" s="1" t="s">
        <v>157</v>
      </c>
      <c r="E41" s="39">
        <v>59658.8</v>
      </c>
      <c r="F41" s="1">
        <v>59596.5</v>
      </c>
      <c r="G41" s="96">
        <f t="shared" si="0"/>
        <v>99.9</v>
      </c>
    </row>
    <row r="42" spans="1:7" ht="26.4" x14ac:dyDescent="0.25">
      <c r="A42" s="67"/>
      <c r="B42" s="5" t="s">
        <v>109</v>
      </c>
      <c r="C42" s="5" t="s">
        <v>100</v>
      </c>
      <c r="D42" s="128" t="s">
        <v>2</v>
      </c>
      <c r="E42" s="39">
        <v>152.4</v>
      </c>
      <c r="F42" s="39">
        <v>143.80000000000001</v>
      </c>
      <c r="G42" s="96">
        <f t="shared" si="0"/>
        <v>94.4</v>
      </c>
    </row>
    <row r="43" spans="1:7" x14ac:dyDescent="0.25">
      <c r="A43" s="67"/>
      <c r="B43" s="5" t="s">
        <v>109</v>
      </c>
      <c r="C43" s="5" t="s">
        <v>109</v>
      </c>
      <c r="D43" s="1" t="s">
        <v>156</v>
      </c>
      <c r="E43" s="39">
        <v>12391.1</v>
      </c>
      <c r="F43" s="1">
        <v>11267.1</v>
      </c>
      <c r="G43" s="96">
        <f t="shared" si="0"/>
        <v>90.9</v>
      </c>
    </row>
    <row r="44" spans="1:7" x14ac:dyDescent="0.25">
      <c r="A44" s="67"/>
      <c r="B44" s="5" t="s">
        <v>109</v>
      </c>
      <c r="C44" s="5" t="s">
        <v>104</v>
      </c>
      <c r="D44" s="1" t="s">
        <v>114</v>
      </c>
      <c r="E44" s="39">
        <v>8945.6</v>
      </c>
      <c r="F44" s="39">
        <v>8742.6</v>
      </c>
      <c r="G44" s="96">
        <f t="shared" si="0"/>
        <v>97.7</v>
      </c>
    </row>
    <row r="45" spans="1:7" ht="15.6" x14ac:dyDescent="0.3">
      <c r="A45" s="15">
        <v>6</v>
      </c>
      <c r="B45" s="4" t="s">
        <v>106</v>
      </c>
      <c r="C45" s="3"/>
      <c r="D45" s="10" t="s">
        <v>24</v>
      </c>
      <c r="E45" s="94">
        <f>SUM(E46:E47)</f>
        <v>157995</v>
      </c>
      <c r="F45" s="94">
        <f t="shared" ref="F45" si="2">SUM(F46:F47)</f>
        <v>157751.09999999998</v>
      </c>
      <c r="G45" s="160">
        <f t="shared" si="0"/>
        <v>99.8</v>
      </c>
    </row>
    <row r="46" spans="1:7" x14ac:dyDescent="0.25">
      <c r="A46" s="67"/>
      <c r="B46" s="5" t="s">
        <v>106</v>
      </c>
      <c r="C46" s="5" t="s">
        <v>93</v>
      </c>
      <c r="D46" s="1" t="s">
        <v>111</v>
      </c>
      <c r="E46" s="39">
        <v>154644.4</v>
      </c>
      <c r="F46" s="1">
        <v>154436.29999999999</v>
      </c>
      <c r="G46" s="96">
        <f t="shared" si="0"/>
        <v>99.9</v>
      </c>
    </row>
    <row r="47" spans="1:7" x14ac:dyDescent="0.25">
      <c r="A47" s="67"/>
      <c r="B47" s="5" t="s">
        <v>106</v>
      </c>
      <c r="C47" s="5" t="s">
        <v>99</v>
      </c>
      <c r="D47" s="128" t="s">
        <v>7</v>
      </c>
      <c r="E47" s="39">
        <v>3350.6</v>
      </c>
      <c r="F47" s="39">
        <v>3314.8</v>
      </c>
      <c r="G47" s="96">
        <f t="shared" si="0"/>
        <v>98.9</v>
      </c>
    </row>
    <row r="48" spans="1:7" ht="15.6" x14ac:dyDescent="0.3">
      <c r="A48" s="15">
        <v>7</v>
      </c>
      <c r="B48" s="4" t="s">
        <v>115</v>
      </c>
      <c r="C48" s="3"/>
      <c r="D48" s="10" t="s">
        <v>116</v>
      </c>
      <c r="E48" s="94">
        <f>SUM(E49:E51)</f>
        <v>41806.400000000001</v>
      </c>
      <c r="F48" s="94">
        <f t="shared" ref="F48" si="3">SUM(F49:F51)</f>
        <v>39121.4</v>
      </c>
      <c r="G48" s="160">
        <f t="shared" si="0"/>
        <v>93.6</v>
      </c>
    </row>
    <row r="49" spans="1:7" x14ac:dyDescent="0.25">
      <c r="A49" s="67"/>
      <c r="B49" s="5" t="s">
        <v>115</v>
      </c>
      <c r="C49" s="5" t="s">
        <v>93</v>
      </c>
      <c r="D49" s="1" t="s">
        <v>117</v>
      </c>
      <c r="E49" s="39">
        <f>1909.4+53.4</f>
        <v>1962.8000000000002</v>
      </c>
      <c r="F49" s="39">
        <v>1962.8</v>
      </c>
      <c r="G49" s="96">
        <f t="shared" si="0"/>
        <v>100</v>
      </c>
    </row>
    <row r="50" spans="1:7" x14ac:dyDescent="0.25">
      <c r="A50" s="67"/>
      <c r="B50" s="5" t="s">
        <v>115</v>
      </c>
      <c r="C50" s="5" t="s">
        <v>98</v>
      </c>
      <c r="D50" s="1" t="s">
        <v>121</v>
      </c>
      <c r="E50" s="39">
        <v>1764</v>
      </c>
      <c r="F50" s="1">
        <v>1862.5</v>
      </c>
      <c r="G50" s="96">
        <f t="shared" si="0"/>
        <v>105.6</v>
      </c>
    </row>
    <row r="51" spans="1:7" x14ac:dyDescent="0.25">
      <c r="A51" s="67"/>
      <c r="B51" s="5" t="s">
        <v>115</v>
      </c>
      <c r="C51" s="5" t="s">
        <v>99</v>
      </c>
      <c r="D51" s="1" t="s">
        <v>15</v>
      </c>
      <c r="E51" s="39">
        <v>38079.599999999999</v>
      </c>
      <c r="F51" s="39">
        <v>35296.1</v>
      </c>
      <c r="G51" s="96">
        <f t="shared" si="0"/>
        <v>92.7</v>
      </c>
    </row>
    <row r="52" spans="1:7" ht="15.6" x14ac:dyDescent="0.3">
      <c r="A52" s="15">
        <v>8</v>
      </c>
      <c r="B52" s="4" t="s">
        <v>107</v>
      </c>
      <c r="C52" s="5"/>
      <c r="D52" s="10" t="s">
        <v>128</v>
      </c>
      <c r="E52" s="94">
        <f>SUM(E53:E53)</f>
        <v>15796.3</v>
      </c>
      <c r="F52" s="94">
        <f t="shared" ref="F52" si="4">SUM(F53:F53)</f>
        <v>10694.5</v>
      </c>
      <c r="G52" s="160">
        <f t="shared" si="0"/>
        <v>67.7</v>
      </c>
    </row>
    <row r="53" spans="1:7" x14ac:dyDescent="0.25">
      <c r="A53" s="67"/>
      <c r="B53" s="5" t="s">
        <v>107</v>
      </c>
      <c r="C53" s="5" t="s">
        <v>94</v>
      </c>
      <c r="D53" s="128" t="s">
        <v>6</v>
      </c>
      <c r="E53" s="39">
        <f>796.3+15000</f>
        <v>15796.3</v>
      </c>
      <c r="F53" s="39">
        <v>10694.5</v>
      </c>
      <c r="G53" s="96">
        <f t="shared" si="0"/>
        <v>67.7</v>
      </c>
    </row>
    <row r="54" spans="1:7" ht="15.6" x14ac:dyDescent="0.3">
      <c r="A54" s="15">
        <v>9</v>
      </c>
      <c r="B54" s="4" t="s">
        <v>127</v>
      </c>
      <c r="C54" s="5"/>
      <c r="D54" s="10" t="s">
        <v>8</v>
      </c>
      <c r="E54" s="94">
        <f>SUM(E55:E55)</f>
        <v>3808.5</v>
      </c>
      <c r="F54" s="94">
        <f t="shared" ref="F54" si="5">SUM(F55:F55)</f>
        <v>3807.5</v>
      </c>
      <c r="G54" s="160">
        <f t="shared" si="0"/>
        <v>100</v>
      </c>
    </row>
    <row r="55" spans="1:7" ht="26.4" x14ac:dyDescent="0.25">
      <c r="A55" s="67"/>
      <c r="B55" s="5" t="s">
        <v>127</v>
      </c>
      <c r="C55" s="5" t="s">
        <v>99</v>
      </c>
      <c r="D55" s="99" t="s">
        <v>18</v>
      </c>
      <c r="E55" s="39">
        <f>3508.5+300</f>
        <v>3808.5</v>
      </c>
      <c r="F55" s="39">
        <v>3807.5</v>
      </c>
      <c r="G55" s="96">
        <f t="shared" si="0"/>
        <v>100</v>
      </c>
    </row>
    <row r="56" spans="1:7" ht="31.2" x14ac:dyDescent="0.3">
      <c r="A56" s="15">
        <v>10</v>
      </c>
      <c r="B56" s="4" t="s">
        <v>9</v>
      </c>
      <c r="C56" s="3"/>
      <c r="D56" s="10" t="s">
        <v>11</v>
      </c>
      <c r="E56" s="94">
        <f>SUM(E57:E57)</f>
        <v>3</v>
      </c>
      <c r="F56" s="94">
        <f t="shared" ref="F56" si="6">SUM(F57:F57)</f>
        <v>3</v>
      </c>
      <c r="G56" s="160">
        <f t="shared" si="0"/>
        <v>100</v>
      </c>
    </row>
    <row r="57" spans="1:7" ht="26.4" x14ac:dyDescent="0.25">
      <c r="A57" s="67"/>
      <c r="B57" s="5" t="s">
        <v>9</v>
      </c>
      <c r="C57" s="5" t="s">
        <v>93</v>
      </c>
      <c r="D57" s="128" t="s">
        <v>196</v>
      </c>
      <c r="E57" s="39">
        <v>3</v>
      </c>
      <c r="F57" s="39">
        <v>3</v>
      </c>
      <c r="G57" s="96">
        <f t="shared" si="0"/>
        <v>100</v>
      </c>
    </row>
    <row r="61" spans="1:7" s="19" customFormat="1" x14ac:dyDescent="0.25">
      <c r="B61" s="19" t="s">
        <v>85</v>
      </c>
    </row>
  </sheetData>
  <mergeCells count="9">
    <mergeCell ref="A8:G8"/>
    <mergeCell ref="A11:A13"/>
    <mergeCell ref="B11:B13"/>
    <mergeCell ref="C11:C13"/>
    <mergeCell ref="D11:D13"/>
    <mergeCell ref="E12:E13"/>
    <mergeCell ref="F12:F13"/>
    <mergeCell ref="G11:G13"/>
    <mergeCell ref="E11:F11"/>
  </mergeCells>
  <phoneticPr fontId="2" type="noConversion"/>
  <pageMargins left="0.75" right="0.75" top="1" bottom="1" header="0.5" footer="0.5"/>
  <pageSetup paperSize="9" scale="95" fitToHeight="0" orientation="portrait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4"/>
  <sheetViews>
    <sheetView tabSelected="1" topLeftCell="A148" zoomScaleNormal="100" workbookViewId="0">
      <selection activeCell="L91" sqref="L91"/>
    </sheetView>
  </sheetViews>
  <sheetFormatPr defaultColWidth="9.109375" defaultRowHeight="13.2" x14ac:dyDescent="0.25"/>
  <cols>
    <col min="1" max="1" width="2.5546875" style="92" customWidth="1"/>
    <col min="2" max="2" width="2.44140625" style="92" customWidth="1"/>
    <col min="3" max="3" width="11.5546875" style="92" customWidth="1"/>
    <col min="4" max="4" width="3.33203125" style="92" customWidth="1"/>
    <col min="5" max="5" width="43.109375" style="92" customWidth="1"/>
    <col min="6" max="6" width="12.44140625" style="92" customWidth="1"/>
    <col min="7" max="7" width="11.88671875" style="92" customWidth="1"/>
    <col min="8" max="8" width="7.5546875" style="92" customWidth="1"/>
    <col min="9" max="16384" width="9.109375" style="92"/>
  </cols>
  <sheetData>
    <row r="1" spans="1:8" x14ac:dyDescent="0.25">
      <c r="E1" s="89" t="s">
        <v>399</v>
      </c>
    </row>
    <row r="2" spans="1:8" x14ac:dyDescent="0.25">
      <c r="E2" s="89" t="s">
        <v>388</v>
      </c>
    </row>
    <row r="3" spans="1:8" x14ac:dyDescent="0.25">
      <c r="E3" s="89" t="s">
        <v>422</v>
      </c>
    </row>
    <row r="4" spans="1:8" x14ac:dyDescent="0.25">
      <c r="E4" s="89" t="s">
        <v>423</v>
      </c>
    </row>
    <row r="5" spans="1:8" x14ac:dyDescent="0.25">
      <c r="E5" s="89" t="s">
        <v>476</v>
      </c>
    </row>
    <row r="6" spans="1:8" x14ac:dyDescent="0.25">
      <c r="E6" s="87"/>
      <c r="F6" s="87"/>
      <c r="G6" s="88"/>
      <c r="H6" s="88"/>
    </row>
    <row r="7" spans="1:8" x14ac:dyDescent="0.25">
      <c r="E7" s="87"/>
      <c r="F7" s="87"/>
      <c r="G7" s="88"/>
      <c r="H7" s="88"/>
    </row>
    <row r="8" spans="1:8" ht="63" customHeight="1" x14ac:dyDescent="0.25">
      <c r="A8" s="235" t="s">
        <v>482</v>
      </c>
      <c r="B8" s="251"/>
      <c r="C8" s="251"/>
      <c r="D8" s="251"/>
      <c r="E8" s="251"/>
      <c r="F8" s="251"/>
      <c r="G8" s="252"/>
      <c r="H8" s="252"/>
    </row>
    <row r="10" spans="1:8" x14ac:dyDescent="0.25">
      <c r="F10" s="6"/>
    </row>
    <row r="11" spans="1:8" x14ac:dyDescent="0.25">
      <c r="A11" s="246" t="s">
        <v>122</v>
      </c>
      <c r="B11" s="246" t="s">
        <v>123</v>
      </c>
      <c r="C11" s="246" t="s">
        <v>124</v>
      </c>
      <c r="D11" s="246" t="s">
        <v>118</v>
      </c>
      <c r="E11" s="246" t="s">
        <v>95</v>
      </c>
      <c r="F11" s="249" t="s">
        <v>32</v>
      </c>
      <c r="G11" s="250"/>
      <c r="H11" s="243" t="s">
        <v>421</v>
      </c>
    </row>
    <row r="12" spans="1:8" x14ac:dyDescent="0.25">
      <c r="A12" s="247"/>
      <c r="B12" s="247"/>
      <c r="C12" s="247"/>
      <c r="D12" s="247"/>
      <c r="E12" s="247"/>
      <c r="F12" s="243" t="s">
        <v>420</v>
      </c>
      <c r="G12" s="243" t="s">
        <v>474</v>
      </c>
      <c r="H12" s="247"/>
    </row>
    <row r="13" spans="1:8" ht="35.25" customHeight="1" x14ac:dyDescent="0.25">
      <c r="A13" s="248"/>
      <c r="B13" s="248"/>
      <c r="C13" s="248"/>
      <c r="D13" s="248"/>
      <c r="E13" s="248"/>
      <c r="F13" s="245"/>
      <c r="G13" s="245"/>
      <c r="H13" s="248"/>
    </row>
    <row r="14" spans="1:8" ht="18.75" customHeight="1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</row>
    <row r="15" spans="1:8" ht="17.399999999999999" x14ac:dyDescent="0.3">
      <c r="A15" s="12"/>
      <c r="B15" s="12"/>
      <c r="C15" s="12"/>
      <c r="D15" s="12"/>
      <c r="E15" s="9" t="s">
        <v>97</v>
      </c>
      <c r="F15" s="94">
        <f>F16+F95+F133+F222+F367+F536+F586+F623+F634+F648</f>
        <v>1262150</v>
      </c>
      <c r="G15" s="94">
        <f t="shared" ref="G15" si="0">G16+G95+G133+G222+G367+G536+G586+G623+G634+G648</f>
        <v>1212838.3</v>
      </c>
      <c r="H15" s="160">
        <f t="shared" ref="H15:H78" si="1">ROUND((G15/F15*100),1)</f>
        <v>96.1</v>
      </c>
    </row>
    <row r="16" spans="1:8" ht="15.6" x14ac:dyDescent="0.3">
      <c r="A16" s="4" t="s">
        <v>93</v>
      </c>
      <c r="B16" s="11"/>
      <c r="C16" s="11"/>
      <c r="D16" s="11"/>
      <c r="E16" s="10" t="s">
        <v>96</v>
      </c>
      <c r="F16" s="94">
        <f>F17+F22+F29+F40+F45+F56+F61</f>
        <v>133022</v>
      </c>
      <c r="G16" s="94">
        <f t="shared" ref="G16" si="2">G17+G22+G29+G40+G45+G56+G61</f>
        <v>114445.6</v>
      </c>
      <c r="H16" s="160">
        <f t="shared" si="1"/>
        <v>86</v>
      </c>
    </row>
    <row r="17" spans="1:8" ht="40.200000000000003" x14ac:dyDescent="0.3">
      <c r="A17" s="30" t="s">
        <v>93</v>
      </c>
      <c r="B17" s="30" t="s">
        <v>94</v>
      </c>
      <c r="C17" s="30"/>
      <c r="D17" s="30"/>
      <c r="E17" s="46" t="s">
        <v>21</v>
      </c>
      <c r="F17" s="40">
        <f t="shared" ref="F17:F20" si="3">F18</f>
        <v>1580</v>
      </c>
      <c r="G17" s="40">
        <f t="shared" ref="G17:G20" si="4">G18</f>
        <v>1580</v>
      </c>
      <c r="H17" s="42">
        <f t="shared" si="1"/>
        <v>100</v>
      </c>
    </row>
    <row r="18" spans="1:8" ht="26.4" x14ac:dyDescent="0.25">
      <c r="A18" s="16" t="s">
        <v>93</v>
      </c>
      <c r="B18" s="16" t="s">
        <v>94</v>
      </c>
      <c r="C18" s="80">
        <v>9900000000</v>
      </c>
      <c r="D18" s="16"/>
      <c r="E18" s="55" t="s">
        <v>144</v>
      </c>
      <c r="F18" s="41">
        <f t="shared" si="3"/>
        <v>1580</v>
      </c>
      <c r="G18" s="41">
        <f t="shared" si="4"/>
        <v>1580</v>
      </c>
      <c r="H18" s="96">
        <f t="shared" si="1"/>
        <v>100</v>
      </c>
    </row>
    <row r="19" spans="1:8" ht="39.6" x14ac:dyDescent="0.25">
      <c r="A19" s="16" t="s">
        <v>93</v>
      </c>
      <c r="B19" s="16" t="s">
        <v>94</v>
      </c>
      <c r="C19" s="80">
        <v>9980000000</v>
      </c>
      <c r="D19" s="16"/>
      <c r="E19" s="54" t="s">
        <v>34</v>
      </c>
      <c r="F19" s="41">
        <f t="shared" si="3"/>
        <v>1580</v>
      </c>
      <c r="G19" s="41">
        <f t="shared" si="4"/>
        <v>1580</v>
      </c>
      <c r="H19" s="96">
        <f t="shared" si="1"/>
        <v>100</v>
      </c>
    </row>
    <row r="20" spans="1:8" x14ac:dyDescent="0.25">
      <c r="A20" s="16" t="s">
        <v>93</v>
      </c>
      <c r="B20" s="16" t="s">
        <v>94</v>
      </c>
      <c r="C20" s="80">
        <v>9980022100</v>
      </c>
      <c r="D20" s="16"/>
      <c r="E20" s="102" t="s">
        <v>119</v>
      </c>
      <c r="F20" s="39">
        <f t="shared" si="3"/>
        <v>1580</v>
      </c>
      <c r="G20" s="39">
        <f t="shared" si="4"/>
        <v>1580</v>
      </c>
      <c r="H20" s="96">
        <f t="shared" si="1"/>
        <v>100</v>
      </c>
    </row>
    <row r="21" spans="1:8" ht="26.4" x14ac:dyDescent="0.25">
      <c r="A21" s="16" t="s">
        <v>93</v>
      </c>
      <c r="B21" s="16" t="s">
        <v>94</v>
      </c>
      <c r="C21" s="80">
        <v>9980022100</v>
      </c>
      <c r="D21" s="16" t="s">
        <v>68</v>
      </c>
      <c r="E21" s="190" t="s">
        <v>84</v>
      </c>
      <c r="F21" s="39">
        <v>1580</v>
      </c>
      <c r="G21" s="39">
        <v>1580</v>
      </c>
      <c r="H21" s="96">
        <f t="shared" si="1"/>
        <v>100</v>
      </c>
    </row>
    <row r="22" spans="1:8" ht="50.25" customHeight="1" x14ac:dyDescent="0.3">
      <c r="A22" s="30" t="s">
        <v>93</v>
      </c>
      <c r="B22" s="30" t="s">
        <v>98</v>
      </c>
      <c r="C22" s="31"/>
      <c r="D22" s="31"/>
      <c r="E22" s="48" t="s">
        <v>131</v>
      </c>
      <c r="F22" s="43">
        <f>F23</f>
        <v>3590.5</v>
      </c>
      <c r="G22" s="43">
        <f>G23</f>
        <v>3541.8</v>
      </c>
      <c r="H22" s="42">
        <f t="shared" si="1"/>
        <v>98.6</v>
      </c>
    </row>
    <row r="23" spans="1:8" ht="39.6" x14ac:dyDescent="0.25">
      <c r="A23" s="16" t="s">
        <v>93</v>
      </c>
      <c r="B23" s="16" t="s">
        <v>98</v>
      </c>
      <c r="C23" s="80">
        <v>9990000000</v>
      </c>
      <c r="D23" s="16"/>
      <c r="E23" s="54" t="s">
        <v>33</v>
      </c>
      <c r="F23" s="41">
        <f>F24+F26</f>
        <v>3590.5</v>
      </c>
      <c r="G23" s="41">
        <f>G24+G26</f>
        <v>3541.8</v>
      </c>
      <c r="H23" s="96">
        <f t="shared" si="1"/>
        <v>98.6</v>
      </c>
    </row>
    <row r="24" spans="1:8" x14ac:dyDescent="0.25">
      <c r="A24" s="16" t="s">
        <v>93</v>
      </c>
      <c r="B24" s="16" t="s">
        <v>98</v>
      </c>
      <c r="C24" s="80">
        <v>9990022400</v>
      </c>
      <c r="D24" s="16"/>
      <c r="E24" s="100" t="s">
        <v>140</v>
      </c>
      <c r="F24" s="41">
        <f t="shared" ref="F24" si="5">F25</f>
        <v>1270.5</v>
      </c>
      <c r="G24" s="41">
        <f>G25</f>
        <v>1255</v>
      </c>
      <c r="H24" s="96">
        <f t="shared" si="1"/>
        <v>98.8</v>
      </c>
    </row>
    <row r="25" spans="1:8" ht="26.4" x14ac:dyDescent="0.25">
      <c r="A25" s="16" t="s">
        <v>93</v>
      </c>
      <c r="B25" s="16" t="s">
        <v>98</v>
      </c>
      <c r="C25" s="80">
        <v>9990022400</v>
      </c>
      <c r="D25" s="16" t="s">
        <v>68</v>
      </c>
      <c r="E25" s="55" t="s">
        <v>69</v>
      </c>
      <c r="F25" s="39">
        <v>1270.5</v>
      </c>
      <c r="G25" s="39">
        <v>1255</v>
      </c>
      <c r="H25" s="96">
        <f t="shared" si="1"/>
        <v>98.8</v>
      </c>
    </row>
    <row r="26" spans="1:8" ht="26.4" x14ac:dyDescent="0.25">
      <c r="A26" s="16" t="s">
        <v>93</v>
      </c>
      <c r="B26" s="16" t="s">
        <v>98</v>
      </c>
      <c r="C26" s="80">
        <v>9990022500</v>
      </c>
      <c r="D26" s="21"/>
      <c r="E26" s="102" t="s">
        <v>483</v>
      </c>
      <c r="F26" s="41">
        <f>SUM(F27:F28)</f>
        <v>2320</v>
      </c>
      <c r="G26" s="41">
        <f>SUM(G27:G28)</f>
        <v>2286.8000000000002</v>
      </c>
      <c r="H26" s="96">
        <f t="shared" si="1"/>
        <v>98.6</v>
      </c>
    </row>
    <row r="27" spans="1:8" ht="26.4" x14ac:dyDescent="0.25">
      <c r="A27" s="16" t="s">
        <v>93</v>
      </c>
      <c r="B27" s="16" t="s">
        <v>98</v>
      </c>
      <c r="C27" s="80">
        <v>9990022500</v>
      </c>
      <c r="D27" s="16" t="s">
        <v>68</v>
      </c>
      <c r="E27" s="55" t="s">
        <v>69</v>
      </c>
      <c r="F27" s="39">
        <f>2168.1-18.2+48.6</f>
        <v>2198.5</v>
      </c>
      <c r="G27" s="39">
        <v>2167.3000000000002</v>
      </c>
      <c r="H27" s="96">
        <f t="shared" si="1"/>
        <v>98.6</v>
      </c>
    </row>
    <row r="28" spans="1:8" ht="39.6" x14ac:dyDescent="0.25">
      <c r="A28" s="16" t="s">
        <v>93</v>
      </c>
      <c r="B28" s="16" t="s">
        <v>98</v>
      </c>
      <c r="C28" s="80">
        <v>9990022500</v>
      </c>
      <c r="D28" s="84" t="s">
        <v>212</v>
      </c>
      <c r="E28" s="100" t="s">
        <v>213</v>
      </c>
      <c r="F28" s="39">
        <f>103.3+18.2</f>
        <v>121.5</v>
      </c>
      <c r="G28" s="39">
        <v>119.5</v>
      </c>
      <c r="H28" s="96">
        <f t="shared" si="1"/>
        <v>98.4</v>
      </c>
    </row>
    <row r="29" spans="1:8" s="32" customFormat="1" ht="66.599999999999994" x14ac:dyDescent="0.3">
      <c r="A29" s="30" t="s">
        <v>93</v>
      </c>
      <c r="B29" s="30" t="s">
        <v>99</v>
      </c>
      <c r="C29" s="30"/>
      <c r="D29" s="30"/>
      <c r="E29" s="46" t="s">
        <v>129</v>
      </c>
      <c r="F29" s="40">
        <f t="shared" ref="F29" si="6">F30</f>
        <v>46735.7</v>
      </c>
      <c r="G29" s="40">
        <f>G30</f>
        <v>46427.7</v>
      </c>
      <c r="H29" s="42">
        <f t="shared" si="1"/>
        <v>99.3</v>
      </c>
    </row>
    <row r="30" spans="1:8" ht="26.4" x14ac:dyDescent="0.25">
      <c r="A30" s="16" t="s">
        <v>93</v>
      </c>
      <c r="B30" s="16" t="s">
        <v>99</v>
      </c>
      <c r="C30" s="80">
        <v>9900000000</v>
      </c>
      <c r="D30" s="16"/>
      <c r="E30" s="55" t="s">
        <v>144</v>
      </c>
      <c r="F30" s="39">
        <f>F31+F35</f>
        <v>46735.7</v>
      </c>
      <c r="G30" s="39">
        <f>G31+G35</f>
        <v>46427.7</v>
      </c>
      <c r="H30" s="96">
        <f t="shared" si="1"/>
        <v>99.3</v>
      </c>
    </row>
    <row r="31" spans="1:8" ht="26.4" x14ac:dyDescent="0.25">
      <c r="A31" s="16" t="s">
        <v>93</v>
      </c>
      <c r="B31" s="16" t="s">
        <v>99</v>
      </c>
      <c r="C31" s="80">
        <v>9930000000</v>
      </c>
      <c r="D31" s="16"/>
      <c r="E31" s="22" t="s">
        <v>45</v>
      </c>
      <c r="F31" s="39">
        <f>F32</f>
        <v>398</v>
      </c>
      <c r="G31" s="39">
        <f>G32</f>
        <v>398</v>
      </c>
      <c r="H31" s="96">
        <f t="shared" si="1"/>
        <v>100</v>
      </c>
    </row>
    <row r="32" spans="1:8" ht="52.8" x14ac:dyDescent="0.25">
      <c r="A32" s="16" t="s">
        <v>93</v>
      </c>
      <c r="B32" s="16" t="s">
        <v>99</v>
      </c>
      <c r="C32" s="80">
        <v>9930010510</v>
      </c>
      <c r="D32" s="16"/>
      <c r="E32" s="22" t="s">
        <v>19</v>
      </c>
      <c r="F32" s="39">
        <f>F33+F34</f>
        <v>398</v>
      </c>
      <c r="G32" s="39">
        <f>G33+G34</f>
        <v>398</v>
      </c>
      <c r="H32" s="96">
        <f t="shared" si="1"/>
        <v>100</v>
      </c>
    </row>
    <row r="33" spans="1:8" ht="26.4" x14ac:dyDescent="0.25">
      <c r="A33" s="16" t="s">
        <v>93</v>
      </c>
      <c r="B33" s="16" t="s">
        <v>99</v>
      </c>
      <c r="C33" s="80">
        <v>9930010510</v>
      </c>
      <c r="D33" s="16" t="s">
        <v>68</v>
      </c>
      <c r="E33" s="105" t="s">
        <v>69</v>
      </c>
      <c r="F33" s="39">
        <v>357.6</v>
      </c>
      <c r="G33" s="39">
        <v>357.6</v>
      </c>
      <c r="H33" s="96">
        <f t="shared" si="1"/>
        <v>100</v>
      </c>
    </row>
    <row r="34" spans="1:8" ht="39.6" x14ac:dyDescent="0.25">
      <c r="A34" s="16" t="s">
        <v>93</v>
      </c>
      <c r="B34" s="16" t="s">
        <v>99</v>
      </c>
      <c r="C34" s="80">
        <v>9930010510</v>
      </c>
      <c r="D34" s="84" t="s">
        <v>212</v>
      </c>
      <c r="E34" s="100" t="s">
        <v>213</v>
      </c>
      <c r="F34" s="39">
        <v>40.4</v>
      </c>
      <c r="G34" s="39">
        <v>40.4</v>
      </c>
      <c r="H34" s="96">
        <f t="shared" si="1"/>
        <v>100</v>
      </c>
    </row>
    <row r="35" spans="1:8" ht="39.6" x14ac:dyDescent="0.25">
      <c r="A35" s="16" t="s">
        <v>93</v>
      </c>
      <c r="B35" s="16" t="s">
        <v>99</v>
      </c>
      <c r="C35" s="80">
        <v>9980000000</v>
      </c>
      <c r="D35" s="16"/>
      <c r="E35" s="54" t="s">
        <v>34</v>
      </c>
      <c r="F35" s="39">
        <f>F36</f>
        <v>46337.7</v>
      </c>
      <c r="G35" s="39">
        <f>G36</f>
        <v>46029.7</v>
      </c>
      <c r="H35" s="96">
        <f t="shared" si="1"/>
        <v>99.3</v>
      </c>
    </row>
    <row r="36" spans="1:8" x14ac:dyDescent="0.25">
      <c r="A36" s="16" t="s">
        <v>93</v>
      </c>
      <c r="B36" s="16" t="s">
        <v>99</v>
      </c>
      <c r="C36" s="192">
        <v>9980022200</v>
      </c>
      <c r="D36" s="21"/>
      <c r="E36" s="102" t="s">
        <v>120</v>
      </c>
      <c r="F36" s="39">
        <f>SUM(F37:F39)</f>
        <v>46337.7</v>
      </c>
      <c r="G36" s="39">
        <f>SUM(G37:G39)</f>
        <v>46029.7</v>
      </c>
      <c r="H36" s="96">
        <f t="shared" si="1"/>
        <v>99.3</v>
      </c>
    </row>
    <row r="37" spans="1:8" ht="26.4" x14ac:dyDescent="0.25">
      <c r="A37" s="16" t="s">
        <v>93</v>
      </c>
      <c r="B37" s="16" t="s">
        <v>99</v>
      </c>
      <c r="C37" s="192">
        <v>9980022200</v>
      </c>
      <c r="D37" s="16" t="s">
        <v>68</v>
      </c>
      <c r="E37" s="55" t="s">
        <v>69</v>
      </c>
      <c r="F37" s="39">
        <f>42052.6-96.1-206.9+1453.1+0.1</f>
        <v>43202.799999999996</v>
      </c>
      <c r="G37" s="39">
        <v>43012.9</v>
      </c>
      <c r="H37" s="96">
        <f t="shared" si="1"/>
        <v>99.6</v>
      </c>
    </row>
    <row r="38" spans="1:8" ht="39.6" x14ac:dyDescent="0.25">
      <c r="A38" s="16" t="s">
        <v>93</v>
      </c>
      <c r="B38" s="16" t="s">
        <v>99</v>
      </c>
      <c r="C38" s="192">
        <v>9980022200</v>
      </c>
      <c r="D38" s="84" t="s">
        <v>212</v>
      </c>
      <c r="E38" s="100" t="s">
        <v>213</v>
      </c>
      <c r="F38" s="39">
        <f>2743+44.5+96.1+211.7</f>
        <v>3095.2999999999997</v>
      </c>
      <c r="G38" s="39">
        <v>2977.2</v>
      </c>
      <c r="H38" s="96">
        <f t="shared" si="1"/>
        <v>96.2</v>
      </c>
    </row>
    <row r="39" spans="1:8" x14ac:dyDescent="0.25">
      <c r="A39" s="16" t="s">
        <v>93</v>
      </c>
      <c r="B39" s="16" t="s">
        <v>99</v>
      </c>
      <c r="C39" s="192">
        <v>9980022200</v>
      </c>
      <c r="D39" s="84" t="s">
        <v>134</v>
      </c>
      <c r="E39" s="100" t="s">
        <v>135</v>
      </c>
      <c r="F39" s="41">
        <f>44.4-4.8</f>
        <v>39.6</v>
      </c>
      <c r="G39" s="41">
        <v>39.6</v>
      </c>
      <c r="H39" s="96">
        <f t="shared" si="1"/>
        <v>100</v>
      </c>
    </row>
    <row r="40" spans="1:8" ht="14.4" x14ac:dyDescent="0.3">
      <c r="A40" s="35" t="s">
        <v>93</v>
      </c>
      <c r="B40" s="35" t="s">
        <v>100</v>
      </c>
      <c r="C40" s="35"/>
      <c r="D40" s="35"/>
      <c r="E40" s="46" t="s">
        <v>293</v>
      </c>
      <c r="F40" s="42">
        <f>SUM(F41)</f>
        <v>96.3</v>
      </c>
      <c r="G40" s="42">
        <f>SUM(G41)</f>
        <v>96.3</v>
      </c>
      <c r="H40" s="42">
        <f t="shared" si="1"/>
        <v>100</v>
      </c>
    </row>
    <row r="41" spans="1:8" ht="26.4" x14ac:dyDescent="0.25">
      <c r="A41" s="16" t="s">
        <v>93</v>
      </c>
      <c r="B41" s="84" t="s">
        <v>100</v>
      </c>
      <c r="C41" s="80">
        <v>9900000000</v>
      </c>
      <c r="D41" s="16"/>
      <c r="E41" s="55" t="s">
        <v>145</v>
      </c>
      <c r="F41" s="39">
        <f t="shared" ref="F41:F43" si="7">F42</f>
        <v>96.3</v>
      </c>
      <c r="G41" s="39">
        <f t="shared" ref="G41:G43" si="8">G42</f>
        <v>96.3</v>
      </c>
      <c r="H41" s="96">
        <f t="shared" si="1"/>
        <v>100</v>
      </c>
    </row>
    <row r="42" spans="1:8" ht="26.4" x14ac:dyDescent="0.25">
      <c r="A42" s="16" t="s">
        <v>93</v>
      </c>
      <c r="B42" s="84" t="s">
        <v>100</v>
      </c>
      <c r="C42" s="80">
        <v>9930000000</v>
      </c>
      <c r="D42" s="16"/>
      <c r="E42" s="22" t="s">
        <v>45</v>
      </c>
      <c r="F42" s="39">
        <f t="shared" si="7"/>
        <v>96.3</v>
      </c>
      <c r="G42" s="39">
        <f t="shared" si="8"/>
        <v>96.3</v>
      </c>
      <c r="H42" s="96">
        <f t="shared" si="1"/>
        <v>100</v>
      </c>
    </row>
    <row r="43" spans="1:8" ht="52.8" x14ac:dyDescent="0.25">
      <c r="A43" s="16" t="s">
        <v>93</v>
      </c>
      <c r="B43" s="84" t="s">
        <v>100</v>
      </c>
      <c r="C43" s="80">
        <v>9930051200</v>
      </c>
      <c r="D43" s="16"/>
      <c r="E43" s="54" t="s">
        <v>286</v>
      </c>
      <c r="F43" s="39">
        <f t="shared" si="7"/>
        <v>96.3</v>
      </c>
      <c r="G43" s="39">
        <f t="shared" si="8"/>
        <v>96.3</v>
      </c>
      <c r="H43" s="96">
        <f t="shared" si="1"/>
        <v>100</v>
      </c>
    </row>
    <row r="44" spans="1:8" ht="39.6" x14ac:dyDescent="0.25">
      <c r="A44" s="16" t="s">
        <v>93</v>
      </c>
      <c r="B44" s="84" t="s">
        <v>100</v>
      </c>
      <c r="C44" s="80">
        <v>9930051200</v>
      </c>
      <c r="D44" s="84" t="s">
        <v>212</v>
      </c>
      <c r="E44" s="100" t="s">
        <v>213</v>
      </c>
      <c r="F44" s="115">
        <v>96.3</v>
      </c>
      <c r="G44" s="115">
        <v>96.3</v>
      </c>
      <c r="H44" s="96">
        <f t="shared" si="1"/>
        <v>100</v>
      </c>
    </row>
    <row r="45" spans="1:8" s="37" customFormat="1" ht="36.75" customHeight="1" x14ac:dyDescent="0.3">
      <c r="A45" s="35" t="s">
        <v>93</v>
      </c>
      <c r="B45" s="35" t="s">
        <v>101</v>
      </c>
      <c r="C45" s="35"/>
      <c r="D45" s="35"/>
      <c r="E45" s="46" t="s">
        <v>130</v>
      </c>
      <c r="F45" s="42">
        <f>SUM(F46)</f>
        <v>11130.5</v>
      </c>
      <c r="G45" s="42">
        <f>SUM(G46)</f>
        <v>11084.5</v>
      </c>
      <c r="H45" s="42">
        <f t="shared" si="1"/>
        <v>99.6</v>
      </c>
    </row>
    <row r="46" spans="1:8" ht="26.4" x14ac:dyDescent="0.25">
      <c r="A46" s="16" t="s">
        <v>93</v>
      </c>
      <c r="B46" s="16" t="s">
        <v>101</v>
      </c>
      <c r="C46" s="80">
        <v>9900000000</v>
      </c>
      <c r="D46" s="16"/>
      <c r="E46" s="55" t="s">
        <v>144</v>
      </c>
      <c r="F46" s="39">
        <f>F47+F52</f>
        <v>11130.5</v>
      </c>
      <c r="G46" s="39">
        <f>G47+G52</f>
        <v>11084.5</v>
      </c>
      <c r="H46" s="96">
        <f t="shared" si="1"/>
        <v>99.6</v>
      </c>
    </row>
    <row r="47" spans="1:8" ht="39.6" x14ac:dyDescent="0.25">
      <c r="A47" s="16" t="s">
        <v>93</v>
      </c>
      <c r="B47" s="16" t="s">
        <v>101</v>
      </c>
      <c r="C47" s="80">
        <v>9980000000</v>
      </c>
      <c r="D47" s="16"/>
      <c r="E47" s="54" t="s">
        <v>34</v>
      </c>
      <c r="F47" s="39">
        <f>F48</f>
        <v>9556.1</v>
      </c>
      <c r="G47" s="39">
        <f>G48</f>
        <v>9527</v>
      </c>
      <c r="H47" s="96">
        <f t="shared" si="1"/>
        <v>99.7</v>
      </c>
    </row>
    <row r="48" spans="1:8" x14ac:dyDescent="0.25">
      <c r="A48" s="16" t="s">
        <v>93</v>
      </c>
      <c r="B48" s="16" t="s">
        <v>101</v>
      </c>
      <c r="C48" s="192">
        <v>9980022200</v>
      </c>
      <c r="D48" s="21"/>
      <c r="E48" s="102" t="s">
        <v>120</v>
      </c>
      <c r="F48" s="39">
        <f>SUM(F49:F51)</f>
        <v>9556.1</v>
      </c>
      <c r="G48" s="39">
        <f>SUM(G49:G51)</f>
        <v>9527</v>
      </c>
      <c r="H48" s="96">
        <f t="shared" si="1"/>
        <v>99.7</v>
      </c>
    </row>
    <row r="49" spans="1:8" ht="26.4" x14ac:dyDescent="0.25">
      <c r="A49" s="16" t="s">
        <v>93</v>
      </c>
      <c r="B49" s="16" t="s">
        <v>101</v>
      </c>
      <c r="C49" s="192">
        <v>9980022200</v>
      </c>
      <c r="D49" s="16" t="s">
        <v>68</v>
      </c>
      <c r="E49" s="105" t="s">
        <v>69</v>
      </c>
      <c r="F49" s="39">
        <f>8799.1-1.3+189+308.1+8</f>
        <v>9302.9000000000015</v>
      </c>
      <c r="G49" s="39">
        <v>9282</v>
      </c>
      <c r="H49" s="96">
        <f t="shared" si="1"/>
        <v>99.8</v>
      </c>
    </row>
    <row r="50" spans="1:8" ht="39.6" x14ac:dyDescent="0.25">
      <c r="A50" s="16" t="s">
        <v>93</v>
      </c>
      <c r="B50" s="16" t="s">
        <v>101</v>
      </c>
      <c r="C50" s="192">
        <v>9980022200</v>
      </c>
      <c r="D50" s="84" t="s">
        <v>212</v>
      </c>
      <c r="E50" s="100" t="s">
        <v>213</v>
      </c>
      <c r="F50" s="39">
        <f>448.9-189-8</f>
        <v>251.89999999999998</v>
      </c>
      <c r="G50" s="39">
        <v>243.7</v>
      </c>
      <c r="H50" s="96">
        <f t="shared" si="1"/>
        <v>96.7</v>
      </c>
    </row>
    <row r="51" spans="1:8" x14ac:dyDescent="0.25">
      <c r="A51" s="16" t="s">
        <v>93</v>
      </c>
      <c r="B51" s="16" t="s">
        <v>101</v>
      </c>
      <c r="C51" s="192">
        <v>9980022200</v>
      </c>
      <c r="D51" s="84" t="s">
        <v>134</v>
      </c>
      <c r="E51" s="100" t="s">
        <v>135</v>
      </c>
      <c r="F51" s="39">
        <v>1.3</v>
      </c>
      <c r="G51" s="39">
        <v>1.3</v>
      </c>
      <c r="H51" s="96">
        <f t="shared" si="1"/>
        <v>100</v>
      </c>
    </row>
    <row r="52" spans="1:8" ht="39.6" x14ac:dyDescent="0.25">
      <c r="A52" s="16" t="s">
        <v>93</v>
      </c>
      <c r="B52" s="16" t="s">
        <v>101</v>
      </c>
      <c r="C52" s="80">
        <v>9990000000</v>
      </c>
      <c r="D52" s="16"/>
      <c r="E52" s="54" t="s">
        <v>33</v>
      </c>
      <c r="F52" s="39">
        <f>F53</f>
        <v>1574.3999999999999</v>
      </c>
      <c r="G52" s="158">
        <f>G53</f>
        <v>1557.5</v>
      </c>
      <c r="H52" s="96">
        <f t="shared" si="1"/>
        <v>98.9</v>
      </c>
    </row>
    <row r="53" spans="1:8" ht="26.4" x14ac:dyDescent="0.25">
      <c r="A53" s="16" t="s">
        <v>93</v>
      </c>
      <c r="B53" s="16" t="s">
        <v>101</v>
      </c>
      <c r="C53" s="80">
        <v>9990022300</v>
      </c>
      <c r="D53" s="21"/>
      <c r="E53" s="190" t="s">
        <v>201</v>
      </c>
      <c r="F53" s="41">
        <f>F54+F55</f>
        <v>1574.3999999999999</v>
      </c>
      <c r="G53" s="41">
        <f>G54+G55</f>
        <v>1557.5</v>
      </c>
      <c r="H53" s="96">
        <f t="shared" si="1"/>
        <v>98.9</v>
      </c>
    </row>
    <row r="54" spans="1:8" ht="26.4" x14ac:dyDescent="0.25">
      <c r="A54" s="16" t="s">
        <v>93</v>
      </c>
      <c r="B54" s="16" t="s">
        <v>101</v>
      </c>
      <c r="C54" s="80">
        <v>9990022300</v>
      </c>
      <c r="D54" s="16" t="s">
        <v>68</v>
      </c>
      <c r="E54" s="190" t="s">
        <v>84</v>
      </c>
      <c r="F54" s="39">
        <f>1554.1-3.1-14.7+16.8</f>
        <v>1553.1</v>
      </c>
      <c r="G54" s="39">
        <v>1536.2</v>
      </c>
      <c r="H54" s="96">
        <f t="shared" si="1"/>
        <v>98.9</v>
      </c>
    </row>
    <row r="55" spans="1:8" ht="39.6" x14ac:dyDescent="0.25">
      <c r="A55" s="16" t="s">
        <v>93</v>
      </c>
      <c r="B55" s="16" t="s">
        <v>101</v>
      </c>
      <c r="C55" s="80">
        <v>9990022300</v>
      </c>
      <c r="D55" s="84" t="s">
        <v>212</v>
      </c>
      <c r="E55" s="100" t="s">
        <v>213</v>
      </c>
      <c r="F55" s="39">
        <f>3.5+3.1+14.7</f>
        <v>21.299999999999997</v>
      </c>
      <c r="G55" s="39">
        <f>3.5+3.1+14.7</f>
        <v>21.299999999999997</v>
      </c>
      <c r="H55" s="96">
        <f t="shared" si="1"/>
        <v>100</v>
      </c>
    </row>
    <row r="56" spans="1:8" ht="14.4" x14ac:dyDescent="0.3">
      <c r="A56" s="35" t="s">
        <v>93</v>
      </c>
      <c r="B56" s="35" t="s">
        <v>107</v>
      </c>
      <c r="C56" s="35"/>
      <c r="D56" s="35"/>
      <c r="E56" s="27" t="s">
        <v>5</v>
      </c>
      <c r="F56" s="42">
        <f>F57</f>
        <v>50</v>
      </c>
      <c r="G56" s="42">
        <f>G57</f>
        <v>0</v>
      </c>
      <c r="H56" s="58">
        <f t="shared" si="1"/>
        <v>0</v>
      </c>
    </row>
    <row r="57" spans="1:8" ht="26.4" x14ac:dyDescent="0.25">
      <c r="A57" s="16" t="s">
        <v>93</v>
      </c>
      <c r="B57" s="16" t="s">
        <v>107</v>
      </c>
      <c r="C57" s="80">
        <v>9900000000</v>
      </c>
      <c r="D57" s="16"/>
      <c r="E57" s="55" t="s">
        <v>144</v>
      </c>
      <c r="F57" s="96">
        <f>F58</f>
        <v>50</v>
      </c>
      <c r="G57" s="96">
        <f>G58</f>
        <v>0</v>
      </c>
      <c r="H57" s="96">
        <f t="shared" si="1"/>
        <v>0</v>
      </c>
    </row>
    <row r="58" spans="1:8" ht="14.4" x14ac:dyDescent="0.3">
      <c r="A58" s="16" t="s">
        <v>93</v>
      </c>
      <c r="B58" s="16" t="s">
        <v>107</v>
      </c>
      <c r="C58" s="80">
        <v>9920000000</v>
      </c>
      <c r="D58" s="35"/>
      <c r="E58" s="154" t="s">
        <v>5</v>
      </c>
      <c r="F58" s="96">
        <f t="shared" ref="F58:G59" si="9">F59</f>
        <v>50</v>
      </c>
      <c r="G58" s="96">
        <f t="shared" si="9"/>
        <v>0</v>
      </c>
      <c r="H58" s="96">
        <f t="shared" si="1"/>
        <v>0</v>
      </c>
    </row>
    <row r="59" spans="1:8" s="32" customFormat="1" ht="14.4" x14ac:dyDescent="0.3">
      <c r="A59" s="16" t="s">
        <v>93</v>
      </c>
      <c r="B59" s="16" t="s">
        <v>107</v>
      </c>
      <c r="C59" s="80">
        <v>9920026100</v>
      </c>
      <c r="D59" s="21"/>
      <c r="E59" s="102" t="s">
        <v>13</v>
      </c>
      <c r="F59" s="39">
        <f t="shared" si="9"/>
        <v>50</v>
      </c>
      <c r="G59" s="39">
        <f t="shared" si="9"/>
        <v>0</v>
      </c>
      <c r="H59" s="96">
        <f t="shared" si="1"/>
        <v>0</v>
      </c>
    </row>
    <row r="60" spans="1:8" s="32" customFormat="1" ht="14.4" x14ac:dyDescent="0.3">
      <c r="A60" s="16" t="s">
        <v>93</v>
      </c>
      <c r="B60" s="16" t="s">
        <v>107</v>
      </c>
      <c r="C60" s="80">
        <v>9920026100</v>
      </c>
      <c r="D60" s="16" t="s">
        <v>90</v>
      </c>
      <c r="E60" s="100" t="s">
        <v>91</v>
      </c>
      <c r="F60" s="39">
        <f>500-50-400</f>
        <v>50</v>
      </c>
      <c r="G60" s="98"/>
      <c r="H60" s="96">
        <f t="shared" si="1"/>
        <v>0</v>
      </c>
    </row>
    <row r="61" spans="1:8" s="32" customFormat="1" ht="14.4" x14ac:dyDescent="0.3">
      <c r="A61" s="30" t="s">
        <v>93</v>
      </c>
      <c r="B61" s="30" t="s">
        <v>9</v>
      </c>
      <c r="C61" s="33"/>
      <c r="D61" s="33"/>
      <c r="E61" s="45" t="s">
        <v>102</v>
      </c>
      <c r="F61" s="40">
        <f>F62+F76</f>
        <v>69839</v>
      </c>
      <c r="G61" s="40">
        <f>G62+G76</f>
        <v>51715.3</v>
      </c>
      <c r="H61" s="58">
        <f t="shared" si="1"/>
        <v>74</v>
      </c>
    </row>
    <row r="62" spans="1:8" s="32" customFormat="1" ht="68.25" customHeight="1" x14ac:dyDescent="0.3">
      <c r="A62" s="16" t="s">
        <v>93</v>
      </c>
      <c r="B62" s="16" t="s">
        <v>9</v>
      </c>
      <c r="C62" s="73" t="s">
        <v>75</v>
      </c>
      <c r="D62" s="16"/>
      <c r="E62" s="194" t="s">
        <v>484</v>
      </c>
      <c r="F62" s="98">
        <f>F63</f>
        <v>32080.899999999998</v>
      </c>
      <c r="G62" s="98">
        <f>G63</f>
        <v>15131.3</v>
      </c>
      <c r="H62" s="62">
        <f t="shared" si="1"/>
        <v>47.2</v>
      </c>
    </row>
    <row r="63" spans="1:8" s="32" customFormat="1" ht="27" x14ac:dyDescent="0.3">
      <c r="A63" s="16" t="s">
        <v>93</v>
      </c>
      <c r="B63" s="16" t="s">
        <v>9</v>
      </c>
      <c r="C63" s="52" t="s">
        <v>76</v>
      </c>
      <c r="D63" s="16"/>
      <c r="E63" s="48" t="s">
        <v>158</v>
      </c>
      <c r="F63" s="95">
        <f>F64+F66+F68+F70+F74</f>
        <v>32080.899999999998</v>
      </c>
      <c r="G63" s="95">
        <f>G64+G66+G68+G70+G74</f>
        <v>15131.3</v>
      </c>
      <c r="H63" s="58">
        <f t="shared" si="1"/>
        <v>47.2</v>
      </c>
    </row>
    <row r="64" spans="1:8" s="32" customFormat="1" ht="27" x14ac:dyDescent="0.3">
      <c r="A64" s="16" t="s">
        <v>93</v>
      </c>
      <c r="B64" s="16" t="s">
        <v>9</v>
      </c>
      <c r="C64" s="84" t="s">
        <v>485</v>
      </c>
      <c r="D64" s="16"/>
      <c r="E64" s="99" t="s">
        <v>159</v>
      </c>
      <c r="F64" s="41">
        <f t="shared" ref="F64:G64" si="10">F65</f>
        <v>349</v>
      </c>
      <c r="G64" s="41">
        <f t="shared" si="10"/>
        <v>309</v>
      </c>
      <c r="H64" s="96">
        <f t="shared" si="1"/>
        <v>88.5</v>
      </c>
    </row>
    <row r="65" spans="1:8" s="32" customFormat="1" ht="39.6" x14ac:dyDescent="0.3">
      <c r="A65" s="16" t="s">
        <v>93</v>
      </c>
      <c r="B65" s="16" t="s">
        <v>9</v>
      </c>
      <c r="C65" s="84" t="s">
        <v>485</v>
      </c>
      <c r="D65" s="84" t="s">
        <v>212</v>
      </c>
      <c r="E65" s="100" t="s">
        <v>213</v>
      </c>
      <c r="F65" s="41">
        <f>250+100-1</f>
        <v>349</v>
      </c>
      <c r="G65" s="41">
        <v>309</v>
      </c>
      <c r="H65" s="96">
        <f t="shared" si="1"/>
        <v>88.5</v>
      </c>
    </row>
    <row r="66" spans="1:8" s="32" customFormat="1" ht="40.200000000000003" x14ac:dyDescent="0.3">
      <c r="A66" s="16" t="s">
        <v>93</v>
      </c>
      <c r="B66" s="16" t="s">
        <v>9</v>
      </c>
      <c r="C66" s="195" t="s">
        <v>486</v>
      </c>
      <c r="D66" s="16"/>
      <c r="E66" s="99" t="s">
        <v>160</v>
      </c>
      <c r="F66" s="41">
        <f>F67</f>
        <v>237</v>
      </c>
      <c r="G66" s="41">
        <f>G67</f>
        <v>237</v>
      </c>
      <c r="H66" s="96">
        <f t="shared" si="1"/>
        <v>100</v>
      </c>
    </row>
    <row r="67" spans="1:8" s="32" customFormat="1" ht="39.6" x14ac:dyDescent="0.3">
      <c r="A67" s="16" t="s">
        <v>93</v>
      </c>
      <c r="B67" s="16" t="s">
        <v>9</v>
      </c>
      <c r="C67" s="195" t="s">
        <v>486</v>
      </c>
      <c r="D67" s="84" t="s">
        <v>212</v>
      </c>
      <c r="E67" s="100" t="s">
        <v>213</v>
      </c>
      <c r="F67" s="41">
        <f>100+50+50+36+1</f>
        <v>237</v>
      </c>
      <c r="G67" s="41">
        <f>100+50+50+36+1</f>
        <v>237</v>
      </c>
      <c r="H67" s="96">
        <f t="shared" si="1"/>
        <v>100</v>
      </c>
    </row>
    <row r="68" spans="1:8" s="32" customFormat="1" ht="66.599999999999994" x14ac:dyDescent="0.3">
      <c r="A68" s="16" t="s">
        <v>93</v>
      </c>
      <c r="B68" s="16" t="s">
        <v>9</v>
      </c>
      <c r="C68" s="195" t="s">
        <v>487</v>
      </c>
      <c r="D68" s="16"/>
      <c r="E68" s="99" t="s">
        <v>161</v>
      </c>
      <c r="F68" s="41">
        <f>F69</f>
        <v>209</v>
      </c>
      <c r="G68" s="41">
        <f>G69</f>
        <v>209</v>
      </c>
      <c r="H68" s="96">
        <f t="shared" si="1"/>
        <v>100</v>
      </c>
    </row>
    <row r="69" spans="1:8" s="32" customFormat="1" ht="39.6" x14ac:dyDescent="0.3">
      <c r="A69" s="16" t="s">
        <v>93</v>
      </c>
      <c r="B69" s="16" t="s">
        <v>9</v>
      </c>
      <c r="C69" s="195" t="s">
        <v>487</v>
      </c>
      <c r="D69" s="84" t="s">
        <v>212</v>
      </c>
      <c r="E69" s="100" t="s">
        <v>213</v>
      </c>
      <c r="F69" s="41">
        <f>110+99</f>
        <v>209</v>
      </c>
      <c r="G69" s="41">
        <f>110+99</f>
        <v>209</v>
      </c>
      <c r="H69" s="96">
        <f t="shared" si="1"/>
        <v>100</v>
      </c>
    </row>
    <row r="70" spans="1:8" s="32" customFormat="1" ht="40.200000000000003" x14ac:dyDescent="0.3">
      <c r="A70" s="16" t="s">
        <v>93</v>
      </c>
      <c r="B70" s="16" t="s">
        <v>9</v>
      </c>
      <c r="C70" s="195" t="s">
        <v>488</v>
      </c>
      <c r="D70" s="16"/>
      <c r="E70" s="99" t="s">
        <v>162</v>
      </c>
      <c r="F70" s="41">
        <f>SUM(F71:F73)</f>
        <v>29285.899999999998</v>
      </c>
      <c r="G70" s="41">
        <f>SUM(G71:G73)</f>
        <v>12376.3</v>
      </c>
      <c r="H70" s="96">
        <f t="shared" si="1"/>
        <v>42.3</v>
      </c>
    </row>
    <row r="71" spans="1:8" s="32" customFormat="1" ht="39.6" x14ac:dyDescent="0.3">
      <c r="A71" s="16" t="s">
        <v>93</v>
      </c>
      <c r="B71" s="16" t="s">
        <v>9</v>
      </c>
      <c r="C71" s="195" t="s">
        <v>488</v>
      </c>
      <c r="D71" s="84" t="s">
        <v>212</v>
      </c>
      <c r="E71" s="100" t="s">
        <v>213</v>
      </c>
      <c r="F71" s="109">
        <f>7420.6+1496+2743.1+363.3-50-100-692.1+200+1800-50-36+180+1497.8+15650+13.8-1497.8</f>
        <v>28938.699999999997</v>
      </c>
      <c r="G71" s="41">
        <v>12029.1</v>
      </c>
      <c r="H71" s="96">
        <f t="shared" si="1"/>
        <v>41.6</v>
      </c>
    </row>
    <row r="72" spans="1:8" s="32" customFormat="1" ht="18" customHeight="1" x14ac:dyDescent="0.3">
      <c r="A72" s="16" t="s">
        <v>93</v>
      </c>
      <c r="B72" s="16" t="s">
        <v>9</v>
      </c>
      <c r="C72" s="195" t="s">
        <v>488</v>
      </c>
      <c r="D72" s="84" t="s">
        <v>308</v>
      </c>
      <c r="E72" s="54" t="s">
        <v>309</v>
      </c>
      <c r="F72" s="41">
        <f>0.2+286.2</f>
        <v>286.39999999999998</v>
      </c>
      <c r="G72" s="41">
        <v>286.39999999999998</v>
      </c>
      <c r="H72" s="96">
        <f t="shared" si="1"/>
        <v>100</v>
      </c>
    </row>
    <row r="73" spans="1:8" s="32" customFormat="1" ht="14.4" x14ac:dyDescent="0.3">
      <c r="A73" s="16" t="s">
        <v>93</v>
      </c>
      <c r="B73" s="16" t="s">
        <v>9</v>
      </c>
      <c r="C73" s="195" t="s">
        <v>488</v>
      </c>
      <c r="D73" s="84" t="s">
        <v>134</v>
      </c>
      <c r="E73" s="100" t="s">
        <v>135</v>
      </c>
      <c r="F73" s="41">
        <v>60.8</v>
      </c>
      <c r="G73" s="158">
        <v>60.8</v>
      </c>
      <c r="H73" s="96">
        <f t="shared" si="1"/>
        <v>100</v>
      </c>
    </row>
    <row r="74" spans="1:8" s="32" customFormat="1" ht="39.6" x14ac:dyDescent="0.3">
      <c r="A74" s="16" t="s">
        <v>93</v>
      </c>
      <c r="B74" s="16" t="s">
        <v>9</v>
      </c>
      <c r="C74" s="195" t="s">
        <v>489</v>
      </c>
      <c r="D74" s="84"/>
      <c r="E74" s="100" t="s">
        <v>490</v>
      </c>
      <c r="F74" s="41">
        <f>F75</f>
        <v>2000</v>
      </c>
      <c r="G74" s="41">
        <f>G75</f>
        <v>2000</v>
      </c>
      <c r="H74" s="96">
        <f t="shared" si="1"/>
        <v>100</v>
      </c>
    </row>
    <row r="75" spans="1:8" s="32" customFormat="1" ht="54" customHeight="1" x14ac:dyDescent="0.3">
      <c r="A75" s="16" t="s">
        <v>93</v>
      </c>
      <c r="B75" s="16" t="s">
        <v>9</v>
      </c>
      <c r="C75" s="195" t="s">
        <v>489</v>
      </c>
      <c r="D75" s="83" t="s">
        <v>14</v>
      </c>
      <c r="E75" s="100" t="s">
        <v>380</v>
      </c>
      <c r="F75" s="41">
        <v>2000</v>
      </c>
      <c r="G75" s="41">
        <v>2000</v>
      </c>
      <c r="H75" s="96">
        <f t="shared" si="1"/>
        <v>100</v>
      </c>
    </row>
    <row r="76" spans="1:8" s="32" customFormat="1" ht="26.4" x14ac:dyDescent="0.3">
      <c r="A76" s="5" t="s">
        <v>93</v>
      </c>
      <c r="B76" s="5" t="s">
        <v>9</v>
      </c>
      <c r="C76" s="85">
        <v>9900000000</v>
      </c>
      <c r="D76" s="5"/>
      <c r="E76" s="86" t="s">
        <v>144</v>
      </c>
      <c r="F76" s="98">
        <f>F77+F86+F81</f>
        <v>37758.1</v>
      </c>
      <c r="G76" s="98">
        <f>G77+G86+G81</f>
        <v>36584</v>
      </c>
      <c r="H76" s="62">
        <f t="shared" si="1"/>
        <v>96.9</v>
      </c>
    </row>
    <row r="77" spans="1:8" s="32" customFormat="1" ht="27" x14ac:dyDescent="0.3">
      <c r="A77" s="16" t="s">
        <v>93</v>
      </c>
      <c r="B77" s="16" t="s">
        <v>9</v>
      </c>
      <c r="C77" s="80">
        <v>9930000000</v>
      </c>
      <c r="D77" s="16"/>
      <c r="E77" s="22" t="s">
        <v>45</v>
      </c>
      <c r="F77" s="39">
        <f>F78</f>
        <v>217</v>
      </c>
      <c r="G77" s="39">
        <f>G78</f>
        <v>212</v>
      </c>
      <c r="H77" s="96">
        <f t="shared" si="1"/>
        <v>97.7</v>
      </c>
    </row>
    <row r="78" spans="1:8" s="32" customFormat="1" ht="40.200000000000003" x14ac:dyDescent="0.3">
      <c r="A78" s="16" t="s">
        <v>93</v>
      </c>
      <c r="B78" s="16" t="s">
        <v>9</v>
      </c>
      <c r="C78" s="80">
        <v>9930010540</v>
      </c>
      <c r="D78" s="16"/>
      <c r="E78" s="22" t="s">
        <v>20</v>
      </c>
      <c r="F78" s="39">
        <f>F79+F80</f>
        <v>217</v>
      </c>
      <c r="G78" s="39">
        <f>G79+G80</f>
        <v>212</v>
      </c>
      <c r="H78" s="96">
        <f t="shared" si="1"/>
        <v>97.7</v>
      </c>
    </row>
    <row r="79" spans="1:8" s="32" customFormat="1" ht="26.4" x14ac:dyDescent="0.3">
      <c r="A79" s="16" t="s">
        <v>93</v>
      </c>
      <c r="B79" s="16" t="s">
        <v>9</v>
      </c>
      <c r="C79" s="80">
        <v>9930010540</v>
      </c>
      <c r="D79" s="16" t="s">
        <v>68</v>
      </c>
      <c r="E79" s="105" t="s">
        <v>69</v>
      </c>
      <c r="F79" s="39">
        <v>191.9</v>
      </c>
      <c r="G79" s="41">
        <v>191.9</v>
      </c>
      <c r="H79" s="96">
        <f t="shared" ref="H79:H136" si="11">ROUND((G79/F79*100),1)</f>
        <v>100</v>
      </c>
    </row>
    <row r="80" spans="1:8" s="32" customFormat="1" ht="39.6" x14ac:dyDescent="0.3">
      <c r="A80" s="16" t="s">
        <v>93</v>
      </c>
      <c r="B80" s="16" t="s">
        <v>9</v>
      </c>
      <c r="C80" s="80">
        <v>9930010540</v>
      </c>
      <c r="D80" s="84" t="s">
        <v>212</v>
      </c>
      <c r="E80" s="100" t="s">
        <v>213</v>
      </c>
      <c r="F80" s="39">
        <v>25.1</v>
      </c>
      <c r="G80" s="41">
        <v>20.100000000000001</v>
      </c>
      <c r="H80" s="96">
        <f t="shared" si="11"/>
        <v>80.099999999999994</v>
      </c>
    </row>
    <row r="81" spans="1:8" s="32" customFormat="1" ht="27" x14ac:dyDescent="0.3">
      <c r="A81" s="16" t="s">
        <v>93</v>
      </c>
      <c r="B81" s="16" t="s">
        <v>9</v>
      </c>
      <c r="C81" s="16" t="s">
        <v>29</v>
      </c>
      <c r="D81" s="16"/>
      <c r="E81" s="102" t="s">
        <v>43</v>
      </c>
      <c r="F81" s="39">
        <f>F82</f>
        <v>5596.8</v>
      </c>
      <c r="G81" s="39">
        <f>G82</f>
        <v>5593.8</v>
      </c>
      <c r="H81" s="96">
        <f t="shared" si="11"/>
        <v>99.9</v>
      </c>
    </row>
    <row r="82" spans="1:8" s="32" customFormat="1" ht="27" x14ac:dyDescent="0.3">
      <c r="A82" s="16" t="s">
        <v>93</v>
      </c>
      <c r="B82" s="16" t="s">
        <v>9</v>
      </c>
      <c r="C82" s="83" t="s">
        <v>491</v>
      </c>
      <c r="D82" s="16"/>
      <c r="E82" s="102" t="s">
        <v>44</v>
      </c>
      <c r="F82" s="39">
        <f>SUM(F83:F85)</f>
        <v>5596.8</v>
      </c>
      <c r="G82" s="39">
        <f>SUM(G83:G85)</f>
        <v>5593.8</v>
      </c>
      <c r="H82" s="96">
        <f t="shared" si="11"/>
        <v>99.9</v>
      </c>
    </row>
    <row r="83" spans="1:8" s="32" customFormat="1" ht="39.6" x14ac:dyDescent="0.3">
      <c r="A83" s="16" t="s">
        <v>93</v>
      </c>
      <c r="B83" s="16" t="s">
        <v>9</v>
      </c>
      <c r="C83" s="83" t="s">
        <v>491</v>
      </c>
      <c r="D83" s="84" t="s">
        <v>212</v>
      </c>
      <c r="E83" s="100" t="s">
        <v>213</v>
      </c>
      <c r="F83" s="39">
        <f>242-7.7</f>
        <v>234.3</v>
      </c>
      <c r="G83" s="39">
        <v>231.3</v>
      </c>
      <c r="H83" s="96">
        <f t="shared" si="11"/>
        <v>98.7</v>
      </c>
    </row>
    <row r="84" spans="1:8" s="32" customFormat="1" ht="14.4" x14ac:dyDescent="0.3">
      <c r="A84" s="16" t="s">
        <v>93</v>
      </c>
      <c r="B84" s="16" t="s">
        <v>9</v>
      </c>
      <c r="C84" s="83" t="s">
        <v>491</v>
      </c>
      <c r="D84" s="16" t="s">
        <v>87</v>
      </c>
      <c r="E84" s="100" t="s">
        <v>88</v>
      </c>
      <c r="F84" s="39">
        <f>426-196.1</f>
        <v>229.9</v>
      </c>
      <c r="G84" s="39">
        <v>229.9</v>
      </c>
      <c r="H84" s="96">
        <f t="shared" si="11"/>
        <v>100</v>
      </c>
    </row>
    <row r="85" spans="1:8" s="32" customFormat="1" ht="14.4" x14ac:dyDescent="0.3">
      <c r="A85" s="16" t="s">
        <v>93</v>
      </c>
      <c r="B85" s="16" t="s">
        <v>9</v>
      </c>
      <c r="C85" s="83" t="s">
        <v>491</v>
      </c>
      <c r="D85" s="83" t="s">
        <v>134</v>
      </c>
      <c r="E85" s="100" t="s">
        <v>135</v>
      </c>
      <c r="F85" s="39">
        <f>602-1+1000+2886+441.8+203.8</f>
        <v>5132.6000000000004</v>
      </c>
      <c r="G85" s="39">
        <v>5132.6000000000004</v>
      </c>
      <c r="H85" s="96">
        <f t="shared" si="11"/>
        <v>100</v>
      </c>
    </row>
    <row r="86" spans="1:8" s="32" customFormat="1" ht="27" x14ac:dyDescent="0.3">
      <c r="A86" s="16" t="s">
        <v>93</v>
      </c>
      <c r="B86" s="16" t="s">
        <v>9</v>
      </c>
      <c r="C86" s="84" t="s">
        <v>194</v>
      </c>
      <c r="D86" s="16"/>
      <c r="E86" s="102" t="s">
        <v>195</v>
      </c>
      <c r="F86" s="39">
        <f>F87+F90</f>
        <v>31944.299999999996</v>
      </c>
      <c r="G86" s="39">
        <f>G87+G90</f>
        <v>30778.199999999997</v>
      </c>
      <c r="H86" s="96">
        <f t="shared" si="11"/>
        <v>96.3</v>
      </c>
    </row>
    <row r="87" spans="1:8" s="32" customFormat="1" ht="39.6" x14ac:dyDescent="0.3">
      <c r="A87" s="16" t="s">
        <v>93</v>
      </c>
      <c r="B87" s="16" t="s">
        <v>9</v>
      </c>
      <c r="C87" s="21" t="s">
        <v>492</v>
      </c>
      <c r="D87" s="47"/>
      <c r="E87" s="54" t="s">
        <v>289</v>
      </c>
      <c r="F87" s="41">
        <f>SUM(F88:F89)</f>
        <v>8859.7999999999993</v>
      </c>
      <c r="G87" s="41">
        <f>SUM(G88:G89)</f>
        <v>8848.1999999999989</v>
      </c>
      <c r="H87" s="96">
        <f t="shared" si="11"/>
        <v>99.9</v>
      </c>
    </row>
    <row r="88" spans="1:8" s="32" customFormat="1" ht="26.4" x14ac:dyDescent="0.3">
      <c r="A88" s="16" t="s">
        <v>93</v>
      </c>
      <c r="B88" s="16" t="s">
        <v>9</v>
      </c>
      <c r="C88" s="21" t="s">
        <v>492</v>
      </c>
      <c r="D88" s="16" t="s">
        <v>70</v>
      </c>
      <c r="E88" s="105" t="s">
        <v>133</v>
      </c>
      <c r="F88" s="41">
        <f>8093.2+15.4-175.2+145.4</f>
        <v>8078.7999999999993</v>
      </c>
      <c r="G88" s="39">
        <v>8072.4</v>
      </c>
      <c r="H88" s="96">
        <f t="shared" si="11"/>
        <v>99.9</v>
      </c>
    </row>
    <row r="89" spans="1:8" s="32" customFormat="1" ht="39.6" x14ac:dyDescent="0.3">
      <c r="A89" s="16" t="s">
        <v>93</v>
      </c>
      <c r="B89" s="16" t="s">
        <v>9</v>
      </c>
      <c r="C89" s="21" t="s">
        <v>492</v>
      </c>
      <c r="D89" s="84" t="s">
        <v>212</v>
      </c>
      <c r="E89" s="100" t="s">
        <v>213</v>
      </c>
      <c r="F89" s="41">
        <f>796.4-15.4</f>
        <v>781</v>
      </c>
      <c r="G89" s="39">
        <v>775.8</v>
      </c>
      <c r="H89" s="96">
        <f t="shared" si="11"/>
        <v>99.3</v>
      </c>
    </row>
    <row r="90" spans="1:8" s="32" customFormat="1" ht="52.8" x14ac:dyDescent="0.3">
      <c r="A90" s="16" t="s">
        <v>93</v>
      </c>
      <c r="B90" s="16" t="s">
        <v>9</v>
      </c>
      <c r="C90" s="21" t="s">
        <v>493</v>
      </c>
      <c r="D90" s="47"/>
      <c r="E90" s="54" t="s">
        <v>494</v>
      </c>
      <c r="F90" s="41">
        <f>SUM(F91:F94)</f>
        <v>23084.499999999996</v>
      </c>
      <c r="G90" s="41">
        <f>SUM(G91:G94)</f>
        <v>21930</v>
      </c>
      <c r="H90" s="96">
        <f t="shared" si="11"/>
        <v>95</v>
      </c>
    </row>
    <row r="91" spans="1:8" s="32" customFormat="1" ht="26.4" x14ac:dyDescent="0.3">
      <c r="A91" s="16" t="s">
        <v>93</v>
      </c>
      <c r="B91" s="16" t="s">
        <v>9</v>
      </c>
      <c r="C91" s="21" t="s">
        <v>493</v>
      </c>
      <c r="D91" s="16" t="s">
        <v>70</v>
      </c>
      <c r="E91" s="105" t="s">
        <v>133</v>
      </c>
      <c r="F91" s="41">
        <f>9083.3+429.9+366.5</f>
        <v>9879.6999999999989</v>
      </c>
      <c r="G91" s="282">
        <v>9433.9</v>
      </c>
      <c r="H91" s="96">
        <f t="shared" si="11"/>
        <v>95.5</v>
      </c>
    </row>
    <row r="92" spans="1:8" s="32" customFormat="1" ht="39.6" x14ac:dyDescent="0.3">
      <c r="A92" s="16" t="s">
        <v>93</v>
      </c>
      <c r="B92" s="16" t="s">
        <v>9</v>
      </c>
      <c r="C92" s="21" t="s">
        <v>493</v>
      </c>
      <c r="D92" s="84" t="s">
        <v>212</v>
      </c>
      <c r="E92" s="100" t="s">
        <v>213</v>
      </c>
      <c r="F92" s="41">
        <f>13621.8-110.7-429.9</f>
        <v>13081.199999999999</v>
      </c>
      <c r="G92" s="39">
        <v>12428.2</v>
      </c>
      <c r="H92" s="96">
        <f t="shared" si="11"/>
        <v>95</v>
      </c>
    </row>
    <row r="93" spans="1:8" s="32" customFormat="1" ht="14.4" x14ac:dyDescent="0.3">
      <c r="A93" s="16" t="s">
        <v>93</v>
      </c>
      <c r="B93" s="16" t="s">
        <v>9</v>
      </c>
      <c r="C93" s="21" t="s">
        <v>493</v>
      </c>
      <c r="D93" s="84" t="s">
        <v>308</v>
      </c>
      <c r="E93" s="100" t="s">
        <v>309</v>
      </c>
      <c r="F93" s="115">
        <v>0.1</v>
      </c>
      <c r="G93" s="41">
        <v>0</v>
      </c>
      <c r="H93" s="96">
        <f t="shared" si="11"/>
        <v>0</v>
      </c>
    </row>
    <row r="94" spans="1:8" s="32" customFormat="1" ht="14.4" x14ac:dyDescent="0.3">
      <c r="A94" s="16" t="s">
        <v>93</v>
      </c>
      <c r="B94" s="16" t="s">
        <v>9</v>
      </c>
      <c r="C94" s="21" t="s">
        <v>493</v>
      </c>
      <c r="D94" s="84" t="s">
        <v>134</v>
      </c>
      <c r="E94" s="100" t="s">
        <v>135</v>
      </c>
      <c r="F94" s="115">
        <f>123.6-0.1</f>
        <v>123.5</v>
      </c>
      <c r="G94" s="41">
        <v>67.900000000000006</v>
      </c>
      <c r="H94" s="96">
        <f t="shared" si="11"/>
        <v>55</v>
      </c>
    </row>
    <row r="95" spans="1:8" s="32" customFormat="1" ht="28.2" x14ac:dyDescent="0.3">
      <c r="A95" s="4" t="s">
        <v>98</v>
      </c>
      <c r="B95" s="3"/>
      <c r="C95" s="3"/>
      <c r="D95" s="3"/>
      <c r="E95" s="49" t="s">
        <v>103</v>
      </c>
      <c r="F95" s="94">
        <f>F96+F102+F128</f>
        <v>9009.3000000000011</v>
      </c>
      <c r="G95" s="94">
        <f>G96+G102+G128</f>
        <v>8988.4000000000015</v>
      </c>
      <c r="H95" s="160">
        <f t="shared" si="11"/>
        <v>99.8</v>
      </c>
    </row>
    <row r="96" spans="1:8" s="32" customFormat="1" ht="14.4" x14ac:dyDescent="0.3">
      <c r="A96" s="28" t="s">
        <v>98</v>
      </c>
      <c r="B96" s="28" t="s">
        <v>99</v>
      </c>
      <c r="C96" s="28"/>
      <c r="D96" s="34"/>
      <c r="E96" s="46" t="s">
        <v>22</v>
      </c>
      <c r="F96" s="40">
        <f>F99</f>
        <v>1196.7</v>
      </c>
      <c r="G96" s="40">
        <f>G99</f>
        <v>1196.7</v>
      </c>
      <c r="H96" s="42">
        <f t="shared" si="11"/>
        <v>100</v>
      </c>
    </row>
    <row r="97" spans="1:8" s="32" customFormat="1" ht="26.4" x14ac:dyDescent="0.3">
      <c r="A97" s="16" t="s">
        <v>98</v>
      </c>
      <c r="B97" s="16" t="s">
        <v>99</v>
      </c>
      <c r="C97" s="80">
        <v>9900000000</v>
      </c>
      <c r="D97" s="34"/>
      <c r="E97" s="55" t="s">
        <v>144</v>
      </c>
      <c r="F97" s="41">
        <f t="shared" ref="F97:G98" si="12">F98</f>
        <v>1196.7</v>
      </c>
      <c r="G97" s="41">
        <f t="shared" si="12"/>
        <v>1196.7</v>
      </c>
      <c r="H97" s="96">
        <f t="shared" si="11"/>
        <v>100</v>
      </c>
    </row>
    <row r="98" spans="1:8" s="32" customFormat="1" ht="27" x14ac:dyDescent="0.3">
      <c r="A98" s="16" t="s">
        <v>98</v>
      </c>
      <c r="B98" s="16" t="s">
        <v>99</v>
      </c>
      <c r="C98" s="80">
        <v>9930000000</v>
      </c>
      <c r="D98" s="16"/>
      <c r="E98" s="22" t="s">
        <v>45</v>
      </c>
      <c r="F98" s="41">
        <f t="shared" si="12"/>
        <v>1196.7</v>
      </c>
      <c r="G98" s="41">
        <f t="shared" si="12"/>
        <v>1196.7</v>
      </c>
      <c r="H98" s="96">
        <f t="shared" si="11"/>
        <v>100</v>
      </c>
    </row>
    <row r="99" spans="1:8" s="32" customFormat="1" ht="40.200000000000003" x14ac:dyDescent="0.3">
      <c r="A99" s="16" t="s">
        <v>98</v>
      </c>
      <c r="B99" s="16" t="s">
        <v>99</v>
      </c>
      <c r="C99" s="80">
        <v>9930059302</v>
      </c>
      <c r="D99" s="16"/>
      <c r="E99" s="190" t="s">
        <v>379</v>
      </c>
      <c r="F99" s="39">
        <f t="shared" ref="F99:G99" si="13">SUM(F100:F101)</f>
        <v>1196.7</v>
      </c>
      <c r="G99" s="39">
        <f t="shared" si="13"/>
        <v>1196.7</v>
      </c>
      <c r="H99" s="96">
        <f t="shared" si="11"/>
        <v>100</v>
      </c>
    </row>
    <row r="100" spans="1:8" s="32" customFormat="1" ht="26.4" x14ac:dyDescent="0.3">
      <c r="A100" s="16" t="s">
        <v>98</v>
      </c>
      <c r="B100" s="16" t="s">
        <v>99</v>
      </c>
      <c r="C100" s="80">
        <v>9930059302</v>
      </c>
      <c r="D100" s="16" t="s">
        <v>68</v>
      </c>
      <c r="E100" s="55" t="s">
        <v>69</v>
      </c>
      <c r="F100" s="39">
        <v>1057.4000000000001</v>
      </c>
      <c r="G100" s="39">
        <v>1057.4000000000001</v>
      </c>
      <c r="H100" s="96">
        <f t="shared" si="11"/>
        <v>100</v>
      </c>
    </row>
    <row r="101" spans="1:8" s="32" customFormat="1" ht="39.6" x14ac:dyDescent="0.3">
      <c r="A101" s="16" t="s">
        <v>98</v>
      </c>
      <c r="B101" s="16" t="s">
        <v>99</v>
      </c>
      <c r="C101" s="80">
        <v>9930059302</v>
      </c>
      <c r="D101" s="84" t="s">
        <v>212</v>
      </c>
      <c r="E101" s="100" t="s">
        <v>213</v>
      </c>
      <c r="F101" s="39">
        <v>139.30000000000001</v>
      </c>
      <c r="G101" s="39">
        <v>139.30000000000001</v>
      </c>
      <c r="H101" s="96">
        <f t="shared" si="11"/>
        <v>100</v>
      </c>
    </row>
    <row r="102" spans="1:8" s="32" customFormat="1" ht="53.4" x14ac:dyDescent="0.3">
      <c r="A102" s="28" t="s">
        <v>98</v>
      </c>
      <c r="B102" s="28" t="s">
        <v>115</v>
      </c>
      <c r="C102" s="28"/>
      <c r="D102" s="34"/>
      <c r="E102" s="48" t="s">
        <v>392</v>
      </c>
      <c r="F102" s="40">
        <f>F103+F123</f>
        <v>7796.5000000000009</v>
      </c>
      <c r="G102" s="40">
        <f>G103+G123</f>
        <v>7775.6000000000013</v>
      </c>
      <c r="H102" s="96">
        <f t="shared" si="11"/>
        <v>99.7</v>
      </c>
    </row>
    <row r="103" spans="1:8" s="32" customFormat="1" ht="75.75" customHeight="1" x14ac:dyDescent="0.3">
      <c r="A103" s="21" t="s">
        <v>98</v>
      </c>
      <c r="B103" s="21" t="s">
        <v>115</v>
      </c>
      <c r="C103" s="73" t="s">
        <v>55</v>
      </c>
      <c r="D103" s="16"/>
      <c r="E103" s="64" t="s">
        <v>495</v>
      </c>
      <c r="F103" s="59">
        <f>F104+F109+F113+F118</f>
        <v>2599.8000000000002</v>
      </c>
      <c r="G103" s="59">
        <f>G104+G109+G113+G118</f>
        <v>2595.3000000000002</v>
      </c>
      <c r="H103" s="160">
        <f t="shared" si="11"/>
        <v>99.8</v>
      </c>
    </row>
    <row r="104" spans="1:8" s="32" customFormat="1" ht="39" customHeight="1" x14ac:dyDescent="0.3">
      <c r="A104" s="21" t="s">
        <v>98</v>
      </c>
      <c r="B104" s="21" t="s">
        <v>115</v>
      </c>
      <c r="C104" s="52" t="s">
        <v>56</v>
      </c>
      <c r="D104" s="16"/>
      <c r="E104" s="48" t="s">
        <v>204</v>
      </c>
      <c r="F104" s="95">
        <f>F105+F107</f>
        <v>85</v>
      </c>
      <c r="G104" s="95">
        <f>G105+G107</f>
        <v>85</v>
      </c>
      <c r="H104" s="58">
        <f t="shared" si="11"/>
        <v>100</v>
      </c>
    </row>
    <row r="105" spans="1:8" ht="26.4" x14ac:dyDescent="0.25">
      <c r="A105" s="21" t="s">
        <v>98</v>
      </c>
      <c r="B105" s="21" t="s">
        <v>115</v>
      </c>
      <c r="C105" s="74">
        <v>1110123305</v>
      </c>
      <c r="D105" s="16"/>
      <c r="E105" s="102" t="s">
        <v>218</v>
      </c>
      <c r="F105" s="39">
        <f>F106</f>
        <v>60</v>
      </c>
      <c r="G105" s="39">
        <f>G106</f>
        <v>60</v>
      </c>
      <c r="H105" s="96">
        <f t="shared" si="11"/>
        <v>100</v>
      </c>
    </row>
    <row r="106" spans="1:8" ht="39.6" x14ac:dyDescent="0.25">
      <c r="A106" s="21" t="s">
        <v>98</v>
      </c>
      <c r="B106" s="21" t="s">
        <v>115</v>
      </c>
      <c r="C106" s="74">
        <v>1110123305</v>
      </c>
      <c r="D106" s="84" t="s">
        <v>212</v>
      </c>
      <c r="E106" s="100" t="s">
        <v>213</v>
      </c>
      <c r="F106" s="39">
        <v>60</v>
      </c>
      <c r="G106" s="39">
        <v>60</v>
      </c>
      <c r="H106" s="58">
        <f t="shared" si="11"/>
        <v>100</v>
      </c>
    </row>
    <row r="107" spans="1:8" ht="38.25" customHeight="1" x14ac:dyDescent="0.25">
      <c r="A107" s="21" t="s">
        <v>98</v>
      </c>
      <c r="B107" s="21" t="s">
        <v>115</v>
      </c>
      <c r="C107" s="74">
        <v>1110123310</v>
      </c>
      <c r="D107" s="16"/>
      <c r="E107" s="102" t="s">
        <v>206</v>
      </c>
      <c r="F107" s="41">
        <f>F108</f>
        <v>25</v>
      </c>
      <c r="G107" s="41">
        <f>G108</f>
        <v>25</v>
      </c>
      <c r="H107" s="96">
        <f t="shared" si="11"/>
        <v>100</v>
      </c>
    </row>
    <row r="108" spans="1:8" ht="39.6" x14ac:dyDescent="0.25">
      <c r="A108" s="21" t="s">
        <v>98</v>
      </c>
      <c r="B108" s="21" t="s">
        <v>115</v>
      </c>
      <c r="C108" s="74">
        <v>1110123310</v>
      </c>
      <c r="D108" s="84" t="s">
        <v>212</v>
      </c>
      <c r="E108" s="100" t="s">
        <v>213</v>
      </c>
      <c r="F108" s="41">
        <v>25</v>
      </c>
      <c r="G108" s="41">
        <v>25</v>
      </c>
      <c r="H108" s="96">
        <f t="shared" si="11"/>
        <v>100</v>
      </c>
    </row>
    <row r="109" spans="1:8" ht="39.6" x14ac:dyDescent="0.25">
      <c r="A109" s="21" t="s">
        <v>98</v>
      </c>
      <c r="B109" s="21" t="s">
        <v>115</v>
      </c>
      <c r="C109" s="52" t="s">
        <v>57</v>
      </c>
      <c r="D109" s="16"/>
      <c r="E109" s="48" t="s">
        <v>200</v>
      </c>
      <c r="F109" s="95">
        <f>F110</f>
        <v>2494.8000000000002</v>
      </c>
      <c r="G109" s="95">
        <f>G110</f>
        <v>2490.3000000000002</v>
      </c>
      <c r="H109" s="96">
        <f t="shared" si="11"/>
        <v>99.8</v>
      </c>
    </row>
    <row r="110" spans="1:8" ht="39.6" x14ac:dyDescent="0.25">
      <c r="A110" s="21" t="s">
        <v>98</v>
      </c>
      <c r="B110" s="21" t="s">
        <v>115</v>
      </c>
      <c r="C110" s="74">
        <v>1120123315</v>
      </c>
      <c r="D110" s="16"/>
      <c r="E110" s="100" t="s">
        <v>496</v>
      </c>
      <c r="F110" s="41">
        <f>SUM(F111:F112)</f>
        <v>2494.8000000000002</v>
      </c>
      <c r="G110" s="41">
        <f>SUM(G111:G112)</f>
        <v>2490.3000000000002</v>
      </c>
      <c r="H110" s="96">
        <f t="shared" si="11"/>
        <v>99.8</v>
      </c>
    </row>
    <row r="111" spans="1:8" s="32" customFormat="1" ht="26.4" x14ac:dyDescent="0.3">
      <c r="A111" s="21" t="s">
        <v>98</v>
      </c>
      <c r="B111" s="21" t="s">
        <v>115</v>
      </c>
      <c r="C111" s="74">
        <v>1120123315</v>
      </c>
      <c r="D111" s="84" t="s">
        <v>70</v>
      </c>
      <c r="E111" s="55" t="s">
        <v>133</v>
      </c>
      <c r="F111" s="41">
        <f>51.2+12.8</f>
        <v>64</v>
      </c>
      <c r="G111" s="41">
        <f>51.2+12.8</f>
        <v>64</v>
      </c>
      <c r="H111" s="96">
        <f t="shared" si="11"/>
        <v>100</v>
      </c>
    </row>
    <row r="112" spans="1:8" s="32" customFormat="1" ht="39.6" x14ac:dyDescent="0.3">
      <c r="A112" s="21" t="s">
        <v>98</v>
      </c>
      <c r="B112" s="21" t="s">
        <v>115</v>
      </c>
      <c r="C112" s="74">
        <v>1120123315</v>
      </c>
      <c r="D112" s="84" t="s">
        <v>212</v>
      </c>
      <c r="E112" s="100" t="s">
        <v>213</v>
      </c>
      <c r="F112" s="41">
        <f>2408.3+46.3-11-12.8</f>
        <v>2430.8000000000002</v>
      </c>
      <c r="G112" s="41">
        <v>2426.3000000000002</v>
      </c>
      <c r="H112" s="96">
        <f t="shared" si="11"/>
        <v>99.8</v>
      </c>
    </row>
    <row r="113" spans="1:8" s="32" customFormat="1" ht="39.75" customHeight="1" x14ac:dyDescent="0.3">
      <c r="A113" s="21" t="s">
        <v>98</v>
      </c>
      <c r="B113" s="21" t="s">
        <v>115</v>
      </c>
      <c r="C113" s="52" t="s">
        <v>58</v>
      </c>
      <c r="D113" s="16"/>
      <c r="E113" s="48" t="s">
        <v>254</v>
      </c>
      <c r="F113" s="95">
        <f>F114+F116</f>
        <v>5</v>
      </c>
      <c r="G113" s="95">
        <f>G114+G116</f>
        <v>5</v>
      </c>
      <c r="H113" s="58">
        <f t="shared" si="11"/>
        <v>100</v>
      </c>
    </row>
    <row r="114" spans="1:8" s="32" customFormat="1" ht="26.4" x14ac:dyDescent="0.3">
      <c r="A114" s="21" t="s">
        <v>98</v>
      </c>
      <c r="B114" s="21" t="s">
        <v>115</v>
      </c>
      <c r="C114" s="74">
        <v>1130123320</v>
      </c>
      <c r="D114" s="16"/>
      <c r="E114" s="100" t="s">
        <v>255</v>
      </c>
      <c r="F114" s="41">
        <f>F115</f>
        <v>4</v>
      </c>
      <c r="G114" s="39">
        <f>G115</f>
        <v>4</v>
      </c>
      <c r="H114" s="96">
        <f t="shared" si="11"/>
        <v>100</v>
      </c>
    </row>
    <row r="115" spans="1:8" s="32" customFormat="1" ht="39.6" x14ac:dyDescent="0.3">
      <c r="A115" s="21" t="s">
        <v>98</v>
      </c>
      <c r="B115" s="21" t="s">
        <v>115</v>
      </c>
      <c r="C115" s="74">
        <v>1130123320</v>
      </c>
      <c r="D115" s="84" t="s">
        <v>212</v>
      </c>
      <c r="E115" s="100" t="s">
        <v>213</v>
      </c>
      <c r="F115" s="41">
        <v>4</v>
      </c>
      <c r="G115" s="41">
        <v>4</v>
      </c>
      <c r="H115" s="96">
        <f t="shared" si="11"/>
        <v>100</v>
      </c>
    </row>
    <row r="116" spans="1:8" s="32" customFormat="1" ht="28.5" customHeight="1" x14ac:dyDescent="0.3">
      <c r="A116" s="21" t="s">
        <v>98</v>
      </c>
      <c r="B116" s="21" t="s">
        <v>115</v>
      </c>
      <c r="C116" s="74">
        <v>1130123325</v>
      </c>
      <c r="D116" s="16"/>
      <c r="E116" s="100" t="s">
        <v>222</v>
      </c>
      <c r="F116" s="41">
        <f>F117</f>
        <v>1</v>
      </c>
      <c r="G116" s="41">
        <f>G117</f>
        <v>1</v>
      </c>
      <c r="H116" s="96">
        <f t="shared" si="11"/>
        <v>100</v>
      </c>
    </row>
    <row r="117" spans="1:8" s="32" customFormat="1" ht="39.6" x14ac:dyDescent="0.3">
      <c r="A117" s="21" t="s">
        <v>98</v>
      </c>
      <c r="B117" s="21" t="s">
        <v>115</v>
      </c>
      <c r="C117" s="74">
        <v>1130123325</v>
      </c>
      <c r="D117" s="84" t="s">
        <v>212</v>
      </c>
      <c r="E117" s="100" t="s">
        <v>213</v>
      </c>
      <c r="F117" s="41">
        <v>1</v>
      </c>
      <c r="G117" s="41">
        <v>1</v>
      </c>
      <c r="H117" s="96">
        <f t="shared" si="11"/>
        <v>100</v>
      </c>
    </row>
    <row r="118" spans="1:8" s="32" customFormat="1" ht="53.4" x14ac:dyDescent="0.3">
      <c r="A118" s="21" t="s">
        <v>98</v>
      </c>
      <c r="B118" s="21" t="s">
        <v>115</v>
      </c>
      <c r="C118" s="52" t="s">
        <v>59</v>
      </c>
      <c r="D118" s="16"/>
      <c r="E118" s="48" t="s">
        <v>205</v>
      </c>
      <c r="F118" s="95">
        <f>F119+F121</f>
        <v>15</v>
      </c>
      <c r="G118" s="95">
        <f>G119+G121</f>
        <v>15</v>
      </c>
      <c r="H118" s="58">
        <f t="shared" si="11"/>
        <v>100</v>
      </c>
    </row>
    <row r="119" spans="1:8" s="32" customFormat="1" ht="26.4" x14ac:dyDescent="0.3">
      <c r="A119" s="21" t="s">
        <v>98</v>
      </c>
      <c r="B119" s="21" t="s">
        <v>115</v>
      </c>
      <c r="C119" s="74">
        <v>1140123330</v>
      </c>
      <c r="D119" s="16"/>
      <c r="E119" s="100" t="s">
        <v>497</v>
      </c>
      <c r="F119" s="41">
        <f>F120</f>
        <v>12</v>
      </c>
      <c r="G119" s="41">
        <f>G120</f>
        <v>12</v>
      </c>
      <c r="H119" s="96">
        <f t="shared" si="11"/>
        <v>100</v>
      </c>
    </row>
    <row r="120" spans="1:8" s="32" customFormat="1" ht="39.6" x14ac:dyDescent="0.3">
      <c r="A120" s="21" t="s">
        <v>98</v>
      </c>
      <c r="B120" s="21" t="s">
        <v>115</v>
      </c>
      <c r="C120" s="74">
        <v>1140123330</v>
      </c>
      <c r="D120" s="84" t="s">
        <v>212</v>
      </c>
      <c r="E120" s="100" t="s">
        <v>213</v>
      </c>
      <c r="F120" s="41">
        <v>12</v>
      </c>
      <c r="G120" s="41">
        <v>12</v>
      </c>
      <c r="H120" s="96">
        <f t="shared" si="11"/>
        <v>100</v>
      </c>
    </row>
    <row r="121" spans="1:8" s="32" customFormat="1" ht="26.4" x14ac:dyDescent="0.3">
      <c r="A121" s="21" t="s">
        <v>98</v>
      </c>
      <c r="B121" s="21" t="s">
        <v>115</v>
      </c>
      <c r="C121" s="74">
        <v>1140123335</v>
      </c>
      <c r="D121" s="16"/>
      <c r="E121" s="100" t="s">
        <v>224</v>
      </c>
      <c r="F121" s="41">
        <f>F122</f>
        <v>3</v>
      </c>
      <c r="G121" s="41">
        <f>G122</f>
        <v>3</v>
      </c>
      <c r="H121" s="96">
        <f t="shared" si="11"/>
        <v>100</v>
      </c>
    </row>
    <row r="122" spans="1:8" s="32" customFormat="1" ht="39.6" x14ac:dyDescent="0.3">
      <c r="A122" s="21" t="s">
        <v>98</v>
      </c>
      <c r="B122" s="21" t="s">
        <v>115</v>
      </c>
      <c r="C122" s="74">
        <v>1140123335</v>
      </c>
      <c r="D122" s="84" t="s">
        <v>212</v>
      </c>
      <c r="E122" s="100" t="s">
        <v>213</v>
      </c>
      <c r="F122" s="41">
        <v>3</v>
      </c>
      <c r="G122" s="41">
        <v>3</v>
      </c>
      <c r="H122" s="96">
        <f t="shared" si="11"/>
        <v>100</v>
      </c>
    </row>
    <row r="123" spans="1:8" s="32" customFormat="1" ht="26.4" x14ac:dyDescent="0.3">
      <c r="A123" s="82" t="s">
        <v>98</v>
      </c>
      <c r="B123" s="82" t="s">
        <v>115</v>
      </c>
      <c r="C123" s="73" t="s">
        <v>194</v>
      </c>
      <c r="D123" s="33"/>
      <c r="E123" s="86" t="s">
        <v>144</v>
      </c>
      <c r="F123" s="98">
        <f>F124</f>
        <v>5196.7000000000007</v>
      </c>
      <c r="G123" s="98">
        <f>G124</f>
        <v>5180.3000000000011</v>
      </c>
      <c r="H123" s="62">
        <f t="shared" si="11"/>
        <v>99.7</v>
      </c>
    </row>
    <row r="124" spans="1:8" s="32" customFormat="1" ht="52.8" x14ac:dyDescent="0.3">
      <c r="A124" s="21" t="s">
        <v>98</v>
      </c>
      <c r="B124" s="21" t="s">
        <v>115</v>
      </c>
      <c r="C124" s="21" t="s">
        <v>498</v>
      </c>
      <c r="D124" s="47"/>
      <c r="E124" s="54" t="s">
        <v>499</v>
      </c>
      <c r="F124" s="41">
        <f>SUM(F125:F127)</f>
        <v>5196.7000000000007</v>
      </c>
      <c r="G124" s="41">
        <f>SUM(G125:G127)</f>
        <v>5180.3000000000011</v>
      </c>
      <c r="H124" s="58">
        <f t="shared" si="11"/>
        <v>99.7</v>
      </c>
    </row>
    <row r="125" spans="1:8" s="32" customFormat="1" ht="26.4" x14ac:dyDescent="0.3">
      <c r="A125" s="21" t="s">
        <v>98</v>
      </c>
      <c r="B125" s="21" t="s">
        <v>115</v>
      </c>
      <c r="C125" s="21" t="s">
        <v>498</v>
      </c>
      <c r="D125" s="16" t="s">
        <v>70</v>
      </c>
      <c r="E125" s="105" t="s">
        <v>133</v>
      </c>
      <c r="F125" s="41">
        <f>4661.6-8</f>
        <v>4653.6000000000004</v>
      </c>
      <c r="G125" s="41">
        <v>4653.6000000000004</v>
      </c>
      <c r="H125" s="96">
        <f t="shared" si="11"/>
        <v>100</v>
      </c>
    </row>
    <row r="126" spans="1:8" s="32" customFormat="1" ht="39.6" x14ac:dyDescent="0.3">
      <c r="A126" s="21" t="s">
        <v>98</v>
      </c>
      <c r="B126" s="21" t="s">
        <v>115</v>
      </c>
      <c r="C126" s="21" t="s">
        <v>498</v>
      </c>
      <c r="D126" s="84" t="s">
        <v>212</v>
      </c>
      <c r="E126" s="100" t="s">
        <v>213</v>
      </c>
      <c r="F126" s="41">
        <f>504.1+15+8+11+1.9</f>
        <v>540</v>
      </c>
      <c r="G126" s="41">
        <v>523.6</v>
      </c>
      <c r="H126" s="96">
        <f t="shared" si="11"/>
        <v>97</v>
      </c>
    </row>
    <row r="127" spans="1:8" s="32" customFormat="1" ht="14.4" x14ac:dyDescent="0.3">
      <c r="A127" s="21" t="s">
        <v>98</v>
      </c>
      <c r="B127" s="21" t="s">
        <v>115</v>
      </c>
      <c r="C127" s="21" t="s">
        <v>498</v>
      </c>
      <c r="D127" s="83" t="s">
        <v>134</v>
      </c>
      <c r="E127" s="100" t="s">
        <v>135</v>
      </c>
      <c r="F127" s="41">
        <f>5-1.9</f>
        <v>3.1</v>
      </c>
      <c r="G127" s="41">
        <v>3.1</v>
      </c>
      <c r="H127" s="96">
        <f t="shared" si="11"/>
        <v>100</v>
      </c>
    </row>
    <row r="128" spans="1:8" s="32" customFormat="1" ht="40.200000000000003" x14ac:dyDescent="0.3">
      <c r="A128" s="28" t="s">
        <v>98</v>
      </c>
      <c r="B128" s="28" t="s">
        <v>126</v>
      </c>
      <c r="C128" s="28"/>
      <c r="D128" s="34"/>
      <c r="E128" s="46" t="s">
        <v>26</v>
      </c>
      <c r="F128" s="40">
        <f t="shared" ref="F128:G131" si="14">F129</f>
        <v>16.100000000000001</v>
      </c>
      <c r="G128" s="40">
        <f t="shared" si="14"/>
        <v>16.100000000000001</v>
      </c>
      <c r="H128" s="96">
        <f t="shared" si="11"/>
        <v>100</v>
      </c>
    </row>
    <row r="129" spans="1:8" s="32" customFormat="1" ht="63" customHeight="1" x14ac:dyDescent="0.3">
      <c r="A129" s="73" t="s">
        <v>98</v>
      </c>
      <c r="B129" s="73" t="s">
        <v>126</v>
      </c>
      <c r="C129" s="73" t="s">
        <v>77</v>
      </c>
      <c r="D129" s="16"/>
      <c r="E129" s="53" t="s">
        <v>500</v>
      </c>
      <c r="F129" s="98">
        <f t="shared" si="14"/>
        <v>16.100000000000001</v>
      </c>
      <c r="G129" s="98">
        <f t="shared" si="14"/>
        <v>16.100000000000001</v>
      </c>
      <c r="H129" s="58">
        <f t="shared" si="11"/>
        <v>100</v>
      </c>
    </row>
    <row r="130" spans="1:8" s="32" customFormat="1" ht="42.75" customHeight="1" x14ac:dyDescent="0.3">
      <c r="A130" s="21" t="s">
        <v>98</v>
      </c>
      <c r="B130" s="21" t="s">
        <v>126</v>
      </c>
      <c r="C130" s="52" t="s">
        <v>78</v>
      </c>
      <c r="D130" s="16"/>
      <c r="E130" s="60" t="s">
        <v>189</v>
      </c>
      <c r="F130" s="58">
        <f t="shared" si="14"/>
        <v>16.100000000000001</v>
      </c>
      <c r="G130" s="58">
        <f t="shared" si="14"/>
        <v>16.100000000000001</v>
      </c>
      <c r="H130" s="42">
        <f t="shared" si="11"/>
        <v>100</v>
      </c>
    </row>
    <row r="131" spans="1:8" s="32" customFormat="1" ht="52.5" customHeight="1" x14ac:dyDescent="0.3">
      <c r="A131" s="21" t="s">
        <v>98</v>
      </c>
      <c r="B131" s="21" t="s">
        <v>126</v>
      </c>
      <c r="C131" s="21" t="s">
        <v>501</v>
      </c>
      <c r="D131" s="16"/>
      <c r="E131" s="100" t="s">
        <v>356</v>
      </c>
      <c r="F131" s="41">
        <f t="shared" si="14"/>
        <v>16.100000000000001</v>
      </c>
      <c r="G131" s="41">
        <f t="shared" si="14"/>
        <v>16.100000000000001</v>
      </c>
      <c r="H131" s="96">
        <f t="shared" si="11"/>
        <v>100</v>
      </c>
    </row>
    <row r="132" spans="1:8" s="32" customFormat="1" ht="26.4" x14ac:dyDescent="0.3">
      <c r="A132" s="21" t="s">
        <v>98</v>
      </c>
      <c r="B132" s="21" t="s">
        <v>126</v>
      </c>
      <c r="C132" s="21" t="s">
        <v>501</v>
      </c>
      <c r="D132" s="84" t="s">
        <v>70</v>
      </c>
      <c r="E132" s="55" t="s">
        <v>133</v>
      </c>
      <c r="F132" s="41">
        <f>34-17.9</f>
        <v>16.100000000000001</v>
      </c>
      <c r="G132" s="41">
        <f>34-17.9</f>
        <v>16.100000000000001</v>
      </c>
      <c r="H132" s="96">
        <f t="shared" si="11"/>
        <v>100</v>
      </c>
    </row>
    <row r="133" spans="1:8" s="32" customFormat="1" ht="15.6" x14ac:dyDescent="0.3">
      <c r="A133" s="4" t="s">
        <v>99</v>
      </c>
      <c r="B133" s="3"/>
      <c r="C133" s="3"/>
      <c r="D133" s="3"/>
      <c r="E133" s="49" t="s">
        <v>105</v>
      </c>
      <c r="F133" s="94">
        <f>F134+F139+F148+F193</f>
        <v>185734.69999999998</v>
      </c>
      <c r="G133" s="94">
        <f>G134+G139+G148+G193</f>
        <v>181596.30000000002</v>
      </c>
      <c r="H133" s="160">
        <f t="shared" si="11"/>
        <v>97.8</v>
      </c>
    </row>
    <row r="134" spans="1:8" s="32" customFormat="1" ht="14.4" x14ac:dyDescent="0.3">
      <c r="A134" s="30" t="s">
        <v>99</v>
      </c>
      <c r="B134" s="30" t="s">
        <v>100</v>
      </c>
      <c r="C134" s="30"/>
      <c r="D134" s="30"/>
      <c r="E134" s="45" t="s">
        <v>108</v>
      </c>
      <c r="F134" s="40">
        <f>F135</f>
        <v>423.5</v>
      </c>
      <c r="G134" s="40">
        <f>G135</f>
        <v>423.5</v>
      </c>
      <c r="H134" s="42">
        <f t="shared" si="11"/>
        <v>100</v>
      </c>
    </row>
    <row r="135" spans="1:8" s="32" customFormat="1" ht="37.5" customHeight="1" x14ac:dyDescent="0.3">
      <c r="A135" s="5" t="s">
        <v>99</v>
      </c>
      <c r="B135" s="5" t="s">
        <v>100</v>
      </c>
      <c r="C135" s="76">
        <v>400000000</v>
      </c>
      <c r="D135" s="30"/>
      <c r="E135" s="196" t="s">
        <v>503</v>
      </c>
      <c r="F135" s="98">
        <f>F136</f>
        <v>423.5</v>
      </c>
      <c r="G135" s="98">
        <f>G136</f>
        <v>423.5</v>
      </c>
      <c r="H135" s="62">
        <f t="shared" si="11"/>
        <v>100</v>
      </c>
    </row>
    <row r="136" spans="1:8" s="32" customFormat="1" ht="54.75" customHeight="1" x14ac:dyDescent="0.3">
      <c r="A136" s="47" t="s">
        <v>99</v>
      </c>
      <c r="B136" s="47" t="s">
        <v>100</v>
      </c>
      <c r="C136" s="75">
        <v>410000000</v>
      </c>
      <c r="D136" s="30"/>
      <c r="E136" s="46" t="s">
        <v>504</v>
      </c>
      <c r="F136" s="95">
        <f t="shared" ref="F136:G136" si="15">F137</f>
        <v>423.5</v>
      </c>
      <c r="G136" s="95">
        <f t="shared" si="15"/>
        <v>423.5</v>
      </c>
      <c r="H136" s="58">
        <f t="shared" si="11"/>
        <v>100</v>
      </c>
    </row>
    <row r="137" spans="1:8" s="32" customFormat="1" ht="40.200000000000003" x14ac:dyDescent="0.3">
      <c r="A137" s="84" t="s">
        <v>99</v>
      </c>
      <c r="B137" s="84" t="s">
        <v>100</v>
      </c>
      <c r="C137" s="74">
        <v>410100000</v>
      </c>
      <c r="D137" s="30"/>
      <c r="E137" s="99" t="s">
        <v>505</v>
      </c>
      <c r="F137" s="95">
        <f>F138</f>
        <v>423.5</v>
      </c>
      <c r="G137" s="95">
        <f>G138</f>
        <v>423.5</v>
      </c>
      <c r="H137" s="96">
        <f t="shared" ref="H137:H197" si="16">ROUND((G137/F137*100),1)</f>
        <v>100</v>
      </c>
    </row>
    <row r="138" spans="1:8" s="32" customFormat="1" ht="27" x14ac:dyDescent="0.3">
      <c r="A138" s="84" t="s">
        <v>99</v>
      </c>
      <c r="B138" s="84" t="s">
        <v>100</v>
      </c>
      <c r="C138" s="195" t="s">
        <v>506</v>
      </c>
      <c r="D138" s="16"/>
      <c r="E138" s="102" t="s">
        <v>170</v>
      </c>
      <c r="F138" s="39">
        <f>600-176.5</f>
        <v>423.5</v>
      </c>
      <c r="G138" s="41">
        <v>423.5</v>
      </c>
      <c r="H138" s="96">
        <f t="shared" si="16"/>
        <v>100</v>
      </c>
    </row>
    <row r="139" spans="1:8" s="32" customFormat="1" ht="14.4" x14ac:dyDescent="0.3">
      <c r="A139" s="30" t="s">
        <v>99</v>
      </c>
      <c r="B139" s="30" t="s">
        <v>106</v>
      </c>
      <c r="C139" s="30"/>
      <c r="D139" s="30"/>
      <c r="E139" s="27" t="s">
        <v>1</v>
      </c>
      <c r="F139" s="40">
        <f t="shared" ref="F139:G140" si="17">F140</f>
        <v>26608.9</v>
      </c>
      <c r="G139" s="40">
        <f t="shared" si="17"/>
        <v>26197</v>
      </c>
      <c r="H139" s="42">
        <f t="shared" si="16"/>
        <v>98.5</v>
      </c>
    </row>
    <row r="140" spans="1:8" s="32" customFormat="1" ht="79.8" x14ac:dyDescent="0.3">
      <c r="A140" s="5" t="s">
        <v>99</v>
      </c>
      <c r="B140" s="5" t="s">
        <v>106</v>
      </c>
      <c r="C140" s="73" t="s">
        <v>73</v>
      </c>
      <c r="D140" s="30"/>
      <c r="E140" s="196" t="s">
        <v>507</v>
      </c>
      <c r="F140" s="98">
        <f t="shared" si="17"/>
        <v>26608.9</v>
      </c>
      <c r="G140" s="98">
        <f t="shared" si="17"/>
        <v>26197</v>
      </c>
      <c r="H140" s="62">
        <f t="shared" si="16"/>
        <v>98.5</v>
      </c>
    </row>
    <row r="141" spans="1:8" s="32" customFormat="1" ht="53.25" customHeight="1" x14ac:dyDescent="0.3">
      <c r="A141" s="16" t="s">
        <v>99</v>
      </c>
      <c r="B141" s="16" t="s">
        <v>106</v>
      </c>
      <c r="C141" s="52" t="s">
        <v>215</v>
      </c>
      <c r="D141" s="30"/>
      <c r="E141" s="46" t="s">
        <v>188</v>
      </c>
      <c r="F141" s="95">
        <f>F142+F144+F146</f>
        <v>26608.9</v>
      </c>
      <c r="G141" s="95">
        <f>G142+G144+G146</f>
        <v>26197</v>
      </c>
      <c r="H141" s="58">
        <f t="shared" si="16"/>
        <v>98.5</v>
      </c>
    </row>
    <row r="142" spans="1:8" s="32" customFormat="1" ht="64.5" customHeight="1" x14ac:dyDescent="0.3">
      <c r="A142" s="16" t="s">
        <v>99</v>
      </c>
      <c r="B142" s="16" t="s">
        <v>106</v>
      </c>
      <c r="C142" s="74" t="s">
        <v>312</v>
      </c>
      <c r="D142" s="30"/>
      <c r="E142" s="99" t="s">
        <v>216</v>
      </c>
      <c r="F142" s="39">
        <f>F143</f>
        <v>5024.3999999999996</v>
      </c>
      <c r="G142" s="96">
        <f>G143</f>
        <v>4947</v>
      </c>
      <c r="H142" s="96">
        <f t="shared" si="16"/>
        <v>98.5</v>
      </c>
    </row>
    <row r="143" spans="1:8" s="32" customFormat="1" ht="39.6" x14ac:dyDescent="0.3">
      <c r="A143" s="16" t="s">
        <v>99</v>
      </c>
      <c r="B143" s="16" t="s">
        <v>106</v>
      </c>
      <c r="C143" s="74" t="s">
        <v>312</v>
      </c>
      <c r="D143" s="84" t="s">
        <v>212</v>
      </c>
      <c r="E143" s="100" t="s">
        <v>213</v>
      </c>
      <c r="F143" s="39">
        <v>5024.3999999999996</v>
      </c>
      <c r="G143" s="41">
        <v>4947</v>
      </c>
      <c r="H143" s="96">
        <f t="shared" si="16"/>
        <v>98.5</v>
      </c>
    </row>
    <row r="144" spans="1:8" s="32" customFormat="1" ht="66.599999999999994" x14ac:dyDescent="0.3">
      <c r="A144" s="16" t="s">
        <v>99</v>
      </c>
      <c r="B144" s="16" t="s">
        <v>106</v>
      </c>
      <c r="C144" s="74">
        <v>920110300</v>
      </c>
      <c r="D144" s="16"/>
      <c r="E144" s="125" t="s">
        <v>362</v>
      </c>
      <c r="F144" s="39">
        <f>F145</f>
        <v>20097.5</v>
      </c>
      <c r="G144" s="96">
        <f>G145</f>
        <v>19788.2</v>
      </c>
      <c r="H144" s="58">
        <f t="shared" si="16"/>
        <v>98.5</v>
      </c>
    </row>
    <row r="145" spans="1:8" s="32" customFormat="1" ht="39.6" x14ac:dyDescent="0.3">
      <c r="A145" s="16" t="s">
        <v>99</v>
      </c>
      <c r="B145" s="16" t="s">
        <v>106</v>
      </c>
      <c r="C145" s="74">
        <v>920110300</v>
      </c>
      <c r="D145" s="84" t="s">
        <v>212</v>
      </c>
      <c r="E145" s="100" t="s">
        <v>213</v>
      </c>
      <c r="F145" s="158">
        <v>20097.5</v>
      </c>
      <c r="G145" s="41">
        <v>19788.2</v>
      </c>
      <c r="H145" s="96">
        <f t="shared" si="16"/>
        <v>98.5</v>
      </c>
    </row>
    <row r="146" spans="1:8" s="32" customFormat="1" ht="66" x14ac:dyDescent="0.3">
      <c r="A146" s="16" t="s">
        <v>99</v>
      </c>
      <c r="B146" s="16" t="s">
        <v>106</v>
      </c>
      <c r="C146" s="74">
        <v>920123495</v>
      </c>
      <c r="D146" s="84"/>
      <c r="E146" s="54" t="s">
        <v>508</v>
      </c>
      <c r="F146" s="39">
        <f>F147</f>
        <v>1487</v>
      </c>
      <c r="G146" s="39">
        <f>G147</f>
        <v>1461.8</v>
      </c>
      <c r="H146" s="96">
        <f t="shared" si="16"/>
        <v>98.3</v>
      </c>
    </row>
    <row r="147" spans="1:8" s="32" customFormat="1" ht="39.6" x14ac:dyDescent="0.3">
      <c r="A147" s="16" t="s">
        <v>99</v>
      </c>
      <c r="B147" s="16" t="s">
        <v>106</v>
      </c>
      <c r="C147" s="74">
        <v>920123495</v>
      </c>
      <c r="D147" s="84" t="s">
        <v>212</v>
      </c>
      <c r="E147" s="100" t="s">
        <v>213</v>
      </c>
      <c r="F147" s="39">
        <f>1212.9+274.1</f>
        <v>1487</v>
      </c>
      <c r="G147" s="39">
        <v>1461.8</v>
      </c>
      <c r="H147" s="96">
        <f t="shared" si="16"/>
        <v>98.3</v>
      </c>
    </row>
    <row r="148" spans="1:8" s="32" customFormat="1" ht="14.4" x14ac:dyDescent="0.3">
      <c r="A148" s="30" t="s">
        <v>99</v>
      </c>
      <c r="B148" s="30" t="s">
        <v>104</v>
      </c>
      <c r="C148" s="30"/>
      <c r="D148" s="30"/>
      <c r="E148" s="50" t="s">
        <v>199</v>
      </c>
      <c r="F148" s="40">
        <f>F149+F171+F185</f>
        <v>154573.29999999999</v>
      </c>
      <c r="G148" s="40">
        <f>G149+G171+G185</f>
        <v>150846.80000000002</v>
      </c>
      <c r="H148" s="42">
        <f t="shared" si="16"/>
        <v>97.6</v>
      </c>
    </row>
    <row r="149" spans="1:8" s="32" customFormat="1" ht="79.8" x14ac:dyDescent="0.3">
      <c r="A149" s="5" t="s">
        <v>99</v>
      </c>
      <c r="B149" s="5" t="s">
        <v>104</v>
      </c>
      <c r="C149" s="73" t="s">
        <v>73</v>
      </c>
      <c r="D149" s="30"/>
      <c r="E149" s="196" t="s">
        <v>507</v>
      </c>
      <c r="F149" s="98">
        <f>F150</f>
        <v>144592</v>
      </c>
      <c r="G149" s="98">
        <f>G150</f>
        <v>141493.40000000002</v>
      </c>
      <c r="H149" s="62">
        <f t="shared" si="16"/>
        <v>97.9</v>
      </c>
    </row>
    <row r="150" spans="1:8" s="32" customFormat="1" ht="53.4" x14ac:dyDescent="0.3">
      <c r="A150" s="16" t="s">
        <v>99</v>
      </c>
      <c r="B150" s="16" t="s">
        <v>104</v>
      </c>
      <c r="C150" s="52" t="s">
        <v>74</v>
      </c>
      <c r="D150" s="30"/>
      <c r="E150" s="46" t="s">
        <v>166</v>
      </c>
      <c r="F150" s="95">
        <f t="shared" ref="F150:G150" si="18">F151+F153+F155+F157+F159+F161+F163+F165+F167+F169</f>
        <v>144592</v>
      </c>
      <c r="G150" s="95">
        <f t="shared" si="18"/>
        <v>141493.40000000002</v>
      </c>
      <c r="H150" s="58">
        <f t="shared" si="16"/>
        <v>97.9</v>
      </c>
    </row>
    <row r="151" spans="1:8" s="32" customFormat="1" ht="63.75" customHeight="1" x14ac:dyDescent="0.3">
      <c r="A151" s="16" t="s">
        <v>99</v>
      </c>
      <c r="B151" s="16" t="s">
        <v>104</v>
      </c>
      <c r="C151" s="79">
        <v>910123405</v>
      </c>
      <c r="D151" s="118"/>
      <c r="E151" s="116" t="s">
        <v>299</v>
      </c>
      <c r="F151" s="110">
        <f>F152</f>
        <v>15386.8</v>
      </c>
      <c r="G151" s="110">
        <f>G152</f>
        <v>15221.1</v>
      </c>
      <c r="H151" s="96">
        <f t="shared" si="16"/>
        <v>98.9</v>
      </c>
    </row>
    <row r="152" spans="1:8" s="32" customFormat="1" ht="39.6" x14ac:dyDescent="0.3">
      <c r="A152" s="16" t="s">
        <v>99</v>
      </c>
      <c r="B152" s="16" t="s">
        <v>104</v>
      </c>
      <c r="C152" s="79">
        <v>910123405</v>
      </c>
      <c r="D152" s="84" t="s">
        <v>212</v>
      </c>
      <c r="E152" s="100" t="s">
        <v>213</v>
      </c>
      <c r="F152" s="110">
        <v>15386.8</v>
      </c>
      <c r="G152" s="110">
        <v>15221.1</v>
      </c>
      <c r="H152" s="96">
        <f t="shared" si="16"/>
        <v>98.9</v>
      </c>
    </row>
    <row r="153" spans="1:8" s="32" customFormat="1" ht="66.599999999999994" x14ac:dyDescent="0.3">
      <c r="A153" s="16" t="s">
        <v>99</v>
      </c>
      <c r="B153" s="16" t="s">
        <v>104</v>
      </c>
      <c r="C153" s="79">
        <v>910110520</v>
      </c>
      <c r="D153" s="118"/>
      <c r="E153" s="116" t="s">
        <v>186</v>
      </c>
      <c r="F153" s="110">
        <f>F154</f>
        <v>14385.6</v>
      </c>
      <c r="G153" s="39">
        <f t="shared" ref="G153" si="19">G154</f>
        <v>14385.6</v>
      </c>
      <c r="H153" s="96">
        <f t="shared" si="16"/>
        <v>100</v>
      </c>
    </row>
    <row r="154" spans="1:8" s="32" customFormat="1" ht="39.6" x14ac:dyDescent="0.3">
      <c r="A154" s="16" t="s">
        <v>99</v>
      </c>
      <c r="B154" s="16" t="s">
        <v>104</v>
      </c>
      <c r="C154" s="79">
        <v>910110520</v>
      </c>
      <c r="D154" s="84" t="s">
        <v>212</v>
      </c>
      <c r="E154" s="100" t="s">
        <v>213</v>
      </c>
      <c r="F154" s="197">
        <v>14385.6</v>
      </c>
      <c r="G154" s="39">
        <v>14385.6</v>
      </c>
      <c r="H154" s="96">
        <f t="shared" si="16"/>
        <v>100</v>
      </c>
    </row>
    <row r="155" spans="1:8" ht="26.4" x14ac:dyDescent="0.25">
      <c r="A155" s="16" t="s">
        <v>99</v>
      </c>
      <c r="B155" s="16" t="s">
        <v>104</v>
      </c>
      <c r="C155" s="79">
        <v>910123410</v>
      </c>
      <c r="D155" s="123"/>
      <c r="E155" s="100" t="s">
        <v>187</v>
      </c>
      <c r="F155" s="110">
        <f>F156</f>
        <v>17208.600000000002</v>
      </c>
      <c r="G155" s="110">
        <f>G156</f>
        <v>15891.6</v>
      </c>
      <c r="H155" s="96">
        <f t="shared" si="16"/>
        <v>92.3</v>
      </c>
    </row>
    <row r="156" spans="1:8" ht="39.6" x14ac:dyDescent="0.25">
      <c r="A156" s="16" t="s">
        <v>99</v>
      </c>
      <c r="B156" s="16" t="s">
        <v>104</v>
      </c>
      <c r="C156" s="79">
        <v>910123410</v>
      </c>
      <c r="D156" s="84" t="s">
        <v>212</v>
      </c>
      <c r="E156" s="100" t="s">
        <v>213</v>
      </c>
      <c r="F156" s="110">
        <f>16457+600-46.8+198.4</f>
        <v>17208.600000000002</v>
      </c>
      <c r="G156" s="110">
        <v>15891.6</v>
      </c>
      <c r="H156" s="96">
        <f t="shared" si="16"/>
        <v>92.3</v>
      </c>
    </row>
    <row r="157" spans="1:8" ht="79.5" customHeight="1" x14ac:dyDescent="0.25">
      <c r="A157" s="16" t="s">
        <v>99</v>
      </c>
      <c r="B157" s="16" t="s">
        <v>104</v>
      </c>
      <c r="C157" s="79">
        <v>910123415</v>
      </c>
      <c r="D157" s="84"/>
      <c r="E157" s="162" t="s">
        <v>509</v>
      </c>
      <c r="F157" s="110">
        <f>F158</f>
        <v>1156.8000000000002</v>
      </c>
      <c r="G157" s="110">
        <f>G158</f>
        <v>776.8</v>
      </c>
      <c r="H157" s="96">
        <f t="shared" si="16"/>
        <v>67.2</v>
      </c>
    </row>
    <row r="158" spans="1:8" ht="39.6" x14ac:dyDescent="0.25">
      <c r="A158" s="16" t="s">
        <v>99</v>
      </c>
      <c r="B158" s="16" t="s">
        <v>104</v>
      </c>
      <c r="C158" s="79">
        <v>910123415</v>
      </c>
      <c r="D158" s="84" t="s">
        <v>212</v>
      </c>
      <c r="E158" s="100" t="s">
        <v>213</v>
      </c>
      <c r="F158" s="110">
        <f>100+46.8+613.9+396.1</f>
        <v>1156.8000000000002</v>
      </c>
      <c r="G158" s="39">
        <v>776.8</v>
      </c>
      <c r="H158" s="96">
        <f t="shared" si="16"/>
        <v>67.2</v>
      </c>
    </row>
    <row r="159" spans="1:8" ht="26.4" x14ac:dyDescent="0.25">
      <c r="A159" s="16" t="s">
        <v>99</v>
      </c>
      <c r="B159" s="16" t="s">
        <v>104</v>
      </c>
      <c r="C159" s="79">
        <v>910123420</v>
      </c>
      <c r="D159" s="84"/>
      <c r="E159" s="153" t="s">
        <v>397</v>
      </c>
      <c r="F159" s="110">
        <f>F160</f>
        <v>1097.7000000000003</v>
      </c>
      <c r="G159" s="110">
        <f>G160</f>
        <v>1097.7</v>
      </c>
      <c r="H159" s="96">
        <f t="shared" si="16"/>
        <v>100</v>
      </c>
    </row>
    <row r="160" spans="1:8" ht="39.6" x14ac:dyDescent="0.25">
      <c r="A160" s="16" t="s">
        <v>99</v>
      </c>
      <c r="B160" s="16" t="s">
        <v>104</v>
      </c>
      <c r="C160" s="79">
        <v>910123420</v>
      </c>
      <c r="D160" s="84" t="s">
        <v>212</v>
      </c>
      <c r="E160" s="100" t="s">
        <v>213</v>
      </c>
      <c r="F160" s="110">
        <f>12651-12243.9+690.6</f>
        <v>1097.7000000000003</v>
      </c>
      <c r="G160" s="39">
        <v>1097.7</v>
      </c>
      <c r="H160" s="96">
        <f t="shared" si="16"/>
        <v>100</v>
      </c>
    </row>
    <row r="161" spans="1:8" ht="39.6" x14ac:dyDescent="0.25">
      <c r="A161" s="16" t="s">
        <v>99</v>
      </c>
      <c r="B161" s="16" t="s">
        <v>104</v>
      </c>
      <c r="C161" s="79" t="s">
        <v>364</v>
      </c>
      <c r="D161" s="84"/>
      <c r="E161" s="147" t="s">
        <v>363</v>
      </c>
      <c r="F161" s="110">
        <f>F162</f>
        <v>3252.6</v>
      </c>
      <c r="G161" s="110">
        <f>G162</f>
        <v>3252.6</v>
      </c>
      <c r="H161" s="96">
        <f t="shared" si="16"/>
        <v>100</v>
      </c>
    </row>
    <row r="162" spans="1:8" ht="39.6" x14ac:dyDescent="0.25">
      <c r="A162" s="16" t="s">
        <v>99</v>
      </c>
      <c r="B162" s="16" t="s">
        <v>104</v>
      </c>
      <c r="C162" s="79" t="s">
        <v>364</v>
      </c>
      <c r="D162" s="84" t="s">
        <v>212</v>
      </c>
      <c r="E162" s="100" t="s">
        <v>213</v>
      </c>
      <c r="F162" s="110">
        <f>2537.7+3348.8-2683.9+50</f>
        <v>3252.6</v>
      </c>
      <c r="G162" s="39">
        <v>3252.6</v>
      </c>
      <c r="H162" s="96">
        <f t="shared" si="16"/>
        <v>100</v>
      </c>
    </row>
    <row r="163" spans="1:8" ht="52.8" x14ac:dyDescent="0.25">
      <c r="A163" s="16" t="s">
        <v>99</v>
      </c>
      <c r="B163" s="16" t="s">
        <v>104</v>
      </c>
      <c r="C163" s="198" t="s">
        <v>510</v>
      </c>
      <c r="D163" s="84"/>
      <c r="E163" s="147" t="s">
        <v>365</v>
      </c>
      <c r="F163" s="110">
        <f>F164</f>
        <v>4823.8999999999996</v>
      </c>
      <c r="G163" s="110">
        <f>G164</f>
        <v>4823.8999999999996</v>
      </c>
      <c r="H163" s="96">
        <f t="shared" si="16"/>
        <v>100</v>
      </c>
    </row>
    <row r="164" spans="1:8" ht="39.6" x14ac:dyDescent="0.25">
      <c r="A164" s="16" t="s">
        <v>99</v>
      </c>
      <c r="B164" s="16" t="s">
        <v>104</v>
      </c>
      <c r="C164" s="198" t="s">
        <v>510</v>
      </c>
      <c r="D164" s="84" t="s">
        <v>212</v>
      </c>
      <c r="E164" s="100" t="s">
        <v>213</v>
      </c>
      <c r="F164" s="197">
        <f>2140.1+2683.8</f>
        <v>4823.8999999999996</v>
      </c>
      <c r="G164" s="39">
        <v>4823.8999999999996</v>
      </c>
      <c r="H164" s="96">
        <f t="shared" si="16"/>
        <v>100</v>
      </c>
    </row>
    <row r="165" spans="1:8" ht="26.4" x14ac:dyDescent="0.25">
      <c r="A165" s="16" t="s">
        <v>99</v>
      </c>
      <c r="B165" s="16" t="s">
        <v>104</v>
      </c>
      <c r="C165" s="79" t="s">
        <v>359</v>
      </c>
      <c r="D165" s="84"/>
      <c r="E165" s="100" t="s">
        <v>360</v>
      </c>
      <c r="F165" s="110">
        <f>F166</f>
        <v>23367.8</v>
      </c>
      <c r="G165" s="110">
        <f>G166</f>
        <v>22763.1</v>
      </c>
      <c r="H165" s="96">
        <f t="shared" si="16"/>
        <v>97.4</v>
      </c>
    </row>
    <row r="166" spans="1:8" ht="39.6" x14ac:dyDescent="0.25">
      <c r="A166" s="16" t="s">
        <v>99</v>
      </c>
      <c r="B166" s="16" t="s">
        <v>104</v>
      </c>
      <c r="C166" s="79" t="s">
        <v>359</v>
      </c>
      <c r="D166" s="84" t="s">
        <v>212</v>
      </c>
      <c r="E166" s="100" t="s">
        <v>213</v>
      </c>
      <c r="F166" s="110">
        <f>9764.5+183.4+5789.2-1209.5+9332-491.8</f>
        <v>23367.8</v>
      </c>
      <c r="G166" s="110">
        <v>22763.1</v>
      </c>
      <c r="H166" s="96">
        <f t="shared" si="16"/>
        <v>97.4</v>
      </c>
    </row>
    <row r="167" spans="1:8" ht="24" customHeight="1" x14ac:dyDescent="0.25">
      <c r="A167" s="16" t="s">
        <v>99</v>
      </c>
      <c r="B167" s="16" t="s">
        <v>104</v>
      </c>
      <c r="C167" s="199" t="s">
        <v>511</v>
      </c>
      <c r="D167" s="84"/>
      <c r="E167" s="100" t="s">
        <v>361</v>
      </c>
      <c r="F167" s="110">
        <f>F168</f>
        <v>53755</v>
      </c>
      <c r="G167" s="110">
        <f>G168</f>
        <v>53123.8</v>
      </c>
      <c r="H167" s="96">
        <f t="shared" si="16"/>
        <v>98.8</v>
      </c>
    </row>
    <row r="168" spans="1:8" ht="39.6" x14ac:dyDescent="0.25">
      <c r="A168" s="16" t="s">
        <v>99</v>
      </c>
      <c r="B168" s="16" t="s">
        <v>104</v>
      </c>
      <c r="C168" s="199" t="s">
        <v>511</v>
      </c>
      <c r="D168" s="84" t="s">
        <v>212</v>
      </c>
      <c r="E168" s="100" t="s">
        <v>213</v>
      </c>
      <c r="F168" s="158">
        <f>23622.2+30132.8</f>
        <v>53755</v>
      </c>
      <c r="G168" s="110">
        <v>53123.8</v>
      </c>
      <c r="H168" s="96">
        <f t="shared" si="16"/>
        <v>98.8</v>
      </c>
    </row>
    <row r="169" spans="1:8" ht="26.4" x14ac:dyDescent="0.25">
      <c r="A169" s="16" t="s">
        <v>99</v>
      </c>
      <c r="B169" s="16" t="s">
        <v>104</v>
      </c>
      <c r="C169" s="79">
        <v>910123425</v>
      </c>
      <c r="D169" s="84"/>
      <c r="E169" s="100" t="s">
        <v>395</v>
      </c>
      <c r="F169" s="110">
        <f>F170</f>
        <v>10157.200000000001</v>
      </c>
      <c r="G169" s="110">
        <f>G170</f>
        <v>10157.200000000001</v>
      </c>
      <c r="H169" s="96">
        <f t="shared" si="16"/>
        <v>100</v>
      </c>
    </row>
    <row r="170" spans="1:8" ht="39.6" x14ac:dyDescent="0.25">
      <c r="A170" s="16" t="s">
        <v>99</v>
      </c>
      <c r="B170" s="16" t="s">
        <v>104</v>
      </c>
      <c r="C170" s="79">
        <v>910123425</v>
      </c>
      <c r="D170" s="84" t="s">
        <v>212</v>
      </c>
      <c r="E170" s="100" t="s">
        <v>213</v>
      </c>
      <c r="F170" s="110">
        <f>19547-17315.6+12.8+2269.3+6532.7-690.6-198.4</f>
        <v>10157.200000000001</v>
      </c>
      <c r="G170" s="41">
        <v>10157.200000000001</v>
      </c>
      <c r="H170" s="96">
        <f t="shared" si="16"/>
        <v>100</v>
      </c>
    </row>
    <row r="171" spans="1:8" ht="87.75" customHeight="1" x14ac:dyDescent="0.25">
      <c r="A171" s="5" t="s">
        <v>99</v>
      </c>
      <c r="B171" s="5" t="s">
        <v>104</v>
      </c>
      <c r="C171" s="73" t="s">
        <v>512</v>
      </c>
      <c r="D171" s="84"/>
      <c r="E171" s="200" t="s">
        <v>513</v>
      </c>
      <c r="F171" s="98">
        <f>F172</f>
        <v>5615.2999999999993</v>
      </c>
      <c r="G171" s="98">
        <f>G172</f>
        <v>5590.9</v>
      </c>
      <c r="H171" s="62">
        <f t="shared" si="16"/>
        <v>99.6</v>
      </c>
    </row>
    <row r="172" spans="1:8" ht="52.8" x14ac:dyDescent="0.25">
      <c r="A172" s="47" t="s">
        <v>99</v>
      </c>
      <c r="B172" s="47" t="s">
        <v>104</v>
      </c>
      <c r="C172" s="201">
        <v>1510000000</v>
      </c>
      <c r="D172" s="84"/>
      <c r="E172" s="48" t="s">
        <v>400</v>
      </c>
      <c r="F172" s="41">
        <f>F173+F175+F177+F179+F181+F183</f>
        <v>5615.2999999999993</v>
      </c>
      <c r="G172" s="41">
        <f>G173+G175+G177+G179+G181+G183</f>
        <v>5590.9</v>
      </c>
      <c r="H172" s="58">
        <f t="shared" si="16"/>
        <v>99.6</v>
      </c>
    </row>
    <row r="173" spans="1:8" ht="52.8" x14ac:dyDescent="0.25">
      <c r="A173" s="16" t="s">
        <v>99</v>
      </c>
      <c r="B173" s="16" t="s">
        <v>104</v>
      </c>
      <c r="C173" s="51" t="s">
        <v>514</v>
      </c>
      <c r="D173" s="84"/>
      <c r="E173" s="125" t="s">
        <v>515</v>
      </c>
      <c r="F173" s="41">
        <f>F174</f>
        <v>613.90000000000009</v>
      </c>
      <c r="G173" s="110">
        <f>G174</f>
        <v>613.9</v>
      </c>
      <c r="H173" s="96">
        <f t="shared" si="16"/>
        <v>100</v>
      </c>
    </row>
    <row r="174" spans="1:8" ht="39.6" x14ac:dyDescent="0.25">
      <c r="A174" s="16" t="s">
        <v>99</v>
      </c>
      <c r="B174" s="16" t="s">
        <v>104</v>
      </c>
      <c r="C174" s="51" t="s">
        <v>514</v>
      </c>
      <c r="D174" s="84" t="s">
        <v>212</v>
      </c>
      <c r="E174" s="100" t="s">
        <v>213</v>
      </c>
      <c r="F174" s="41">
        <f>269.2+143.4+201.3</f>
        <v>613.90000000000009</v>
      </c>
      <c r="G174" s="110">
        <v>613.9</v>
      </c>
      <c r="H174" s="96">
        <f t="shared" si="16"/>
        <v>100</v>
      </c>
    </row>
    <row r="175" spans="1:8" ht="52.8" x14ac:dyDescent="0.25">
      <c r="A175" s="16" t="s">
        <v>99</v>
      </c>
      <c r="B175" s="16" t="s">
        <v>104</v>
      </c>
      <c r="C175" s="51" t="s">
        <v>516</v>
      </c>
      <c r="D175" s="84"/>
      <c r="E175" s="125" t="s">
        <v>517</v>
      </c>
      <c r="F175" s="41">
        <f>F176</f>
        <v>521.1</v>
      </c>
      <c r="G175" s="110">
        <f>G176</f>
        <v>521.1</v>
      </c>
      <c r="H175" s="96">
        <f t="shared" si="16"/>
        <v>100</v>
      </c>
    </row>
    <row r="176" spans="1:8" ht="39.6" x14ac:dyDescent="0.25">
      <c r="A176" s="16" t="s">
        <v>99</v>
      </c>
      <c r="B176" s="16" t="s">
        <v>104</v>
      </c>
      <c r="C176" s="51" t="s">
        <v>516</v>
      </c>
      <c r="D176" s="84" t="s">
        <v>212</v>
      </c>
      <c r="E176" s="100" t="s">
        <v>213</v>
      </c>
      <c r="F176" s="41">
        <f>306.8+135.7+78.6</f>
        <v>521.1</v>
      </c>
      <c r="G176" s="110">
        <v>521.1</v>
      </c>
      <c r="H176" s="96">
        <f t="shared" si="16"/>
        <v>100</v>
      </c>
    </row>
    <row r="177" spans="1:8" ht="52.8" x14ac:dyDescent="0.25">
      <c r="A177" s="16" t="s">
        <v>99</v>
      </c>
      <c r="B177" s="16" t="s">
        <v>104</v>
      </c>
      <c r="C177" s="51" t="s">
        <v>518</v>
      </c>
      <c r="D177" s="84"/>
      <c r="E177" s="100" t="s">
        <v>519</v>
      </c>
      <c r="F177" s="41">
        <f>F178</f>
        <v>2151.6999999999998</v>
      </c>
      <c r="G177" s="110">
        <f>G178</f>
        <v>2149</v>
      </c>
      <c r="H177" s="96">
        <f t="shared" si="16"/>
        <v>99.9</v>
      </c>
    </row>
    <row r="178" spans="1:8" ht="39.6" x14ac:dyDescent="0.25">
      <c r="A178" s="16" t="s">
        <v>99</v>
      </c>
      <c r="B178" s="16" t="s">
        <v>104</v>
      </c>
      <c r="C178" s="51" t="s">
        <v>518</v>
      </c>
      <c r="D178" s="84" t="s">
        <v>212</v>
      </c>
      <c r="E178" s="100" t="s">
        <v>213</v>
      </c>
      <c r="F178" s="41">
        <f>2179.5-27.8</f>
        <v>2151.6999999999998</v>
      </c>
      <c r="G178" s="110">
        <v>2149</v>
      </c>
      <c r="H178" s="96">
        <f t="shared" si="16"/>
        <v>99.9</v>
      </c>
    </row>
    <row r="179" spans="1:8" ht="52.8" x14ac:dyDescent="0.25">
      <c r="A179" s="16" t="s">
        <v>99</v>
      </c>
      <c r="B179" s="16" t="s">
        <v>104</v>
      </c>
      <c r="C179" s="150">
        <v>1510219017</v>
      </c>
      <c r="D179" s="84"/>
      <c r="E179" s="125" t="s">
        <v>515</v>
      </c>
      <c r="F179" s="41">
        <f>F180</f>
        <v>410</v>
      </c>
      <c r="G179" s="110">
        <f>G180</f>
        <v>410</v>
      </c>
      <c r="H179" s="96">
        <f t="shared" si="16"/>
        <v>100</v>
      </c>
    </row>
    <row r="180" spans="1:8" ht="39.6" x14ac:dyDescent="0.25">
      <c r="A180" s="16" t="s">
        <v>99</v>
      </c>
      <c r="B180" s="16" t="s">
        <v>104</v>
      </c>
      <c r="C180" s="152">
        <v>1510219017</v>
      </c>
      <c r="D180" s="84" t="s">
        <v>212</v>
      </c>
      <c r="E180" s="100" t="s">
        <v>213</v>
      </c>
      <c r="F180" s="41">
        <v>410</v>
      </c>
      <c r="G180" s="110">
        <v>410</v>
      </c>
      <c r="H180" s="96">
        <f t="shared" si="16"/>
        <v>100</v>
      </c>
    </row>
    <row r="181" spans="1:8" ht="52.8" x14ac:dyDescent="0.25">
      <c r="A181" s="16" t="s">
        <v>99</v>
      </c>
      <c r="B181" s="16" t="s">
        <v>104</v>
      </c>
      <c r="C181" s="152">
        <v>1510219018</v>
      </c>
      <c r="D181" s="84"/>
      <c r="E181" s="125" t="s">
        <v>520</v>
      </c>
      <c r="F181" s="41">
        <f>F182</f>
        <v>442.5</v>
      </c>
      <c r="G181" s="110">
        <f>G182</f>
        <v>442.5</v>
      </c>
      <c r="H181" s="96">
        <f t="shared" si="16"/>
        <v>100</v>
      </c>
    </row>
    <row r="182" spans="1:8" ht="39.6" x14ac:dyDescent="0.25">
      <c r="A182" s="16" t="s">
        <v>99</v>
      </c>
      <c r="B182" s="16" t="s">
        <v>104</v>
      </c>
      <c r="C182" s="152">
        <v>1510219018</v>
      </c>
      <c r="D182" s="84" t="s">
        <v>212</v>
      </c>
      <c r="E182" s="100" t="s">
        <v>213</v>
      </c>
      <c r="F182" s="41">
        <v>442.5</v>
      </c>
      <c r="G182" s="110">
        <v>442.5</v>
      </c>
      <c r="H182" s="96">
        <f t="shared" si="16"/>
        <v>100</v>
      </c>
    </row>
    <row r="183" spans="1:8" ht="52.8" x14ac:dyDescent="0.25">
      <c r="A183" s="16" t="s">
        <v>99</v>
      </c>
      <c r="B183" s="16" t="s">
        <v>104</v>
      </c>
      <c r="C183" s="152">
        <v>1510219021</v>
      </c>
      <c r="D183" s="84"/>
      <c r="E183" s="100" t="s">
        <v>519</v>
      </c>
      <c r="F183" s="41">
        <f>F184</f>
        <v>1476.1</v>
      </c>
      <c r="G183" s="110">
        <f>G184</f>
        <v>1454.4</v>
      </c>
      <c r="H183" s="96">
        <f t="shared" si="16"/>
        <v>98.5</v>
      </c>
    </row>
    <row r="184" spans="1:8" ht="39.6" x14ac:dyDescent="0.25">
      <c r="A184" s="16" t="s">
        <v>99</v>
      </c>
      <c r="B184" s="16" t="s">
        <v>104</v>
      </c>
      <c r="C184" s="152">
        <v>1510219021</v>
      </c>
      <c r="D184" s="84" t="s">
        <v>212</v>
      </c>
      <c r="E184" s="100" t="s">
        <v>213</v>
      </c>
      <c r="F184" s="41">
        <v>1476.1</v>
      </c>
      <c r="G184" s="110">
        <v>1454.4</v>
      </c>
      <c r="H184" s="96">
        <f t="shared" si="16"/>
        <v>98.5</v>
      </c>
    </row>
    <row r="185" spans="1:8" ht="63" customHeight="1" x14ac:dyDescent="0.25">
      <c r="A185" s="73" t="s">
        <v>99</v>
      </c>
      <c r="B185" s="73" t="s">
        <v>104</v>
      </c>
      <c r="C185" s="73" t="s">
        <v>228</v>
      </c>
      <c r="D185" s="16"/>
      <c r="E185" s="64" t="s">
        <v>502</v>
      </c>
      <c r="F185" s="98">
        <f>F186</f>
        <v>4366</v>
      </c>
      <c r="G185" s="98">
        <f>G186</f>
        <v>3762.5</v>
      </c>
      <c r="H185" s="62">
        <f t="shared" si="16"/>
        <v>86.2</v>
      </c>
    </row>
    <row r="186" spans="1:8" ht="39.6" x14ac:dyDescent="0.25">
      <c r="A186" s="21" t="s">
        <v>99</v>
      </c>
      <c r="B186" s="21" t="s">
        <v>104</v>
      </c>
      <c r="C186" s="52" t="s">
        <v>229</v>
      </c>
      <c r="D186" s="16"/>
      <c r="E186" s="48" t="s">
        <v>230</v>
      </c>
      <c r="F186" s="58">
        <f>F187+F189+F191</f>
        <v>4366</v>
      </c>
      <c r="G186" s="58">
        <f>G187+G189+G191</f>
        <v>3762.5</v>
      </c>
      <c r="H186" s="58">
        <f t="shared" si="16"/>
        <v>86.2</v>
      </c>
    </row>
    <row r="187" spans="1:8" x14ac:dyDescent="0.25">
      <c r="A187" s="21" t="s">
        <v>99</v>
      </c>
      <c r="B187" s="21" t="s">
        <v>104</v>
      </c>
      <c r="C187" s="21" t="s">
        <v>521</v>
      </c>
      <c r="D187" s="16"/>
      <c r="E187" s="100" t="s">
        <v>343</v>
      </c>
      <c r="F187" s="41">
        <f>F188</f>
        <v>400</v>
      </c>
      <c r="G187" s="41">
        <f>G188</f>
        <v>170.7</v>
      </c>
      <c r="H187" s="96">
        <f t="shared" si="16"/>
        <v>42.7</v>
      </c>
    </row>
    <row r="188" spans="1:8" ht="39.6" x14ac:dyDescent="0.25">
      <c r="A188" s="21" t="s">
        <v>99</v>
      </c>
      <c r="B188" s="21" t="s">
        <v>104</v>
      </c>
      <c r="C188" s="21" t="s">
        <v>521</v>
      </c>
      <c r="D188" s="84" t="s">
        <v>212</v>
      </c>
      <c r="E188" s="100" t="s">
        <v>213</v>
      </c>
      <c r="F188" s="41">
        <v>400</v>
      </c>
      <c r="G188" s="95">
        <v>170.7</v>
      </c>
      <c r="H188" s="58">
        <f t="shared" si="16"/>
        <v>42.7</v>
      </c>
    </row>
    <row r="189" spans="1:8" ht="39.6" x14ac:dyDescent="0.25">
      <c r="A189" s="21" t="s">
        <v>99</v>
      </c>
      <c r="B189" s="21" t="s">
        <v>104</v>
      </c>
      <c r="C189" s="51" t="s">
        <v>371</v>
      </c>
      <c r="D189" s="84"/>
      <c r="E189" s="100" t="s">
        <v>368</v>
      </c>
      <c r="F189" s="41">
        <f>F190</f>
        <v>882.99999999999989</v>
      </c>
      <c r="G189" s="41">
        <f>G190</f>
        <v>718.4</v>
      </c>
      <c r="H189" s="96">
        <f t="shared" si="16"/>
        <v>81.400000000000006</v>
      </c>
    </row>
    <row r="190" spans="1:8" ht="39.6" x14ac:dyDescent="0.25">
      <c r="A190" s="21" t="s">
        <v>99</v>
      </c>
      <c r="B190" s="21" t="s">
        <v>104</v>
      </c>
      <c r="C190" s="51" t="s">
        <v>371</v>
      </c>
      <c r="D190" s="84" t="s">
        <v>212</v>
      </c>
      <c r="E190" s="100" t="s">
        <v>213</v>
      </c>
      <c r="F190" s="41">
        <f>844.9+1003.2-965.1</f>
        <v>882.99999999999989</v>
      </c>
      <c r="G190" s="41">
        <v>718.4</v>
      </c>
      <c r="H190" s="96">
        <f t="shared" si="16"/>
        <v>81.400000000000006</v>
      </c>
    </row>
    <row r="191" spans="1:8" ht="52.8" x14ac:dyDescent="0.25">
      <c r="A191" s="21" t="s">
        <v>99</v>
      </c>
      <c r="B191" s="21" t="s">
        <v>104</v>
      </c>
      <c r="C191" s="51" t="s">
        <v>372</v>
      </c>
      <c r="D191" s="84"/>
      <c r="E191" s="100" t="s">
        <v>366</v>
      </c>
      <c r="F191" s="41">
        <f>F192</f>
        <v>3083</v>
      </c>
      <c r="G191" s="158">
        <f>G192</f>
        <v>2873.4</v>
      </c>
      <c r="H191" s="96">
        <f t="shared" si="16"/>
        <v>93.2</v>
      </c>
    </row>
    <row r="192" spans="1:8" ht="39.6" x14ac:dyDescent="0.25">
      <c r="A192" s="21" t="s">
        <v>99</v>
      </c>
      <c r="B192" s="21" t="s">
        <v>104</v>
      </c>
      <c r="C192" s="51" t="s">
        <v>372</v>
      </c>
      <c r="D192" s="84" t="s">
        <v>212</v>
      </c>
      <c r="E192" s="100" t="s">
        <v>213</v>
      </c>
      <c r="F192" s="158">
        <f>1279+2116-312</f>
        <v>3083</v>
      </c>
      <c r="G192" s="41">
        <v>2873.4</v>
      </c>
      <c r="H192" s="96">
        <f t="shared" si="16"/>
        <v>93.2</v>
      </c>
    </row>
    <row r="193" spans="1:8" ht="27" x14ac:dyDescent="0.3">
      <c r="A193" s="21" t="s">
        <v>99</v>
      </c>
      <c r="B193" s="21" t="s">
        <v>127</v>
      </c>
      <c r="C193" s="30"/>
      <c r="D193" s="30"/>
      <c r="E193" s="46" t="s">
        <v>4</v>
      </c>
      <c r="F193" s="40">
        <f>F194+F202+F218</f>
        <v>4129</v>
      </c>
      <c r="G193" s="40">
        <f>G194+G202+G218</f>
        <v>4129</v>
      </c>
      <c r="H193" s="96">
        <f t="shared" si="16"/>
        <v>100</v>
      </c>
    </row>
    <row r="194" spans="1:8" ht="65.25" customHeight="1" x14ac:dyDescent="0.25">
      <c r="A194" s="5" t="s">
        <v>99</v>
      </c>
      <c r="B194" s="5" t="s">
        <v>127</v>
      </c>
      <c r="C194" s="73" t="s">
        <v>75</v>
      </c>
      <c r="D194" s="16"/>
      <c r="E194" s="194" t="s">
        <v>484</v>
      </c>
      <c r="F194" s="98">
        <f>F195</f>
        <v>2022.0000000000002</v>
      </c>
      <c r="G194" s="98">
        <f>G195</f>
        <v>2022</v>
      </c>
      <c r="H194" s="62">
        <f t="shared" si="16"/>
        <v>100</v>
      </c>
    </row>
    <row r="195" spans="1:8" ht="26.4" x14ac:dyDescent="0.25">
      <c r="A195" s="16" t="s">
        <v>99</v>
      </c>
      <c r="B195" s="16" t="s">
        <v>127</v>
      </c>
      <c r="C195" s="52" t="s">
        <v>164</v>
      </c>
      <c r="D195" s="16"/>
      <c r="E195" s="48" t="s">
        <v>163</v>
      </c>
      <c r="F195" s="95">
        <f>F196+F198+F200</f>
        <v>2022.0000000000002</v>
      </c>
      <c r="G195" s="95">
        <f>G196+G198+G200</f>
        <v>2022</v>
      </c>
      <c r="H195" s="58">
        <f t="shared" si="16"/>
        <v>100</v>
      </c>
    </row>
    <row r="196" spans="1:8" ht="40.200000000000003" x14ac:dyDescent="0.3">
      <c r="A196" s="16" t="s">
        <v>99</v>
      </c>
      <c r="B196" s="16" t="s">
        <v>127</v>
      </c>
      <c r="C196" s="21" t="s">
        <v>522</v>
      </c>
      <c r="D196" s="30"/>
      <c r="E196" s="99" t="s">
        <v>165</v>
      </c>
      <c r="F196" s="41">
        <f t="shared" ref="F196:G196" si="20">F197</f>
        <v>200</v>
      </c>
      <c r="G196" s="41">
        <f t="shared" si="20"/>
        <v>200</v>
      </c>
      <c r="H196" s="96">
        <f t="shared" si="16"/>
        <v>100</v>
      </c>
    </row>
    <row r="197" spans="1:8" ht="39.6" x14ac:dyDescent="0.25">
      <c r="A197" s="16" t="s">
        <v>99</v>
      </c>
      <c r="B197" s="16" t="s">
        <v>127</v>
      </c>
      <c r="C197" s="21" t="s">
        <v>522</v>
      </c>
      <c r="D197" s="84" t="s">
        <v>212</v>
      </c>
      <c r="E197" s="100" t="s">
        <v>213</v>
      </c>
      <c r="F197" s="39">
        <v>200</v>
      </c>
      <c r="G197" s="39">
        <v>200</v>
      </c>
      <c r="H197" s="58">
        <f t="shared" si="16"/>
        <v>100</v>
      </c>
    </row>
    <row r="198" spans="1:8" ht="40.200000000000003" x14ac:dyDescent="0.3">
      <c r="A198" s="16" t="s">
        <v>99</v>
      </c>
      <c r="B198" s="16" t="s">
        <v>127</v>
      </c>
      <c r="C198" s="84" t="s">
        <v>523</v>
      </c>
      <c r="D198" s="30"/>
      <c r="E198" s="99" t="s">
        <v>168</v>
      </c>
      <c r="F198" s="41">
        <f t="shared" ref="F198:G198" si="21">F199</f>
        <v>22.2</v>
      </c>
      <c r="G198" s="41">
        <f t="shared" si="21"/>
        <v>22.2</v>
      </c>
      <c r="H198" s="96">
        <f t="shared" ref="H198:H254" si="22">ROUND((G198/F198*100),1)</f>
        <v>100</v>
      </c>
    </row>
    <row r="199" spans="1:8" ht="39.6" x14ac:dyDescent="0.25">
      <c r="A199" s="16" t="s">
        <v>99</v>
      </c>
      <c r="B199" s="16" t="s">
        <v>127</v>
      </c>
      <c r="C199" s="84" t="s">
        <v>523</v>
      </c>
      <c r="D199" s="84" t="s">
        <v>212</v>
      </c>
      <c r="E199" s="100" t="s">
        <v>213</v>
      </c>
      <c r="F199" s="41">
        <f>36-13.8</f>
        <v>22.2</v>
      </c>
      <c r="G199" s="41">
        <f>36-13.8</f>
        <v>22.2</v>
      </c>
      <c r="H199" s="96">
        <f t="shared" si="22"/>
        <v>100</v>
      </c>
    </row>
    <row r="200" spans="1:8" ht="39.6" x14ac:dyDescent="0.25">
      <c r="A200" s="16" t="s">
        <v>99</v>
      </c>
      <c r="B200" s="16" t="s">
        <v>127</v>
      </c>
      <c r="C200" s="84" t="s">
        <v>393</v>
      </c>
      <c r="D200" s="84"/>
      <c r="E200" s="100" t="s">
        <v>394</v>
      </c>
      <c r="F200" s="41">
        <f>F201</f>
        <v>1799.8000000000002</v>
      </c>
      <c r="G200" s="41">
        <f>G201</f>
        <v>1799.8</v>
      </c>
      <c r="H200" s="96">
        <f t="shared" si="22"/>
        <v>100</v>
      </c>
    </row>
    <row r="201" spans="1:8" ht="39.6" x14ac:dyDescent="0.25">
      <c r="A201" s="16" t="s">
        <v>99</v>
      </c>
      <c r="B201" s="16" t="s">
        <v>127</v>
      </c>
      <c r="C201" s="84" t="s">
        <v>393</v>
      </c>
      <c r="D201" s="84" t="s">
        <v>212</v>
      </c>
      <c r="E201" s="100" t="s">
        <v>213</v>
      </c>
      <c r="F201" s="41">
        <f>1698.4+101.4</f>
        <v>1799.8000000000002</v>
      </c>
      <c r="G201" s="158">
        <v>1799.8</v>
      </c>
      <c r="H201" s="96">
        <f t="shared" si="22"/>
        <v>100</v>
      </c>
    </row>
    <row r="202" spans="1:8" ht="65.25" customHeight="1" x14ac:dyDescent="0.25">
      <c r="A202" s="5" t="s">
        <v>99</v>
      </c>
      <c r="B202" s="5" t="s">
        <v>127</v>
      </c>
      <c r="C202" s="76">
        <v>400000000</v>
      </c>
      <c r="D202" s="16"/>
      <c r="E202" s="196" t="s">
        <v>503</v>
      </c>
      <c r="F202" s="98">
        <f>F203</f>
        <v>1807</v>
      </c>
      <c r="G202" s="98">
        <f>G203</f>
        <v>1807</v>
      </c>
      <c r="H202" s="62">
        <f t="shared" si="22"/>
        <v>100</v>
      </c>
    </row>
    <row r="203" spans="1:8" ht="53.4" x14ac:dyDescent="0.3">
      <c r="A203" s="47" t="s">
        <v>99</v>
      </c>
      <c r="B203" s="47" t="s">
        <v>127</v>
      </c>
      <c r="C203" s="75">
        <v>410000000</v>
      </c>
      <c r="D203" s="30"/>
      <c r="E203" s="46" t="s">
        <v>504</v>
      </c>
      <c r="F203" s="95">
        <f>F204+F206+F208+F210+F212+F214+F216</f>
        <v>1807</v>
      </c>
      <c r="G203" s="95">
        <f>G204+G206+G208+G210+G212+G214+G216</f>
        <v>1807</v>
      </c>
      <c r="H203" s="58">
        <f t="shared" si="22"/>
        <v>100</v>
      </c>
    </row>
    <row r="204" spans="1:8" ht="66" x14ac:dyDescent="0.25">
      <c r="A204" s="16" t="s">
        <v>99</v>
      </c>
      <c r="B204" s="16" t="s">
        <v>127</v>
      </c>
      <c r="C204" s="195" t="s">
        <v>524</v>
      </c>
      <c r="D204" s="84"/>
      <c r="E204" s="100" t="s">
        <v>525</v>
      </c>
      <c r="F204" s="39">
        <f>F205</f>
        <v>100</v>
      </c>
      <c r="G204" s="39">
        <f>G205</f>
        <v>100</v>
      </c>
      <c r="H204" s="96">
        <f t="shared" si="22"/>
        <v>100</v>
      </c>
    </row>
    <row r="205" spans="1:8" ht="39.6" x14ac:dyDescent="0.25">
      <c r="A205" s="16" t="s">
        <v>99</v>
      </c>
      <c r="B205" s="16" t="s">
        <v>127</v>
      </c>
      <c r="C205" s="195" t="s">
        <v>524</v>
      </c>
      <c r="D205" s="84" t="s">
        <v>212</v>
      </c>
      <c r="E205" s="100" t="s">
        <v>213</v>
      </c>
      <c r="F205" s="39">
        <f>50+50</f>
        <v>100</v>
      </c>
      <c r="G205" s="158">
        <v>100</v>
      </c>
      <c r="H205" s="58">
        <f t="shared" si="22"/>
        <v>100</v>
      </c>
    </row>
    <row r="206" spans="1:8" ht="26.4" x14ac:dyDescent="0.25">
      <c r="A206" s="16" t="s">
        <v>99</v>
      </c>
      <c r="B206" s="16" t="s">
        <v>127</v>
      </c>
      <c r="C206" s="195" t="s">
        <v>526</v>
      </c>
      <c r="D206" s="84"/>
      <c r="E206" s="100" t="s">
        <v>527</v>
      </c>
      <c r="F206" s="39">
        <f>F207</f>
        <v>20</v>
      </c>
      <c r="G206" s="39">
        <f>G207</f>
        <v>20</v>
      </c>
      <c r="H206" s="96">
        <f t="shared" si="22"/>
        <v>100</v>
      </c>
    </row>
    <row r="207" spans="1:8" ht="39.6" x14ac:dyDescent="0.25">
      <c r="A207" s="16" t="s">
        <v>99</v>
      </c>
      <c r="B207" s="16" t="s">
        <v>127</v>
      </c>
      <c r="C207" s="195" t="s">
        <v>526</v>
      </c>
      <c r="D207" s="84" t="s">
        <v>212</v>
      </c>
      <c r="E207" s="100" t="s">
        <v>213</v>
      </c>
      <c r="F207" s="39">
        <v>20</v>
      </c>
      <c r="G207" s="41">
        <v>20</v>
      </c>
      <c r="H207" s="96">
        <f t="shared" si="22"/>
        <v>100</v>
      </c>
    </row>
    <row r="208" spans="1:8" ht="39.6" x14ac:dyDescent="0.25">
      <c r="A208" s="16" t="s">
        <v>99</v>
      </c>
      <c r="B208" s="16" t="s">
        <v>127</v>
      </c>
      <c r="C208" s="195" t="s">
        <v>528</v>
      </c>
      <c r="D208" s="84"/>
      <c r="E208" s="100" t="s">
        <v>529</v>
      </c>
      <c r="F208" s="39">
        <f>F209</f>
        <v>99.4</v>
      </c>
      <c r="G208" s="39">
        <f>G209</f>
        <v>99.4</v>
      </c>
      <c r="H208" s="96">
        <f t="shared" si="22"/>
        <v>100</v>
      </c>
    </row>
    <row r="209" spans="1:8" ht="54" customHeight="1" x14ac:dyDescent="0.25">
      <c r="A209" s="16" t="s">
        <v>99</v>
      </c>
      <c r="B209" s="16" t="s">
        <v>127</v>
      </c>
      <c r="C209" s="195" t="s">
        <v>528</v>
      </c>
      <c r="D209" s="16" t="s">
        <v>14</v>
      </c>
      <c r="E209" s="100" t="s">
        <v>380</v>
      </c>
      <c r="F209" s="39">
        <f>100-0.6</f>
        <v>99.4</v>
      </c>
      <c r="G209" s="41">
        <v>99.4</v>
      </c>
      <c r="H209" s="96">
        <f t="shared" si="22"/>
        <v>100</v>
      </c>
    </row>
    <row r="210" spans="1:8" ht="52.8" x14ac:dyDescent="0.25">
      <c r="A210" s="16" t="s">
        <v>99</v>
      </c>
      <c r="B210" s="16" t="s">
        <v>127</v>
      </c>
      <c r="C210" s="195" t="s">
        <v>530</v>
      </c>
      <c r="D210" s="84"/>
      <c r="E210" s="100" t="s">
        <v>531</v>
      </c>
      <c r="F210" s="39">
        <f>F211</f>
        <v>499.5</v>
      </c>
      <c r="G210" s="39">
        <f>G211</f>
        <v>499.5</v>
      </c>
      <c r="H210" s="96">
        <f t="shared" si="22"/>
        <v>100</v>
      </c>
    </row>
    <row r="211" spans="1:8" ht="54" customHeight="1" x14ac:dyDescent="0.25">
      <c r="A211" s="16" t="s">
        <v>99</v>
      </c>
      <c r="B211" s="16" t="s">
        <v>127</v>
      </c>
      <c r="C211" s="195" t="s">
        <v>530</v>
      </c>
      <c r="D211" s="16" t="s">
        <v>14</v>
      </c>
      <c r="E211" s="100" t="s">
        <v>380</v>
      </c>
      <c r="F211" s="39">
        <f>500-0.5</f>
        <v>499.5</v>
      </c>
      <c r="G211" s="39">
        <v>499.5</v>
      </c>
      <c r="H211" s="96">
        <f t="shared" si="22"/>
        <v>100</v>
      </c>
    </row>
    <row r="212" spans="1:8" ht="92.4" x14ac:dyDescent="0.25">
      <c r="A212" s="16" t="s">
        <v>99</v>
      </c>
      <c r="B212" s="16" t="s">
        <v>127</v>
      </c>
      <c r="C212" s="195" t="s">
        <v>532</v>
      </c>
      <c r="D212" s="84"/>
      <c r="E212" s="100" t="s">
        <v>533</v>
      </c>
      <c r="F212" s="39">
        <f>F213</f>
        <v>100</v>
      </c>
      <c r="G212" s="39">
        <f>G213</f>
        <v>100</v>
      </c>
      <c r="H212" s="96">
        <f t="shared" si="22"/>
        <v>100</v>
      </c>
    </row>
    <row r="213" spans="1:8" ht="55.5" customHeight="1" x14ac:dyDescent="0.25">
      <c r="A213" s="16" t="s">
        <v>99</v>
      </c>
      <c r="B213" s="16" t="s">
        <v>127</v>
      </c>
      <c r="C213" s="195" t="s">
        <v>532</v>
      </c>
      <c r="D213" s="16" t="s">
        <v>14</v>
      </c>
      <c r="E213" s="100" t="s">
        <v>380</v>
      </c>
      <c r="F213" s="39">
        <v>100</v>
      </c>
      <c r="G213" s="158">
        <v>100</v>
      </c>
      <c r="H213" s="96">
        <f t="shared" si="22"/>
        <v>100</v>
      </c>
    </row>
    <row r="214" spans="1:8" ht="79.2" x14ac:dyDescent="0.25">
      <c r="A214" s="16" t="s">
        <v>99</v>
      </c>
      <c r="B214" s="16" t="s">
        <v>127</v>
      </c>
      <c r="C214" s="195" t="s">
        <v>534</v>
      </c>
      <c r="D214" s="84"/>
      <c r="E214" s="100" t="s">
        <v>535</v>
      </c>
      <c r="F214" s="39">
        <f>F215</f>
        <v>700</v>
      </c>
      <c r="G214" s="39">
        <f>G215</f>
        <v>700</v>
      </c>
      <c r="H214" s="96">
        <f t="shared" si="22"/>
        <v>100</v>
      </c>
    </row>
    <row r="215" spans="1:8" ht="66" x14ac:dyDescent="0.25">
      <c r="A215" s="16" t="s">
        <v>99</v>
      </c>
      <c r="B215" s="16" t="s">
        <v>127</v>
      </c>
      <c r="C215" s="195" t="s">
        <v>534</v>
      </c>
      <c r="D215" s="16" t="s">
        <v>14</v>
      </c>
      <c r="E215" s="100" t="s">
        <v>380</v>
      </c>
      <c r="F215" s="39">
        <v>700</v>
      </c>
      <c r="G215" s="41">
        <v>700</v>
      </c>
      <c r="H215" s="96">
        <f t="shared" si="22"/>
        <v>100</v>
      </c>
    </row>
    <row r="216" spans="1:8" ht="79.2" x14ac:dyDescent="0.25">
      <c r="A216" s="16" t="s">
        <v>99</v>
      </c>
      <c r="B216" s="16" t="s">
        <v>127</v>
      </c>
      <c r="C216" s="195" t="s">
        <v>536</v>
      </c>
      <c r="D216" s="16"/>
      <c r="E216" s="100" t="s">
        <v>537</v>
      </c>
      <c r="F216" s="39">
        <f>F217</f>
        <v>288.10000000000002</v>
      </c>
      <c r="G216" s="39">
        <f>G217</f>
        <v>288.10000000000002</v>
      </c>
      <c r="H216" s="96">
        <f t="shared" si="22"/>
        <v>100</v>
      </c>
    </row>
    <row r="217" spans="1:8" ht="54.75" customHeight="1" x14ac:dyDescent="0.25">
      <c r="A217" s="16" t="s">
        <v>99</v>
      </c>
      <c r="B217" s="16" t="s">
        <v>127</v>
      </c>
      <c r="C217" s="195" t="s">
        <v>536</v>
      </c>
      <c r="D217" s="16" t="s">
        <v>14</v>
      </c>
      <c r="E217" s="100" t="s">
        <v>380</v>
      </c>
      <c r="F217" s="39">
        <f>300-11.9</f>
        <v>288.10000000000002</v>
      </c>
      <c r="G217" s="95">
        <v>288.10000000000002</v>
      </c>
      <c r="H217" s="58">
        <f t="shared" si="22"/>
        <v>100</v>
      </c>
    </row>
    <row r="218" spans="1:8" ht="63" customHeight="1" x14ac:dyDescent="0.25">
      <c r="A218" s="5" t="s">
        <v>99</v>
      </c>
      <c r="B218" s="5" t="s">
        <v>127</v>
      </c>
      <c r="C218" s="73" t="s">
        <v>146</v>
      </c>
      <c r="D218" s="16"/>
      <c r="E218" s="63" t="s">
        <v>538</v>
      </c>
      <c r="F218" s="98">
        <f t="shared" ref="F218:G220" si="23">F219</f>
        <v>300</v>
      </c>
      <c r="G218" s="98">
        <f t="shared" si="23"/>
        <v>300</v>
      </c>
      <c r="H218" s="62">
        <f t="shared" si="22"/>
        <v>100</v>
      </c>
    </row>
    <row r="219" spans="1:8" ht="39" customHeight="1" x14ac:dyDescent="0.25">
      <c r="A219" s="47" t="s">
        <v>99</v>
      </c>
      <c r="B219" s="47" t="s">
        <v>127</v>
      </c>
      <c r="C219" s="52" t="s">
        <v>147</v>
      </c>
      <c r="D219" s="16"/>
      <c r="E219" s="48" t="s">
        <v>539</v>
      </c>
      <c r="F219" s="95">
        <f t="shared" si="23"/>
        <v>300</v>
      </c>
      <c r="G219" s="95">
        <f t="shared" si="23"/>
        <v>300</v>
      </c>
      <c r="H219" s="58">
        <f t="shared" si="22"/>
        <v>100</v>
      </c>
    </row>
    <row r="220" spans="1:8" ht="39" customHeight="1" x14ac:dyDescent="0.25">
      <c r="A220" s="16" t="s">
        <v>99</v>
      </c>
      <c r="B220" s="16" t="s">
        <v>127</v>
      </c>
      <c r="C220" s="198" t="s">
        <v>540</v>
      </c>
      <c r="D220" s="16"/>
      <c r="E220" s="102" t="s">
        <v>541</v>
      </c>
      <c r="F220" s="39">
        <f t="shared" si="23"/>
        <v>300</v>
      </c>
      <c r="G220" s="41">
        <f t="shared" si="23"/>
        <v>300</v>
      </c>
      <c r="H220" s="96">
        <f t="shared" si="22"/>
        <v>100</v>
      </c>
    </row>
    <row r="221" spans="1:8" ht="39.6" x14ac:dyDescent="0.25">
      <c r="A221" s="16" t="s">
        <v>99</v>
      </c>
      <c r="B221" s="16" t="s">
        <v>127</v>
      </c>
      <c r="C221" s="198" t="s">
        <v>540</v>
      </c>
      <c r="D221" s="84" t="s">
        <v>212</v>
      </c>
      <c r="E221" s="100" t="s">
        <v>213</v>
      </c>
      <c r="F221" s="39">
        <v>300</v>
      </c>
      <c r="G221" s="39">
        <v>300</v>
      </c>
      <c r="H221" s="96">
        <f t="shared" si="22"/>
        <v>100</v>
      </c>
    </row>
    <row r="222" spans="1:8" ht="15.6" x14ac:dyDescent="0.3">
      <c r="A222" s="4" t="s">
        <v>100</v>
      </c>
      <c r="B222" s="3"/>
      <c r="C222" s="3"/>
      <c r="D222" s="3"/>
      <c r="E222" s="49" t="s">
        <v>52</v>
      </c>
      <c r="F222" s="94">
        <f>F223+F247+F271+F360</f>
        <v>128427</v>
      </c>
      <c r="G222" s="94">
        <f>G223+G247+G271+G360</f>
        <v>111625.2</v>
      </c>
      <c r="H222" s="160">
        <f t="shared" si="22"/>
        <v>86.9</v>
      </c>
    </row>
    <row r="223" spans="1:8" ht="14.4" x14ac:dyDescent="0.3">
      <c r="A223" s="30" t="s">
        <v>100</v>
      </c>
      <c r="B223" s="30" t="s">
        <v>93</v>
      </c>
      <c r="C223" s="30"/>
      <c r="D223" s="30"/>
      <c r="E223" s="27" t="s">
        <v>47</v>
      </c>
      <c r="F223" s="40">
        <f>F224+F241</f>
        <v>9541.1</v>
      </c>
      <c r="G223" s="40">
        <f>G224+G241</f>
        <v>7265.2000000000007</v>
      </c>
      <c r="H223" s="42">
        <f t="shared" si="22"/>
        <v>76.099999999999994</v>
      </c>
    </row>
    <row r="224" spans="1:8" ht="61.5" customHeight="1" x14ac:dyDescent="0.25">
      <c r="A224" s="5" t="s">
        <v>100</v>
      </c>
      <c r="B224" s="5" t="s">
        <v>93</v>
      </c>
      <c r="C224" s="73" t="s">
        <v>154</v>
      </c>
      <c r="D224" s="16"/>
      <c r="E224" s="196" t="s">
        <v>542</v>
      </c>
      <c r="F224" s="98">
        <f>F225+F231+F236</f>
        <v>6584.4</v>
      </c>
      <c r="G224" s="98">
        <f>G225+G231+G236</f>
        <v>4308.5</v>
      </c>
      <c r="H224" s="62">
        <f t="shared" si="22"/>
        <v>65.400000000000006</v>
      </c>
    </row>
    <row r="225" spans="1:8" ht="39.6" x14ac:dyDescent="0.25">
      <c r="A225" s="47" t="s">
        <v>100</v>
      </c>
      <c r="B225" s="47" t="s">
        <v>93</v>
      </c>
      <c r="C225" s="52" t="s">
        <v>150</v>
      </c>
      <c r="D225" s="16"/>
      <c r="E225" s="48" t="s">
        <v>302</v>
      </c>
      <c r="F225" s="95">
        <f>F226+F229</f>
        <v>1702.4999999999998</v>
      </c>
      <c r="G225" s="95">
        <f>G226+G229</f>
        <v>1625.3999999999999</v>
      </c>
      <c r="H225" s="58">
        <f t="shared" si="22"/>
        <v>95.5</v>
      </c>
    </row>
    <row r="226" spans="1:8" ht="39.6" x14ac:dyDescent="0.3">
      <c r="A226" s="16" t="s">
        <v>100</v>
      </c>
      <c r="B226" s="16" t="s">
        <v>93</v>
      </c>
      <c r="C226" s="202" t="s">
        <v>543</v>
      </c>
      <c r="D226" s="3"/>
      <c r="E226" s="100" t="s">
        <v>268</v>
      </c>
      <c r="F226" s="41">
        <f>SUM(F227:F228)</f>
        <v>1151.6999999999998</v>
      </c>
      <c r="G226" s="41">
        <f>SUM(G227:G228)</f>
        <v>1074.5999999999999</v>
      </c>
      <c r="H226" s="96">
        <f t="shared" si="22"/>
        <v>93.3</v>
      </c>
    </row>
    <row r="227" spans="1:8" ht="39.6" x14ac:dyDescent="0.25">
      <c r="A227" s="16" t="s">
        <v>100</v>
      </c>
      <c r="B227" s="16" t="s">
        <v>93</v>
      </c>
      <c r="C227" s="202" t="s">
        <v>543</v>
      </c>
      <c r="D227" s="84" t="s">
        <v>212</v>
      </c>
      <c r="E227" s="100" t="s">
        <v>213</v>
      </c>
      <c r="F227" s="41">
        <f>150+892.1-4-2+11.6+155.2-4.8-53.4</f>
        <v>1144.6999999999998</v>
      </c>
      <c r="G227" s="96">
        <v>1067.5999999999999</v>
      </c>
      <c r="H227" s="58">
        <f t="shared" si="22"/>
        <v>93.3</v>
      </c>
    </row>
    <row r="228" spans="1:8" ht="14.25" customHeight="1" x14ac:dyDescent="0.25">
      <c r="A228" s="16" t="s">
        <v>100</v>
      </c>
      <c r="B228" s="16" t="s">
        <v>93</v>
      </c>
      <c r="C228" s="202" t="s">
        <v>543</v>
      </c>
      <c r="D228" s="84" t="s">
        <v>308</v>
      </c>
      <c r="E228" s="100" t="s">
        <v>309</v>
      </c>
      <c r="F228" s="41">
        <f>4+2+1</f>
        <v>7</v>
      </c>
      <c r="G228" s="96">
        <v>7</v>
      </c>
      <c r="H228" s="96">
        <f t="shared" si="22"/>
        <v>100</v>
      </c>
    </row>
    <row r="229" spans="1:8" ht="26.4" x14ac:dyDescent="0.3">
      <c r="A229" s="16" t="s">
        <v>100</v>
      </c>
      <c r="B229" s="16" t="s">
        <v>93</v>
      </c>
      <c r="C229" s="21" t="s">
        <v>544</v>
      </c>
      <c r="D229" s="3"/>
      <c r="E229" s="100" t="s">
        <v>352</v>
      </c>
      <c r="F229" s="41">
        <f>F230</f>
        <v>550.79999999999995</v>
      </c>
      <c r="G229" s="41">
        <f>G230</f>
        <v>550.79999999999995</v>
      </c>
      <c r="H229" s="96">
        <f t="shared" si="22"/>
        <v>100</v>
      </c>
    </row>
    <row r="230" spans="1:8" ht="39.6" x14ac:dyDescent="0.25">
      <c r="A230" s="16" t="s">
        <v>100</v>
      </c>
      <c r="B230" s="16" t="s">
        <v>93</v>
      </c>
      <c r="C230" s="21" t="s">
        <v>544</v>
      </c>
      <c r="D230" s="84" t="s">
        <v>212</v>
      </c>
      <c r="E230" s="100" t="s">
        <v>213</v>
      </c>
      <c r="F230" s="39">
        <f>697.9+8.1-155.2</f>
        <v>550.79999999999995</v>
      </c>
      <c r="G230" s="41">
        <v>550.79999999999995</v>
      </c>
      <c r="H230" s="96">
        <f t="shared" si="22"/>
        <v>100</v>
      </c>
    </row>
    <row r="231" spans="1:8" ht="39.6" x14ac:dyDescent="0.25">
      <c r="A231" s="47" t="s">
        <v>100</v>
      </c>
      <c r="B231" s="47" t="s">
        <v>93</v>
      </c>
      <c r="C231" s="52" t="s">
        <v>151</v>
      </c>
      <c r="D231" s="16"/>
      <c r="E231" s="48" t="s">
        <v>148</v>
      </c>
      <c r="F231" s="95">
        <f>F232+F234</f>
        <v>1262.9000000000001</v>
      </c>
      <c r="G231" s="95">
        <f>G232+G234</f>
        <v>1050</v>
      </c>
      <c r="H231" s="58">
        <f t="shared" si="22"/>
        <v>83.1</v>
      </c>
    </row>
    <row r="232" spans="1:8" x14ac:dyDescent="0.25">
      <c r="A232" s="16" t="s">
        <v>100</v>
      </c>
      <c r="B232" s="16" t="s">
        <v>93</v>
      </c>
      <c r="C232" s="202" t="s">
        <v>545</v>
      </c>
      <c r="D232" s="84"/>
      <c r="E232" s="100" t="s">
        <v>546</v>
      </c>
      <c r="F232" s="41">
        <f>F233</f>
        <v>200</v>
      </c>
      <c r="G232" s="41">
        <f>G233</f>
        <v>0</v>
      </c>
      <c r="H232" s="96">
        <f t="shared" si="22"/>
        <v>0</v>
      </c>
    </row>
    <row r="233" spans="1:8" ht="39.6" x14ac:dyDescent="0.25">
      <c r="A233" s="16" t="s">
        <v>100</v>
      </c>
      <c r="B233" s="16" t="s">
        <v>93</v>
      </c>
      <c r="C233" s="202" t="s">
        <v>545</v>
      </c>
      <c r="D233" s="84" t="s">
        <v>212</v>
      </c>
      <c r="E233" s="100" t="s">
        <v>213</v>
      </c>
      <c r="F233" s="41">
        <f>400-200</f>
        <v>200</v>
      </c>
      <c r="G233" s="41">
        <v>0</v>
      </c>
      <c r="H233" s="96">
        <f t="shared" si="22"/>
        <v>0</v>
      </c>
    </row>
    <row r="234" spans="1:8" ht="52.8" x14ac:dyDescent="0.25">
      <c r="A234" s="16" t="s">
        <v>100</v>
      </c>
      <c r="B234" s="16" t="s">
        <v>93</v>
      </c>
      <c r="C234" s="80">
        <v>520223265</v>
      </c>
      <c r="D234" s="84"/>
      <c r="E234" s="100" t="s">
        <v>547</v>
      </c>
      <c r="F234" s="41">
        <f>F235</f>
        <v>1062.9000000000001</v>
      </c>
      <c r="G234" s="41">
        <f>G235</f>
        <v>1050</v>
      </c>
      <c r="H234" s="96">
        <f t="shared" si="22"/>
        <v>98.8</v>
      </c>
    </row>
    <row r="235" spans="1:8" x14ac:dyDescent="0.25">
      <c r="A235" s="16" t="s">
        <v>100</v>
      </c>
      <c r="B235" s="16" t="s">
        <v>93</v>
      </c>
      <c r="C235" s="80">
        <v>520223265</v>
      </c>
      <c r="D235" s="111" t="s">
        <v>252</v>
      </c>
      <c r="E235" s="108" t="s">
        <v>275</v>
      </c>
      <c r="F235" s="41">
        <v>1062.9000000000001</v>
      </c>
      <c r="G235" s="41">
        <v>1050</v>
      </c>
      <c r="H235" s="96">
        <f t="shared" si="22"/>
        <v>98.8</v>
      </c>
    </row>
    <row r="236" spans="1:8" ht="38.25" customHeight="1" x14ac:dyDescent="0.25">
      <c r="A236" s="47" t="s">
        <v>100</v>
      </c>
      <c r="B236" s="47" t="s">
        <v>93</v>
      </c>
      <c r="C236" s="52" t="s">
        <v>152</v>
      </c>
      <c r="D236" s="16"/>
      <c r="E236" s="48" t="s">
        <v>149</v>
      </c>
      <c r="F236" s="95">
        <f>F237+F239</f>
        <v>3619</v>
      </c>
      <c r="G236" s="95">
        <f>G237+G239</f>
        <v>1633.1000000000001</v>
      </c>
      <c r="H236" s="58">
        <f t="shared" si="22"/>
        <v>45.1</v>
      </c>
    </row>
    <row r="237" spans="1:8" ht="57" customHeight="1" x14ac:dyDescent="0.25">
      <c r="A237" s="84" t="s">
        <v>100</v>
      </c>
      <c r="B237" s="84" t="s">
        <v>93</v>
      </c>
      <c r="C237" s="80">
        <v>530123271</v>
      </c>
      <c r="D237" s="16"/>
      <c r="E237" s="100" t="s">
        <v>153</v>
      </c>
      <c r="F237" s="41">
        <f t="shared" ref="F237:G237" si="24">F238</f>
        <v>1635.7</v>
      </c>
      <c r="G237" s="41">
        <f t="shared" si="24"/>
        <v>1581.7</v>
      </c>
      <c r="H237" s="96">
        <f t="shared" si="22"/>
        <v>96.7</v>
      </c>
    </row>
    <row r="238" spans="1:8" ht="39.6" x14ac:dyDescent="0.25">
      <c r="A238" s="16" t="s">
        <v>100</v>
      </c>
      <c r="B238" s="16" t="s">
        <v>93</v>
      </c>
      <c r="C238" s="80">
        <v>530123271</v>
      </c>
      <c r="D238" s="84" t="s">
        <v>212</v>
      </c>
      <c r="E238" s="100" t="s">
        <v>213</v>
      </c>
      <c r="F238" s="148">
        <v>1635.7</v>
      </c>
      <c r="G238" s="109">
        <v>1581.7</v>
      </c>
      <c r="H238" s="96">
        <f t="shared" si="22"/>
        <v>96.7</v>
      </c>
    </row>
    <row r="239" spans="1:8" ht="39.6" x14ac:dyDescent="0.25">
      <c r="A239" s="16" t="s">
        <v>100</v>
      </c>
      <c r="B239" s="16" t="s">
        <v>93</v>
      </c>
      <c r="C239" s="80">
        <v>530223272</v>
      </c>
      <c r="D239" s="16"/>
      <c r="E239" s="100" t="s">
        <v>548</v>
      </c>
      <c r="F239" s="41">
        <f t="shared" ref="F239:G239" si="25">F240</f>
        <v>1983.3</v>
      </c>
      <c r="G239" s="41">
        <f t="shared" si="25"/>
        <v>51.4</v>
      </c>
      <c r="H239" s="96">
        <f t="shared" si="22"/>
        <v>2.6</v>
      </c>
    </row>
    <row r="240" spans="1:8" ht="39.6" x14ac:dyDescent="0.25">
      <c r="A240" s="16" t="s">
        <v>100</v>
      </c>
      <c r="B240" s="16" t="s">
        <v>93</v>
      </c>
      <c r="C240" s="80">
        <v>530223272</v>
      </c>
      <c r="D240" s="84" t="s">
        <v>212</v>
      </c>
      <c r="E240" s="100" t="s">
        <v>213</v>
      </c>
      <c r="F240" s="41">
        <f>2400-416.7</f>
        <v>1983.3</v>
      </c>
      <c r="G240" s="41">
        <v>51.4</v>
      </c>
      <c r="H240" s="96">
        <f t="shared" si="22"/>
        <v>2.6</v>
      </c>
    </row>
    <row r="241" spans="1:8" ht="89.25" customHeight="1" x14ac:dyDescent="0.25">
      <c r="A241" s="5" t="s">
        <v>100</v>
      </c>
      <c r="B241" s="5" t="s">
        <v>93</v>
      </c>
      <c r="C241" s="73" t="s">
        <v>512</v>
      </c>
      <c r="D241" s="84"/>
      <c r="E241" s="200" t="s">
        <v>513</v>
      </c>
      <c r="F241" s="98">
        <f t="shared" ref="F241:G243" si="26">F242</f>
        <v>2956.7000000000003</v>
      </c>
      <c r="G241" s="98">
        <f t="shared" si="26"/>
        <v>2956.7000000000003</v>
      </c>
      <c r="H241" s="96">
        <f t="shared" si="22"/>
        <v>100</v>
      </c>
    </row>
    <row r="242" spans="1:8" ht="52.8" x14ac:dyDescent="0.25">
      <c r="A242" s="47" t="s">
        <v>100</v>
      </c>
      <c r="B242" s="47" t="s">
        <v>93</v>
      </c>
      <c r="C242" s="201">
        <v>1520000000</v>
      </c>
      <c r="D242" s="47"/>
      <c r="E242" s="203" t="s">
        <v>549</v>
      </c>
      <c r="F242" s="95">
        <f t="shared" si="26"/>
        <v>2956.7000000000003</v>
      </c>
      <c r="G242" s="95">
        <f t="shared" si="26"/>
        <v>2956.7000000000003</v>
      </c>
      <c r="H242" s="96">
        <f t="shared" si="22"/>
        <v>100</v>
      </c>
    </row>
    <row r="243" spans="1:8" ht="26.4" x14ac:dyDescent="0.25">
      <c r="A243" s="16" t="s">
        <v>100</v>
      </c>
      <c r="B243" s="16" t="s">
        <v>93</v>
      </c>
      <c r="C243" s="152">
        <v>1520300000</v>
      </c>
      <c r="D243" s="91"/>
      <c r="E243" s="99" t="s">
        <v>550</v>
      </c>
      <c r="F243" s="41">
        <f t="shared" si="26"/>
        <v>2956.7000000000003</v>
      </c>
      <c r="G243" s="41">
        <f t="shared" si="26"/>
        <v>2956.7000000000003</v>
      </c>
      <c r="H243" s="96">
        <f t="shared" si="22"/>
        <v>100</v>
      </c>
    </row>
    <row r="244" spans="1:8" ht="52.8" x14ac:dyDescent="0.25">
      <c r="A244" s="16" t="s">
        <v>100</v>
      </c>
      <c r="B244" s="16" t="s">
        <v>93</v>
      </c>
      <c r="C244" s="152">
        <v>1520324012</v>
      </c>
      <c r="D244" s="84"/>
      <c r="E244" s="99" t="s">
        <v>417</v>
      </c>
      <c r="F244" s="41">
        <f>SUM(F245:F246)</f>
        <v>2956.7000000000003</v>
      </c>
      <c r="G244" s="41">
        <f>SUM(G245:G246)</f>
        <v>2956.7000000000003</v>
      </c>
      <c r="H244" s="96">
        <f t="shared" si="22"/>
        <v>100</v>
      </c>
    </row>
    <row r="245" spans="1:8" ht="39.6" x14ac:dyDescent="0.25">
      <c r="A245" s="16" t="s">
        <v>100</v>
      </c>
      <c r="B245" s="16" t="s">
        <v>93</v>
      </c>
      <c r="C245" s="152">
        <v>1520324012</v>
      </c>
      <c r="D245" s="84" t="s">
        <v>212</v>
      </c>
      <c r="E245" s="100" t="s">
        <v>213</v>
      </c>
      <c r="F245" s="41">
        <f>2993-41.1</f>
        <v>2951.9</v>
      </c>
      <c r="G245" s="41">
        <f>2993-41.1</f>
        <v>2951.9</v>
      </c>
      <c r="H245" s="96">
        <f>ROUND((G245/F245*100),1)</f>
        <v>100</v>
      </c>
    </row>
    <row r="246" spans="1:8" x14ac:dyDescent="0.25">
      <c r="A246" s="16" t="s">
        <v>100</v>
      </c>
      <c r="B246" s="16" t="s">
        <v>93</v>
      </c>
      <c r="C246" s="150">
        <v>1520324012</v>
      </c>
      <c r="D246" s="84" t="s">
        <v>308</v>
      </c>
      <c r="E246" s="100" t="s">
        <v>309</v>
      </c>
      <c r="F246" s="41">
        <v>4.8</v>
      </c>
      <c r="G246" s="41">
        <v>4.8</v>
      </c>
      <c r="H246" s="96">
        <f>ROUND((G246/F246*100),1)</f>
        <v>100</v>
      </c>
    </row>
    <row r="247" spans="1:8" ht="14.4" x14ac:dyDescent="0.3">
      <c r="A247" s="30" t="s">
        <v>100</v>
      </c>
      <c r="B247" s="30" t="s">
        <v>94</v>
      </c>
      <c r="C247" s="30"/>
      <c r="D247" s="30"/>
      <c r="E247" s="27" t="s">
        <v>46</v>
      </c>
      <c r="F247" s="40">
        <f>F248+F252+F268</f>
        <v>30000.3</v>
      </c>
      <c r="G247" s="40">
        <f>G248+G252+G268</f>
        <v>28402</v>
      </c>
      <c r="H247" s="42">
        <f t="shared" si="22"/>
        <v>94.7</v>
      </c>
    </row>
    <row r="248" spans="1:8" ht="52.8" x14ac:dyDescent="0.25">
      <c r="A248" s="5" t="s">
        <v>100</v>
      </c>
      <c r="B248" s="5" t="s">
        <v>94</v>
      </c>
      <c r="C248" s="76">
        <v>400000000</v>
      </c>
      <c r="D248" s="5"/>
      <c r="E248" s="64" t="s">
        <v>551</v>
      </c>
      <c r="F248" s="98">
        <f t="shared" ref="F248:G249" si="27">F249</f>
        <v>24955.200000000001</v>
      </c>
      <c r="G248" s="98">
        <f t="shared" si="27"/>
        <v>23690.1</v>
      </c>
      <c r="H248" s="62">
        <f t="shared" si="22"/>
        <v>94.9</v>
      </c>
    </row>
    <row r="249" spans="1:8" ht="99.75" customHeight="1" x14ac:dyDescent="0.25">
      <c r="A249" s="16" t="s">
        <v>100</v>
      </c>
      <c r="B249" s="16" t="s">
        <v>94</v>
      </c>
      <c r="C249" s="75">
        <v>430000000</v>
      </c>
      <c r="D249" s="16"/>
      <c r="E249" s="46" t="s">
        <v>304</v>
      </c>
      <c r="F249" s="95">
        <f t="shared" si="27"/>
        <v>24955.200000000001</v>
      </c>
      <c r="G249" s="95">
        <f t="shared" si="27"/>
        <v>23690.1</v>
      </c>
      <c r="H249" s="58">
        <f t="shared" si="22"/>
        <v>94.9</v>
      </c>
    </row>
    <row r="250" spans="1:8" ht="52.8" x14ac:dyDescent="0.25">
      <c r="A250" s="16" t="s">
        <v>100</v>
      </c>
      <c r="B250" s="16" t="s">
        <v>94</v>
      </c>
      <c r="C250" s="74">
        <v>430227330</v>
      </c>
      <c r="D250" s="16"/>
      <c r="E250" s="100" t="s">
        <v>171</v>
      </c>
      <c r="F250" s="41">
        <f>F251</f>
        <v>24955.200000000001</v>
      </c>
      <c r="G250" s="41">
        <f>G251</f>
        <v>23690.1</v>
      </c>
      <c r="H250" s="96">
        <f t="shared" si="22"/>
        <v>94.9</v>
      </c>
    </row>
    <row r="251" spans="1:8" ht="54" customHeight="1" x14ac:dyDescent="0.25">
      <c r="A251" s="16" t="s">
        <v>100</v>
      </c>
      <c r="B251" s="16" t="s">
        <v>94</v>
      </c>
      <c r="C251" s="74">
        <v>430227330</v>
      </c>
      <c r="D251" s="16" t="s">
        <v>14</v>
      </c>
      <c r="E251" s="100" t="s">
        <v>331</v>
      </c>
      <c r="F251" s="39">
        <f>12819.1-2000+14136.1</f>
        <v>24955.200000000001</v>
      </c>
      <c r="G251" s="41">
        <v>23690.1</v>
      </c>
      <c r="H251" s="96">
        <f>ROUND((G251/F251*100),1)</f>
        <v>94.9</v>
      </c>
    </row>
    <row r="252" spans="1:8" ht="75.75" customHeight="1" x14ac:dyDescent="0.25">
      <c r="A252" s="5" t="s">
        <v>100</v>
      </c>
      <c r="B252" s="5" t="s">
        <v>94</v>
      </c>
      <c r="C252" s="82" t="s">
        <v>37</v>
      </c>
      <c r="D252" s="16"/>
      <c r="E252" s="53" t="s">
        <v>552</v>
      </c>
      <c r="F252" s="98">
        <f>F253+F258+F263</f>
        <v>4945.0999999999995</v>
      </c>
      <c r="G252" s="98">
        <f>G253+G258+G263</f>
        <v>4618</v>
      </c>
      <c r="H252" s="62">
        <f t="shared" si="22"/>
        <v>93.4</v>
      </c>
    </row>
    <row r="253" spans="1:8" ht="25.5" customHeight="1" x14ac:dyDescent="0.25">
      <c r="A253" s="16" t="s">
        <v>100</v>
      </c>
      <c r="B253" s="16" t="s">
        <v>94</v>
      </c>
      <c r="C253" s="52" t="s">
        <v>38</v>
      </c>
      <c r="D253" s="16"/>
      <c r="E253" s="48" t="s">
        <v>553</v>
      </c>
      <c r="F253" s="95">
        <f>F254+F256</f>
        <v>452.9</v>
      </c>
      <c r="G253" s="95">
        <f>G254+G256</f>
        <v>452.7</v>
      </c>
      <c r="H253" s="58">
        <f t="shared" si="22"/>
        <v>100</v>
      </c>
    </row>
    <row r="254" spans="1:8" ht="26.4" x14ac:dyDescent="0.3">
      <c r="A254" s="16" t="s">
        <v>100</v>
      </c>
      <c r="B254" s="16" t="s">
        <v>94</v>
      </c>
      <c r="C254" s="21" t="s">
        <v>554</v>
      </c>
      <c r="D254" s="3"/>
      <c r="E254" s="100" t="s">
        <v>190</v>
      </c>
      <c r="F254" s="41">
        <f t="shared" ref="F254:G254" si="28">F255</f>
        <v>442.9</v>
      </c>
      <c r="G254" s="41">
        <f t="shared" si="28"/>
        <v>442.7</v>
      </c>
      <c r="H254" s="96">
        <f t="shared" si="22"/>
        <v>100</v>
      </c>
    </row>
    <row r="255" spans="1:8" ht="42" customHeight="1" x14ac:dyDescent="0.25">
      <c r="A255" s="16" t="s">
        <v>100</v>
      </c>
      <c r="B255" s="16" t="s">
        <v>94</v>
      </c>
      <c r="C255" s="21" t="s">
        <v>554</v>
      </c>
      <c r="D255" s="84" t="s">
        <v>212</v>
      </c>
      <c r="E255" s="100" t="s">
        <v>213</v>
      </c>
      <c r="F255" s="41">
        <f>443-0.1</f>
        <v>442.9</v>
      </c>
      <c r="G255" s="41">
        <v>442.7</v>
      </c>
      <c r="H255" s="96">
        <f>ROUND((G255/F255*100),1)</f>
        <v>100</v>
      </c>
    </row>
    <row r="256" spans="1:8" ht="26.4" x14ac:dyDescent="0.25">
      <c r="A256" s="16" t="s">
        <v>100</v>
      </c>
      <c r="B256" s="16" t="s">
        <v>94</v>
      </c>
      <c r="C256" s="21" t="s">
        <v>555</v>
      </c>
      <c r="D256" s="16"/>
      <c r="E256" s="100" t="s">
        <v>348</v>
      </c>
      <c r="F256" s="41">
        <f t="shared" ref="F256:G256" si="29">F257</f>
        <v>10</v>
      </c>
      <c r="G256" s="41">
        <f t="shared" si="29"/>
        <v>10</v>
      </c>
      <c r="H256" s="96">
        <f>ROUND((G256/F256*100),1)</f>
        <v>100</v>
      </c>
    </row>
    <row r="257" spans="1:8" ht="42" customHeight="1" x14ac:dyDescent="0.25">
      <c r="A257" s="16" t="s">
        <v>100</v>
      </c>
      <c r="B257" s="16" t="s">
        <v>94</v>
      </c>
      <c r="C257" s="21" t="s">
        <v>555</v>
      </c>
      <c r="D257" s="84" t="s">
        <v>212</v>
      </c>
      <c r="E257" s="100" t="s">
        <v>213</v>
      </c>
      <c r="F257" s="41">
        <f>40-30</f>
        <v>10</v>
      </c>
      <c r="G257" s="101">
        <v>10</v>
      </c>
      <c r="H257" s="96">
        <f>ROUND((G257/F257*100),1)</f>
        <v>100</v>
      </c>
    </row>
    <row r="258" spans="1:8" ht="26.4" x14ac:dyDescent="0.25">
      <c r="A258" s="47" t="s">
        <v>100</v>
      </c>
      <c r="B258" s="47" t="s">
        <v>94</v>
      </c>
      <c r="C258" s="52" t="s">
        <v>384</v>
      </c>
      <c r="D258" s="16"/>
      <c r="E258" s="46" t="s">
        <v>358</v>
      </c>
      <c r="F258" s="95">
        <f>F259+F261</f>
        <v>1094.9000000000001</v>
      </c>
      <c r="G258" s="95">
        <f>G259+G261</f>
        <v>768</v>
      </c>
      <c r="H258" s="58">
        <f>ROUND((G258/F258*100),1)</f>
        <v>70.099999999999994</v>
      </c>
    </row>
    <row r="259" spans="1:8" ht="39.6" x14ac:dyDescent="0.25">
      <c r="A259" s="16" t="s">
        <v>100</v>
      </c>
      <c r="B259" s="16" t="s">
        <v>94</v>
      </c>
      <c r="C259" s="21" t="s">
        <v>556</v>
      </c>
      <c r="D259" s="16"/>
      <c r="E259" s="99" t="s">
        <v>191</v>
      </c>
      <c r="F259" s="41">
        <f>F260</f>
        <v>178</v>
      </c>
      <c r="G259" s="41">
        <f>G260</f>
        <v>178</v>
      </c>
      <c r="H259" s="96">
        <f>ROUND((G259/F259*100),1)</f>
        <v>100</v>
      </c>
    </row>
    <row r="260" spans="1:8" ht="39.6" x14ac:dyDescent="0.25">
      <c r="A260" s="16" t="s">
        <v>100</v>
      </c>
      <c r="B260" s="16" t="s">
        <v>94</v>
      </c>
      <c r="C260" s="21" t="s">
        <v>556</v>
      </c>
      <c r="D260" s="84" t="s">
        <v>212</v>
      </c>
      <c r="E260" s="100" t="s">
        <v>213</v>
      </c>
      <c r="F260" s="41">
        <f>250-72</f>
        <v>178</v>
      </c>
      <c r="G260" s="106">
        <v>178</v>
      </c>
      <c r="H260" s="96">
        <f>ROUND((прил.5!I275/F260*100),1)</f>
        <v>100</v>
      </c>
    </row>
    <row r="261" spans="1:8" ht="26.4" x14ac:dyDescent="0.25">
      <c r="A261" s="16" t="s">
        <v>100</v>
      </c>
      <c r="B261" s="16" t="s">
        <v>94</v>
      </c>
      <c r="C261" s="21" t="s">
        <v>557</v>
      </c>
      <c r="D261" s="84"/>
      <c r="E261" s="100" t="s">
        <v>402</v>
      </c>
      <c r="F261" s="41">
        <f>F262</f>
        <v>916.9</v>
      </c>
      <c r="G261" s="41">
        <f>G262</f>
        <v>590</v>
      </c>
      <c r="H261" s="96">
        <f t="shared" ref="H261:H296" si="30">ROUND((G261/F261*100),1)</f>
        <v>64.3</v>
      </c>
    </row>
    <row r="262" spans="1:8" ht="39.6" x14ac:dyDescent="0.25">
      <c r="A262" s="16" t="s">
        <v>100</v>
      </c>
      <c r="B262" s="16" t="s">
        <v>94</v>
      </c>
      <c r="C262" s="21" t="s">
        <v>557</v>
      </c>
      <c r="D262" s="84" t="s">
        <v>212</v>
      </c>
      <c r="E262" s="100" t="s">
        <v>213</v>
      </c>
      <c r="F262" s="41">
        <f>590+146.9+180</f>
        <v>916.9</v>
      </c>
      <c r="G262" s="39">
        <v>590</v>
      </c>
      <c r="H262" s="96">
        <f t="shared" si="30"/>
        <v>64.3</v>
      </c>
    </row>
    <row r="263" spans="1:8" ht="26.4" x14ac:dyDescent="0.25">
      <c r="A263" s="16" t="s">
        <v>100</v>
      </c>
      <c r="B263" s="16" t="s">
        <v>94</v>
      </c>
      <c r="C263" s="52" t="s">
        <v>39</v>
      </c>
      <c r="D263" s="16"/>
      <c r="E263" s="46" t="s">
        <v>558</v>
      </c>
      <c r="F263" s="122">
        <f>F264+F266</f>
        <v>3397.2999999999993</v>
      </c>
      <c r="G263" s="122">
        <f>G264+G266</f>
        <v>3397.3</v>
      </c>
      <c r="H263" s="58">
        <f t="shared" si="30"/>
        <v>100</v>
      </c>
    </row>
    <row r="264" spans="1:8" ht="39.6" x14ac:dyDescent="0.25">
      <c r="A264" s="16" t="s">
        <v>100</v>
      </c>
      <c r="B264" s="16" t="s">
        <v>94</v>
      </c>
      <c r="C264" s="21" t="s">
        <v>559</v>
      </c>
      <c r="D264" s="16"/>
      <c r="E264" s="102" t="s">
        <v>560</v>
      </c>
      <c r="F264" s="109">
        <f>F265</f>
        <v>2523.9999999999991</v>
      </c>
      <c r="G264" s="109">
        <f>G265</f>
        <v>2524</v>
      </c>
      <c r="H264" s="96">
        <f t="shared" si="30"/>
        <v>100</v>
      </c>
    </row>
    <row r="265" spans="1:8" ht="39.6" x14ac:dyDescent="0.25">
      <c r="A265" s="16" t="s">
        <v>100</v>
      </c>
      <c r="B265" s="16" t="s">
        <v>94</v>
      </c>
      <c r="C265" s="21" t="s">
        <v>559</v>
      </c>
      <c r="D265" s="84" t="s">
        <v>212</v>
      </c>
      <c r="E265" s="100" t="s">
        <v>213</v>
      </c>
      <c r="F265" s="109">
        <f>19821.8-14859.1-3849.7+127.9+68+500+722.9-7.8</f>
        <v>2523.9999999999991</v>
      </c>
      <c r="G265" s="41">
        <v>2524</v>
      </c>
      <c r="H265" s="96">
        <f t="shared" si="30"/>
        <v>100</v>
      </c>
    </row>
    <row r="266" spans="1:8" ht="26.4" x14ac:dyDescent="0.25">
      <c r="A266" s="16" t="s">
        <v>100</v>
      </c>
      <c r="B266" s="16" t="s">
        <v>94</v>
      </c>
      <c r="C266" s="21" t="s">
        <v>561</v>
      </c>
      <c r="D266" s="16"/>
      <c r="E266" s="102" t="s">
        <v>386</v>
      </c>
      <c r="F266" s="109">
        <f>F267</f>
        <v>873.3</v>
      </c>
      <c r="G266" s="41">
        <f>G267</f>
        <v>873.3</v>
      </c>
      <c r="H266" s="96">
        <f t="shared" si="30"/>
        <v>100</v>
      </c>
    </row>
    <row r="267" spans="1:8" x14ac:dyDescent="0.25">
      <c r="A267" s="16" t="s">
        <v>100</v>
      </c>
      <c r="B267" s="16" t="s">
        <v>94</v>
      </c>
      <c r="C267" s="21" t="s">
        <v>561</v>
      </c>
      <c r="D267" s="111" t="s">
        <v>252</v>
      </c>
      <c r="E267" s="108" t="s">
        <v>275</v>
      </c>
      <c r="F267" s="109">
        <f>910.3-37</f>
        <v>873.3</v>
      </c>
      <c r="G267" s="110">
        <v>873.3</v>
      </c>
      <c r="H267" s="96">
        <f t="shared" si="30"/>
        <v>100</v>
      </c>
    </row>
    <row r="268" spans="1:8" ht="26.4" x14ac:dyDescent="0.25">
      <c r="A268" s="16" t="s">
        <v>100</v>
      </c>
      <c r="B268" s="16" t="s">
        <v>94</v>
      </c>
      <c r="C268" s="84" t="s">
        <v>29</v>
      </c>
      <c r="D268" s="84"/>
      <c r="E268" s="102" t="s">
        <v>43</v>
      </c>
      <c r="F268" s="41">
        <f>F269</f>
        <v>100</v>
      </c>
      <c r="G268" s="41">
        <f>G269</f>
        <v>93.9</v>
      </c>
      <c r="H268" s="96">
        <f t="shared" si="30"/>
        <v>93.9</v>
      </c>
    </row>
    <row r="269" spans="1:8" ht="39.6" x14ac:dyDescent="0.25">
      <c r="A269" s="16" t="s">
        <v>100</v>
      </c>
      <c r="B269" s="16" t="s">
        <v>94</v>
      </c>
      <c r="C269" s="84" t="s">
        <v>562</v>
      </c>
      <c r="D269" s="16"/>
      <c r="E269" s="54" t="s">
        <v>351</v>
      </c>
      <c r="F269" s="41">
        <f>SUM(F270:F270)</f>
        <v>100</v>
      </c>
      <c r="G269" s="41">
        <f>SUM(G270:G270)</f>
        <v>93.9</v>
      </c>
      <c r="H269" s="96">
        <f t="shared" si="30"/>
        <v>93.9</v>
      </c>
    </row>
    <row r="270" spans="1:8" ht="39.6" x14ac:dyDescent="0.25">
      <c r="A270" s="16" t="s">
        <v>100</v>
      </c>
      <c r="B270" s="16" t="s">
        <v>94</v>
      </c>
      <c r="C270" s="84" t="s">
        <v>562</v>
      </c>
      <c r="D270" s="84" t="s">
        <v>212</v>
      </c>
      <c r="E270" s="100" t="s">
        <v>213</v>
      </c>
      <c r="F270" s="39">
        <v>100</v>
      </c>
      <c r="G270" s="41">
        <v>93.9</v>
      </c>
      <c r="H270" s="96">
        <f t="shared" si="30"/>
        <v>93.9</v>
      </c>
    </row>
    <row r="271" spans="1:8" ht="14.4" x14ac:dyDescent="0.3">
      <c r="A271" s="30" t="s">
        <v>100</v>
      </c>
      <c r="B271" s="30" t="s">
        <v>98</v>
      </c>
      <c r="C271" s="30"/>
      <c r="D271" s="30"/>
      <c r="E271" s="27" t="s">
        <v>53</v>
      </c>
      <c r="F271" s="40">
        <f>F272+F278+F310+F324+F357</f>
        <v>87476.5</v>
      </c>
      <c r="G271" s="40">
        <f>G272+G278+G310+G324+G357</f>
        <v>74591</v>
      </c>
      <c r="H271" s="42">
        <f t="shared" si="30"/>
        <v>85.3</v>
      </c>
    </row>
    <row r="272" spans="1:8" ht="66" x14ac:dyDescent="0.25">
      <c r="A272" s="5" t="s">
        <v>100</v>
      </c>
      <c r="B272" s="5" t="s">
        <v>98</v>
      </c>
      <c r="C272" s="78" t="s">
        <v>71</v>
      </c>
      <c r="D272" s="16"/>
      <c r="E272" s="63" t="s">
        <v>563</v>
      </c>
      <c r="F272" s="98">
        <f t="shared" ref="F272:G272" si="31">F273</f>
        <v>629.29999999999995</v>
      </c>
      <c r="G272" s="98">
        <f t="shared" si="31"/>
        <v>624.70000000000005</v>
      </c>
      <c r="H272" s="62">
        <f t="shared" si="30"/>
        <v>99.3</v>
      </c>
    </row>
    <row r="273" spans="1:8" ht="36.75" customHeight="1" x14ac:dyDescent="0.25">
      <c r="A273" s="47" t="s">
        <v>100</v>
      </c>
      <c r="B273" s="47" t="s">
        <v>98</v>
      </c>
      <c r="C273" s="77" t="s">
        <v>72</v>
      </c>
      <c r="D273" s="16"/>
      <c r="E273" s="60" t="s">
        <v>564</v>
      </c>
      <c r="F273" s="95">
        <f>F274+F276</f>
        <v>629.29999999999995</v>
      </c>
      <c r="G273" s="95">
        <f>G274+G276</f>
        <v>624.70000000000005</v>
      </c>
      <c r="H273" s="58">
        <f t="shared" si="30"/>
        <v>99.3</v>
      </c>
    </row>
    <row r="274" spans="1:8" ht="30" customHeight="1" x14ac:dyDescent="0.25">
      <c r="A274" s="84" t="s">
        <v>100</v>
      </c>
      <c r="B274" s="84" t="s">
        <v>98</v>
      </c>
      <c r="C274" s="198" t="s">
        <v>565</v>
      </c>
      <c r="D274" s="16"/>
      <c r="E274" s="100" t="s">
        <v>566</v>
      </c>
      <c r="F274" s="41">
        <f t="shared" ref="F274:G274" si="32">F275</f>
        <v>620.29999999999995</v>
      </c>
      <c r="G274" s="41">
        <f t="shared" si="32"/>
        <v>620</v>
      </c>
      <c r="H274" s="96">
        <f t="shared" si="30"/>
        <v>100</v>
      </c>
    </row>
    <row r="275" spans="1:8" ht="39.6" x14ac:dyDescent="0.25">
      <c r="A275" s="84" t="s">
        <v>100</v>
      </c>
      <c r="B275" s="84" t="s">
        <v>98</v>
      </c>
      <c r="C275" s="198" t="s">
        <v>565</v>
      </c>
      <c r="D275" s="84" t="s">
        <v>212</v>
      </c>
      <c r="E275" s="100" t="s">
        <v>213</v>
      </c>
      <c r="F275" s="41">
        <v>620.29999999999995</v>
      </c>
      <c r="G275" s="39">
        <v>620</v>
      </c>
      <c r="H275" s="96">
        <f t="shared" si="30"/>
        <v>100</v>
      </c>
    </row>
    <row r="276" spans="1:8" ht="26.4" x14ac:dyDescent="0.25">
      <c r="A276" s="84" t="s">
        <v>100</v>
      </c>
      <c r="B276" s="84" t="s">
        <v>98</v>
      </c>
      <c r="C276" s="198" t="s">
        <v>567</v>
      </c>
      <c r="D276" s="84"/>
      <c r="E276" s="100" t="s">
        <v>568</v>
      </c>
      <c r="F276" s="41">
        <f>F277</f>
        <v>9</v>
      </c>
      <c r="G276" s="41">
        <f>G277</f>
        <v>4.7</v>
      </c>
      <c r="H276" s="96">
        <f t="shared" si="30"/>
        <v>52.2</v>
      </c>
    </row>
    <row r="277" spans="1:8" ht="39.6" x14ac:dyDescent="0.25">
      <c r="A277" s="84" t="s">
        <v>100</v>
      </c>
      <c r="B277" s="84" t="s">
        <v>98</v>
      </c>
      <c r="C277" s="198" t="s">
        <v>567</v>
      </c>
      <c r="D277" s="84" t="s">
        <v>212</v>
      </c>
      <c r="E277" s="100" t="s">
        <v>213</v>
      </c>
      <c r="F277" s="41">
        <v>9</v>
      </c>
      <c r="G277" s="41">
        <v>4.7</v>
      </c>
      <c r="H277" s="96">
        <f t="shared" si="30"/>
        <v>52.2</v>
      </c>
    </row>
    <row r="278" spans="1:8" ht="62.25" customHeight="1" x14ac:dyDescent="0.25">
      <c r="A278" s="5" t="s">
        <v>100</v>
      </c>
      <c r="B278" s="5" t="s">
        <v>98</v>
      </c>
      <c r="C278" s="73" t="s">
        <v>60</v>
      </c>
      <c r="D278" s="16"/>
      <c r="E278" s="53" t="s">
        <v>569</v>
      </c>
      <c r="F278" s="98">
        <f>F279+F290+F293+F300</f>
        <v>31360.100000000002</v>
      </c>
      <c r="G278" s="98">
        <f>G279+G290+G293+G300</f>
        <v>30679.199999999997</v>
      </c>
      <c r="H278" s="62">
        <f t="shared" si="30"/>
        <v>97.8</v>
      </c>
    </row>
    <row r="279" spans="1:8" ht="39.6" x14ac:dyDescent="0.25">
      <c r="A279" s="84" t="s">
        <v>100</v>
      </c>
      <c r="B279" s="84" t="s">
        <v>98</v>
      </c>
      <c r="C279" s="52" t="s">
        <v>61</v>
      </c>
      <c r="D279" s="47"/>
      <c r="E279" s="48" t="s">
        <v>570</v>
      </c>
      <c r="F279" s="95">
        <f>F280+F282+F284+F286+F288</f>
        <v>11363.000000000002</v>
      </c>
      <c r="G279" s="95">
        <f>G280+G282+G284+G286+G288</f>
        <v>11334.2</v>
      </c>
      <c r="H279" s="58">
        <f t="shared" si="30"/>
        <v>99.7</v>
      </c>
    </row>
    <row r="280" spans="1:8" ht="29.25" customHeight="1" x14ac:dyDescent="0.25">
      <c r="A280" s="16" t="s">
        <v>100</v>
      </c>
      <c r="B280" s="84" t="s">
        <v>98</v>
      </c>
      <c r="C280" s="74">
        <v>1210123505</v>
      </c>
      <c r="D280" s="21"/>
      <c r="E280" s="100" t="s">
        <v>571</v>
      </c>
      <c r="F280" s="41">
        <f>F281</f>
        <v>4995.4000000000005</v>
      </c>
      <c r="G280" s="41">
        <f>G281</f>
        <v>4995.3999999999996</v>
      </c>
      <c r="H280" s="96">
        <f t="shared" si="30"/>
        <v>100</v>
      </c>
    </row>
    <row r="281" spans="1:8" ht="39.6" x14ac:dyDescent="0.25">
      <c r="A281" s="84" t="s">
        <v>100</v>
      </c>
      <c r="B281" s="84" t="s">
        <v>98</v>
      </c>
      <c r="C281" s="74">
        <v>1210123505</v>
      </c>
      <c r="D281" s="84" t="s">
        <v>212</v>
      </c>
      <c r="E281" s="100" t="s">
        <v>213</v>
      </c>
      <c r="F281" s="39">
        <f>3473.5-275.7+100+875.8+293.2+275.7-875.8-59.2+300+491.8+337.1+136.5-77.5</f>
        <v>4995.4000000000005</v>
      </c>
      <c r="G281" s="41">
        <v>4995.3999999999996</v>
      </c>
      <c r="H281" s="96">
        <f t="shared" si="30"/>
        <v>100</v>
      </c>
    </row>
    <row r="282" spans="1:8" ht="52.8" x14ac:dyDescent="0.25">
      <c r="A282" s="84" t="s">
        <v>100</v>
      </c>
      <c r="B282" s="84" t="s">
        <v>98</v>
      </c>
      <c r="C282" s="74">
        <v>1210123510</v>
      </c>
      <c r="D282" s="21"/>
      <c r="E282" s="100" t="s">
        <v>239</v>
      </c>
      <c r="F282" s="41">
        <f>F283</f>
        <v>4043.5</v>
      </c>
      <c r="G282" s="41">
        <f>G283</f>
        <v>4043.5</v>
      </c>
      <c r="H282" s="96">
        <f t="shared" si="30"/>
        <v>100</v>
      </c>
    </row>
    <row r="283" spans="1:8" ht="39.6" x14ac:dyDescent="0.25">
      <c r="A283" s="16" t="s">
        <v>100</v>
      </c>
      <c r="B283" s="84" t="s">
        <v>98</v>
      </c>
      <c r="C283" s="74">
        <v>1210123510</v>
      </c>
      <c r="D283" s="84" t="s">
        <v>212</v>
      </c>
      <c r="E283" s="100" t="s">
        <v>213</v>
      </c>
      <c r="F283" s="41">
        <f>5279.4-898.9-337.1+0.1</f>
        <v>4043.5</v>
      </c>
      <c r="G283" s="41">
        <v>4043.5</v>
      </c>
      <c r="H283" s="96">
        <f t="shared" si="30"/>
        <v>100</v>
      </c>
    </row>
    <row r="284" spans="1:8" ht="24.75" customHeight="1" x14ac:dyDescent="0.25">
      <c r="A284" s="84" t="s">
        <v>100</v>
      </c>
      <c r="B284" s="84" t="s">
        <v>98</v>
      </c>
      <c r="C284" s="74">
        <v>1210123515</v>
      </c>
      <c r="D284" s="16"/>
      <c r="E284" s="100" t="s">
        <v>27</v>
      </c>
      <c r="F284" s="41">
        <f>F285</f>
        <v>645.6</v>
      </c>
      <c r="G284" s="41">
        <f>G285</f>
        <v>645.6</v>
      </c>
      <c r="H284" s="96">
        <f t="shared" si="30"/>
        <v>100</v>
      </c>
    </row>
    <row r="285" spans="1:8" ht="39.6" x14ac:dyDescent="0.25">
      <c r="A285" s="84" t="s">
        <v>100</v>
      </c>
      <c r="B285" s="84" t="s">
        <v>98</v>
      </c>
      <c r="C285" s="74">
        <v>1210123515</v>
      </c>
      <c r="D285" s="84" t="s">
        <v>212</v>
      </c>
      <c r="E285" s="100" t="s">
        <v>213</v>
      </c>
      <c r="F285" s="41">
        <f>500+145.6</f>
        <v>645.6</v>
      </c>
      <c r="G285" s="41">
        <v>645.6</v>
      </c>
      <c r="H285" s="96">
        <f t="shared" si="30"/>
        <v>100</v>
      </c>
    </row>
    <row r="286" spans="1:8" ht="66.75" customHeight="1" x14ac:dyDescent="0.25">
      <c r="A286" s="84" t="s">
        <v>100</v>
      </c>
      <c r="B286" s="84" t="s">
        <v>98</v>
      </c>
      <c r="C286" s="152" t="s">
        <v>572</v>
      </c>
      <c r="D286" s="84"/>
      <c r="E286" s="125" t="s">
        <v>573</v>
      </c>
      <c r="F286" s="41">
        <f>F287</f>
        <v>1378.5</v>
      </c>
      <c r="G286" s="41">
        <f>G287</f>
        <v>1349.7</v>
      </c>
      <c r="H286" s="96">
        <f t="shared" si="30"/>
        <v>97.9</v>
      </c>
    </row>
    <row r="287" spans="1:8" ht="39.6" x14ac:dyDescent="0.25">
      <c r="A287" s="84" t="s">
        <v>100</v>
      </c>
      <c r="B287" s="84" t="s">
        <v>98</v>
      </c>
      <c r="C287" s="150" t="s">
        <v>572</v>
      </c>
      <c r="D287" s="84" t="s">
        <v>212</v>
      </c>
      <c r="E287" s="100" t="s">
        <v>213</v>
      </c>
      <c r="F287" s="41">
        <f>275.7+1102.8</f>
        <v>1378.5</v>
      </c>
      <c r="G287" s="39">
        <v>1349.7</v>
      </c>
      <c r="H287" s="96">
        <f t="shared" si="30"/>
        <v>97.9</v>
      </c>
    </row>
    <row r="288" spans="1:8" ht="26.4" x14ac:dyDescent="0.25">
      <c r="A288" s="16" t="s">
        <v>100</v>
      </c>
      <c r="B288" s="84" t="s">
        <v>98</v>
      </c>
      <c r="C288" s="74">
        <v>1210223520</v>
      </c>
      <c r="D288" s="16"/>
      <c r="E288" s="100" t="s">
        <v>240</v>
      </c>
      <c r="F288" s="41">
        <f>F289</f>
        <v>300</v>
      </c>
      <c r="G288" s="41">
        <f>G289</f>
        <v>300</v>
      </c>
      <c r="H288" s="58">
        <f t="shared" si="30"/>
        <v>100</v>
      </c>
    </row>
    <row r="289" spans="1:8" ht="39.6" x14ac:dyDescent="0.25">
      <c r="A289" s="84" t="s">
        <v>100</v>
      </c>
      <c r="B289" s="84" t="s">
        <v>98</v>
      </c>
      <c r="C289" s="74">
        <v>1210223520</v>
      </c>
      <c r="D289" s="84" t="s">
        <v>212</v>
      </c>
      <c r="E289" s="100" t="s">
        <v>213</v>
      </c>
      <c r="F289" s="39">
        <v>300</v>
      </c>
      <c r="G289" s="41">
        <v>300</v>
      </c>
      <c r="H289" s="96">
        <f t="shared" si="30"/>
        <v>100</v>
      </c>
    </row>
    <row r="290" spans="1:8" ht="19.5" customHeight="1" x14ac:dyDescent="0.25">
      <c r="A290" s="84" t="s">
        <v>100</v>
      </c>
      <c r="B290" s="84" t="s">
        <v>98</v>
      </c>
      <c r="C290" s="52" t="s">
        <v>62</v>
      </c>
      <c r="D290" s="47"/>
      <c r="E290" s="48" t="s">
        <v>30</v>
      </c>
      <c r="F290" s="95">
        <f>F291</f>
        <v>1560.6</v>
      </c>
      <c r="G290" s="95">
        <f>G291</f>
        <v>1541.8</v>
      </c>
      <c r="H290" s="58">
        <f t="shared" si="30"/>
        <v>98.8</v>
      </c>
    </row>
    <row r="291" spans="1:8" ht="26.4" x14ac:dyDescent="0.25">
      <c r="A291" s="84" t="s">
        <v>100</v>
      </c>
      <c r="B291" s="84" t="s">
        <v>98</v>
      </c>
      <c r="C291" s="80">
        <v>1220123525</v>
      </c>
      <c r="D291" s="16"/>
      <c r="E291" s="100" t="s">
        <v>192</v>
      </c>
      <c r="F291" s="41">
        <f t="shared" ref="F291:G291" si="33">F292</f>
        <v>1560.6</v>
      </c>
      <c r="G291" s="41">
        <f t="shared" si="33"/>
        <v>1541.8</v>
      </c>
      <c r="H291" s="96">
        <f t="shared" si="30"/>
        <v>98.8</v>
      </c>
    </row>
    <row r="292" spans="1:8" ht="39.6" x14ac:dyDescent="0.25">
      <c r="A292" s="84" t="s">
        <v>100</v>
      </c>
      <c r="B292" s="84" t="s">
        <v>98</v>
      </c>
      <c r="C292" s="80">
        <v>1220123525</v>
      </c>
      <c r="D292" s="84" t="s">
        <v>212</v>
      </c>
      <c r="E292" s="100" t="s">
        <v>213</v>
      </c>
      <c r="F292" s="41">
        <f>1610.5-49.9</f>
        <v>1560.6</v>
      </c>
      <c r="G292" s="41">
        <v>1541.8</v>
      </c>
      <c r="H292" s="96">
        <f t="shared" si="30"/>
        <v>98.8</v>
      </c>
    </row>
    <row r="293" spans="1:8" ht="39.6" x14ac:dyDescent="0.25">
      <c r="A293" s="84" t="s">
        <v>100</v>
      </c>
      <c r="B293" s="84" t="s">
        <v>98</v>
      </c>
      <c r="C293" s="52" t="s">
        <v>63</v>
      </c>
      <c r="D293" s="47"/>
      <c r="E293" s="48" t="s">
        <v>574</v>
      </c>
      <c r="F293" s="95">
        <f>F294+F296+F298</f>
        <v>5240.1000000000004</v>
      </c>
      <c r="G293" s="95">
        <f>G294+G296+G298</f>
        <v>5240.1000000000004</v>
      </c>
      <c r="H293" s="58">
        <f t="shared" si="30"/>
        <v>100</v>
      </c>
    </row>
    <row r="294" spans="1:8" ht="26.4" x14ac:dyDescent="0.25">
      <c r="A294" s="84" t="s">
        <v>100</v>
      </c>
      <c r="B294" s="84" t="s">
        <v>98</v>
      </c>
      <c r="C294" s="21" t="s">
        <v>575</v>
      </c>
      <c r="D294" s="16"/>
      <c r="E294" s="100" t="s">
        <v>311</v>
      </c>
      <c r="F294" s="41">
        <f>F295</f>
        <v>2944.4</v>
      </c>
      <c r="G294" s="41">
        <f>G295</f>
        <v>2944.4</v>
      </c>
      <c r="H294" s="96">
        <f t="shared" si="30"/>
        <v>100</v>
      </c>
    </row>
    <row r="295" spans="1:8" ht="39.6" x14ac:dyDescent="0.25">
      <c r="A295" s="84" t="s">
        <v>100</v>
      </c>
      <c r="B295" s="84" t="s">
        <v>98</v>
      </c>
      <c r="C295" s="21" t="s">
        <v>575</v>
      </c>
      <c r="D295" s="84" t="s">
        <v>212</v>
      </c>
      <c r="E295" s="100" t="s">
        <v>213</v>
      </c>
      <c r="F295" s="41">
        <f>3800-1000+144.4</f>
        <v>2944.4</v>
      </c>
      <c r="G295" s="41">
        <v>2944.4</v>
      </c>
      <c r="H295" s="96">
        <f t="shared" si="30"/>
        <v>100</v>
      </c>
    </row>
    <row r="296" spans="1:8" ht="17.25" customHeight="1" x14ac:dyDescent="0.25">
      <c r="A296" s="84" t="s">
        <v>100</v>
      </c>
      <c r="B296" s="84" t="s">
        <v>98</v>
      </c>
      <c r="C296" s="21" t="s">
        <v>576</v>
      </c>
      <c r="D296" s="16"/>
      <c r="E296" s="100" t="s">
        <v>28</v>
      </c>
      <c r="F296" s="41">
        <f>F297</f>
        <v>2290.6999999999998</v>
      </c>
      <c r="G296" s="41">
        <f>G297</f>
        <v>2290.6999999999998</v>
      </c>
      <c r="H296" s="96">
        <f t="shared" si="30"/>
        <v>100</v>
      </c>
    </row>
    <row r="297" spans="1:8" ht="39.6" x14ac:dyDescent="0.25">
      <c r="A297" s="84" t="s">
        <v>100</v>
      </c>
      <c r="B297" s="84" t="s">
        <v>98</v>
      </c>
      <c r="C297" s="21" t="s">
        <v>576</v>
      </c>
      <c r="D297" s="84" t="s">
        <v>212</v>
      </c>
      <c r="E297" s="100" t="s">
        <v>213</v>
      </c>
      <c r="F297" s="41">
        <f>1170+1070.7+59.2-9.2</f>
        <v>2290.6999999999998</v>
      </c>
      <c r="G297" s="41">
        <v>2290.6999999999998</v>
      </c>
      <c r="H297" s="96">
        <f>ROUND((прил.5!I321/F297*100),1)</f>
        <v>0.2</v>
      </c>
    </row>
    <row r="298" spans="1:8" ht="26.4" x14ac:dyDescent="0.25">
      <c r="A298" s="84" t="s">
        <v>100</v>
      </c>
      <c r="B298" s="84" t="s">
        <v>98</v>
      </c>
      <c r="C298" s="21" t="s">
        <v>577</v>
      </c>
      <c r="D298" s="16"/>
      <c r="E298" s="100" t="s">
        <v>193</v>
      </c>
      <c r="F298" s="41">
        <f>F299</f>
        <v>5</v>
      </c>
      <c r="G298" s="41">
        <f>G299</f>
        <v>5</v>
      </c>
      <c r="H298" s="96">
        <f t="shared" ref="H298:H357" si="34">ROUND((G298/F298*100),1)</f>
        <v>100</v>
      </c>
    </row>
    <row r="299" spans="1:8" ht="39.6" x14ac:dyDescent="0.25">
      <c r="A299" s="84" t="s">
        <v>100</v>
      </c>
      <c r="B299" s="84" t="s">
        <v>98</v>
      </c>
      <c r="C299" s="21" t="s">
        <v>577</v>
      </c>
      <c r="D299" s="84" t="s">
        <v>212</v>
      </c>
      <c r="E299" s="100" t="s">
        <v>213</v>
      </c>
      <c r="F299" s="41">
        <v>5</v>
      </c>
      <c r="G299" s="41">
        <v>5</v>
      </c>
      <c r="H299" s="96">
        <f t="shared" si="34"/>
        <v>100</v>
      </c>
    </row>
    <row r="300" spans="1:8" ht="41.25" customHeight="1" x14ac:dyDescent="0.25">
      <c r="A300" s="84" t="s">
        <v>100</v>
      </c>
      <c r="B300" s="84" t="s">
        <v>98</v>
      </c>
      <c r="C300" s="52" t="s">
        <v>64</v>
      </c>
      <c r="D300" s="16"/>
      <c r="E300" s="60" t="s">
        <v>578</v>
      </c>
      <c r="F300" s="41">
        <f>F301+F303+F305+F308</f>
        <v>13196.399999999998</v>
      </c>
      <c r="G300" s="41">
        <f>G301+G303+G305+G308</f>
        <v>12563.099999999999</v>
      </c>
      <c r="H300" s="96">
        <f t="shared" si="34"/>
        <v>95.2</v>
      </c>
    </row>
    <row r="301" spans="1:8" ht="26.4" x14ac:dyDescent="0.25">
      <c r="A301" s="84" t="s">
        <v>100</v>
      </c>
      <c r="B301" s="84" t="s">
        <v>98</v>
      </c>
      <c r="C301" s="21" t="s">
        <v>579</v>
      </c>
      <c r="D301" s="16"/>
      <c r="E301" s="100" t="s">
        <v>385</v>
      </c>
      <c r="F301" s="41">
        <f>F302</f>
        <v>289.20000000000005</v>
      </c>
      <c r="G301" s="41">
        <f>G302</f>
        <v>289.2</v>
      </c>
      <c r="H301" s="96">
        <f t="shared" si="34"/>
        <v>100</v>
      </c>
    </row>
    <row r="302" spans="1:8" ht="39.6" x14ac:dyDescent="0.25">
      <c r="A302" s="84" t="s">
        <v>100</v>
      </c>
      <c r="B302" s="84" t="s">
        <v>98</v>
      </c>
      <c r="C302" s="21" t="s">
        <v>579</v>
      </c>
      <c r="D302" s="84" t="s">
        <v>212</v>
      </c>
      <c r="E302" s="100" t="s">
        <v>213</v>
      </c>
      <c r="F302" s="41">
        <f>500+162.5-29.3-344</f>
        <v>289.20000000000005</v>
      </c>
      <c r="G302" s="41">
        <v>289.2</v>
      </c>
      <c r="H302" s="96">
        <f t="shared" si="34"/>
        <v>100</v>
      </c>
    </row>
    <row r="303" spans="1:8" ht="43.5" customHeight="1" x14ac:dyDescent="0.25">
      <c r="A303" s="84" t="s">
        <v>100</v>
      </c>
      <c r="B303" s="84" t="s">
        <v>98</v>
      </c>
      <c r="C303" s="21" t="s">
        <v>580</v>
      </c>
      <c r="D303" s="84"/>
      <c r="E303" s="100" t="s">
        <v>581</v>
      </c>
      <c r="F303" s="41">
        <f>F304</f>
        <v>29.3</v>
      </c>
      <c r="G303" s="41">
        <f>G304</f>
        <v>29.3</v>
      </c>
      <c r="H303" s="96">
        <f t="shared" si="34"/>
        <v>100</v>
      </c>
    </row>
    <row r="304" spans="1:8" ht="41.25" customHeight="1" x14ac:dyDescent="0.25">
      <c r="A304" s="84" t="s">
        <v>100</v>
      </c>
      <c r="B304" s="84" t="s">
        <v>98</v>
      </c>
      <c r="C304" s="21" t="s">
        <v>580</v>
      </c>
      <c r="D304" s="84" t="s">
        <v>212</v>
      </c>
      <c r="E304" s="100" t="s">
        <v>213</v>
      </c>
      <c r="F304" s="41">
        <v>29.3</v>
      </c>
      <c r="G304" s="41">
        <v>29.3</v>
      </c>
      <c r="H304" s="96">
        <f t="shared" si="34"/>
        <v>100</v>
      </c>
    </row>
    <row r="305" spans="1:8" ht="30.75" customHeight="1" x14ac:dyDescent="0.25">
      <c r="A305" s="16" t="s">
        <v>100</v>
      </c>
      <c r="B305" s="16" t="s">
        <v>98</v>
      </c>
      <c r="C305" s="21" t="s">
        <v>582</v>
      </c>
      <c r="D305" s="84"/>
      <c r="E305" s="100" t="s">
        <v>583</v>
      </c>
      <c r="F305" s="41">
        <f>SUM(F306:F307)</f>
        <v>9492.1999999999989</v>
      </c>
      <c r="G305" s="41">
        <f>SUM(G306:G307)</f>
        <v>8858.9</v>
      </c>
      <c r="H305" s="96">
        <f t="shared" si="34"/>
        <v>93.3</v>
      </c>
    </row>
    <row r="306" spans="1:8" ht="39.6" x14ac:dyDescent="0.25">
      <c r="A306" s="16" t="s">
        <v>100</v>
      </c>
      <c r="B306" s="16" t="s">
        <v>98</v>
      </c>
      <c r="C306" s="21" t="s">
        <v>582</v>
      </c>
      <c r="D306" s="84" t="s">
        <v>212</v>
      </c>
      <c r="E306" s="100" t="s">
        <v>213</v>
      </c>
      <c r="F306" s="41">
        <f>9500-8.6</f>
        <v>9491.4</v>
      </c>
      <c r="G306" s="41">
        <v>8858.1</v>
      </c>
      <c r="H306" s="96">
        <f t="shared" si="34"/>
        <v>93.3</v>
      </c>
    </row>
    <row r="307" spans="1:8" x14ac:dyDescent="0.25">
      <c r="A307" s="16" t="s">
        <v>100</v>
      </c>
      <c r="B307" s="16" t="s">
        <v>98</v>
      </c>
      <c r="C307" s="21" t="s">
        <v>582</v>
      </c>
      <c r="D307" s="84" t="s">
        <v>308</v>
      </c>
      <c r="E307" s="54" t="s">
        <v>309</v>
      </c>
      <c r="F307" s="41">
        <v>0.8</v>
      </c>
      <c r="G307" s="41">
        <v>0.8</v>
      </c>
      <c r="H307" s="96">
        <f t="shared" si="34"/>
        <v>100</v>
      </c>
    </row>
    <row r="308" spans="1:8" x14ac:dyDescent="0.25">
      <c r="A308" s="16" t="s">
        <v>100</v>
      </c>
      <c r="B308" s="16" t="s">
        <v>98</v>
      </c>
      <c r="C308" s="21" t="s">
        <v>584</v>
      </c>
      <c r="D308" s="84"/>
      <c r="E308" s="100" t="s">
        <v>585</v>
      </c>
      <c r="F308" s="41">
        <f>F309</f>
        <v>3385.7</v>
      </c>
      <c r="G308" s="41">
        <f>G309</f>
        <v>3385.7</v>
      </c>
      <c r="H308" s="96">
        <f t="shared" si="34"/>
        <v>100</v>
      </c>
    </row>
    <row r="309" spans="1:8" ht="42" customHeight="1" x14ac:dyDescent="0.25">
      <c r="A309" s="16" t="s">
        <v>100</v>
      </c>
      <c r="B309" s="16" t="s">
        <v>98</v>
      </c>
      <c r="C309" s="21" t="s">
        <v>584</v>
      </c>
      <c r="D309" s="84" t="s">
        <v>212</v>
      </c>
      <c r="E309" s="100" t="s">
        <v>213</v>
      </c>
      <c r="F309" s="41">
        <f>3108.9-59.4+344-7.8</f>
        <v>3385.7</v>
      </c>
      <c r="G309" s="41">
        <v>3385.7</v>
      </c>
      <c r="H309" s="96">
        <f t="shared" si="34"/>
        <v>100</v>
      </c>
    </row>
    <row r="310" spans="1:8" ht="60.75" customHeight="1" x14ac:dyDescent="0.25">
      <c r="A310" s="5" t="s">
        <v>100</v>
      </c>
      <c r="B310" s="5" t="s">
        <v>98</v>
      </c>
      <c r="C310" s="76">
        <v>1400000000</v>
      </c>
      <c r="D310" s="16"/>
      <c r="E310" s="196" t="s">
        <v>586</v>
      </c>
      <c r="F310" s="98">
        <f>F311</f>
        <v>46054.5</v>
      </c>
      <c r="G310" s="98">
        <f>G311</f>
        <v>33856.400000000001</v>
      </c>
      <c r="H310" s="62">
        <f t="shared" si="34"/>
        <v>73.5</v>
      </c>
    </row>
    <row r="311" spans="1:8" ht="65.25" customHeight="1" x14ac:dyDescent="0.25">
      <c r="A311" s="47" t="s">
        <v>100</v>
      </c>
      <c r="B311" s="47" t="s">
        <v>98</v>
      </c>
      <c r="C311" s="75">
        <v>1410000000</v>
      </c>
      <c r="D311" s="16"/>
      <c r="E311" s="48" t="s">
        <v>217</v>
      </c>
      <c r="F311" s="95">
        <f>F312+F314+F316+F318+F320+F322</f>
        <v>46054.5</v>
      </c>
      <c r="G311" s="95">
        <f>G312+G314+G316+G318+G320+G322</f>
        <v>33856.400000000001</v>
      </c>
      <c r="H311" s="58">
        <f t="shared" si="34"/>
        <v>73.5</v>
      </c>
    </row>
    <row r="312" spans="1:8" x14ac:dyDescent="0.25">
      <c r="A312" s="84" t="s">
        <v>100</v>
      </c>
      <c r="B312" s="84" t="s">
        <v>98</v>
      </c>
      <c r="C312" s="74">
        <v>1410223125</v>
      </c>
      <c r="D312" s="84"/>
      <c r="E312" s="100" t="s">
        <v>382</v>
      </c>
      <c r="F312" s="41">
        <f>F313</f>
        <v>689.6</v>
      </c>
      <c r="G312" s="41">
        <f>G313</f>
        <v>689.6</v>
      </c>
      <c r="H312" s="96">
        <f t="shared" si="34"/>
        <v>100</v>
      </c>
    </row>
    <row r="313" spans="1:8" ht="39.6" x14ac:dyDescent="0.25">
      <c r="A313" s="84" t="s">
        <v>100</v>
      </c>
      <c r="B313" s="84" t="s">
        <v>98</v>
      </c>
      <c r="C313" s="74">
        <v>1410223125</v>
      </c>
      <c r="D313" s="84" t="s">
        <v>212</v>
      </c>
      <c r="E313" s="100" t="s">
        <v>213</v>
      </c>
      <c r="F313" s="41">
        <f>538.6+60+278.4-16.5-174.4+3.5</f>
        <v>689.6</v>
      </c>
      <c r="G313" s="41">
        <f>538.6+60+278.4-16.5-174.4+3.5</f>
        <v>689.6</v>
      </c>
      <c r="H313" s="58">
        <f t="shared" si="34"/>
        <v>100</v>
      </c>
    </row>
    <row r="314" spans="1:8" ht="26.4" x14ac:dyDescent="0.25">
      <c r="A314" s="84" t="s">
        <v>100</v>
      </c>
      <c r="B314" s="84" t="s">
        <v>98</v>
      </c>
      <c r="C314" s="74">
        <v>1410223130</v>
      </c>
      <c r="D314" s="84"/>
      <c r="E314" s="125" t="s">
        <v>416</v>
      </c>
      <c r="F314" s="41">
        <f>F315</f>
        <v>23651.1</v>
      </c>
      <c r="G314" s="41">
        <f t="shared" ref="G314" si="35">G315</f>
        <v>11453</v>
      </c>
      <c r="H314" s="96">
        <f t="shared" si="34"/>
        <v>48.4</v>
      </c>
    </row>
    <row r="315" spans="1:8" ht="39.6" x14ac:dyDescent="0.25">
      <c r="A315" s="84" t="s">
        <v>100</v>
      </c>
      <c r="B315" s="84" t="s">
        <v>98</v>
      </c>
      <c r="C315" s="74">
        <v>1410223130</v>
      </c>
      <c r="D315" s="84" t="s">
        <v>212</v>
      </c>
      <c r="E315" s="100" t="s">
        <v>213</v>
      </c>
      <c r="F315" s="41">
        <f>9651.1+14000</f>
        <v>23651.1</v>
      </c>
      <c r="G315" s="41">
        <v>11453</v>
      </c>
      <c r="H315" s="96">
        <f t="shared" si="34"/>
        <v>48.4</v>
      </c>
    </row>
    <row r="316" spans="1:8" ht="26.4" x14ac:dyDescent="0.25">
      <c r="A316" s="84" t="s">
        <v>100</v>
      </c>
      <c r="B316" s="84" t="s">
        <v>98</v>
      </c>
      <c r="C316" s="74">
        <v>1410223135</v>
      </c>
      <c r="D316" s="157"/>
      <c r="E316" s="151" t="s">
        <v>403</v>
      </c>
      <c r="F316" s="41">
        <f>F317</f>
        <v>556.4</v>
      </c>
      <c r="G316" s="41">
        <f>G317</f>
        <v>556.4</v>
      </c>
      <c r="H316" s="96">
        <f t="shared" si="34"/>
        <v>100</v>
      </c>
    </row>
    <row r="317" spans="1:8" ht="39" customHeight="1" x14ac:dyDescent="0.25">
      <c r="A317" s="84" t="s">
        <v>100</v>
      </c>
      <c r="B317" s="84" t="s">
        <v>98</v>
      </c>
      <c r="C317" s="74">
        <v>1410223135</v>
      </c>
      <c r="D317" s="84" t="s">
        <v>212</v>
      </c>
      <c r="E317" s="100" t="s">
        <v>213</v>
      </c>
      <c r="F317" s="41">
        <f>84.4+284.9+12.7+174.4</f>
        <v>556.4</v>
      </c>
      <c r="G317" s="41">
        <v>556.4</v>
      </c>
      <c r="H317" s="96">
        <f t="shared" si="34"/>
        <v>100</v>
      </c>
    </row>
    <row r="318" spans="1:8" ht="26.4" x14ac:dyDescent="0.25">
      <c r="A318" s="84" t="s">
        <v>100</v>
      </c>
      <c r="B318" s="84" t="s">
        <v>98</v>
      </c>
      <c r="C318" s="74">
        <v>1410211180</v>
      </c>
      <c r="D318" s="84"/>
      <c r="E318" s="100" t="s">
        <v>587</v>
      </c>
      <c r="F318" s="41">
        <f>F319</f>
        <v>1000</v>
      </c>
      <c r="G318" s="41">
        <f>G319</f>
        <v>1000</v>
      </c>
      <c r="H318" s="96">
        <f t="shared" si="34"/>
        <v>100</v>
      </c>
    </row>
    <row r="319" spans="1:8" ht="39.6" x14ac:dyDescent="0.25">
      <c r="A319" s="84" t="s">
        <v>100</v>
      </c>
      <c r="B319" s="84" t="s">
        <v>98</v>
      </c>
      <c r="C319" s="74">
        <v>1410211180</v>
      </c>
      <c r="D319" s="84" t="s">
        <v>212</v>
      </c>
      <c r="E319" s="100" t="s">
        <v>213</v>
      </c>
      <c r="F319" s="41">
        <v>1000</v>
      </c>
      <c r="G319" s="41">
        <v>1000</v>
      </c>
      <c r="H319" s="96">
        <f t="shared" si="34"/>
        <v>100</v>
      </c>
    </row>
    <row r="320" spans="1:8" ht="26.4" x14ac:dyDescent="0.25">
      <c r="A320" s="16" t="s">
        <v>100</v>
      </c>
      <c r="B320" s="16" t="s">
        <v>98</v>
      </c>
      <c r="C320" s="74" t="s">
        <v>367</v>
      </c>
      <c r="D320" s="16"/>
      <c r="E320" s="100" t="s">
        <v>329</v>
      </c>
      <c r="F320" s="41">
        <f>F321</f>
        <v>12070.4</v>
      </c>
      <c r="G320" s="41">
        <f>G321</f>
        <v>12070.4</v>
      </c>
      <c r="H320" s="96">
        <f t="shared" si="34"/>
        <v>100</v>
      </c>
    </row>
    <row r="321" spans="1:8" ht="39.6" x14ac:dyDescent="0.25">
      <c r="A321" s="16" t="s">
        <v>100</v>
      </c>
      <c r="B321" s="16" t="s">
        <v>98</v>
      </c>
      <c r="C321" s="74" t="s">
        <v>367</v>
      </c>
      <c r="D321" s="84" t="s">
        <v>212</v>
      </c>
      <c r="E321" s="100" t="s">
        <v>213</v>
      </c>
      <c r="F321" s="41">
        <v>12070.4</v>
      </c>
      <c r="G321" s="41">
        <v>12070.4</v>
      </c>
      <c r="H321" s="96">
        <f t="shared" si="34"/>
        <v>100</v>
      </c>
    </row>
    <row r="322" spans="1:8" ht="52.8" x14ac:dyDescent="0.25">
      <c r="A322" s="84" t="s">
        <v>100</v>
      </c>
      <c r="B322" s="84" t="s">
        <v>98</v>
      </c>
      <c r="C322" s="204" t="s">
        <v>588</v>
      </c>
      <c r="D322" s="16"/>
      <c r="E322" s="100" t="s">
        <v>589</v>
      </c>
      <c r="F322" s="41">
        <f>F323</f>
        <v>8087</v>
      </c>
      <c r="G322" s="41">
        <f>G323</f>
        <v>8087</v>
      </c>
      <c r="H322" s="96">
        <f t="shared" si="34"/>
        <v>100</v>
      </c>
    </row>
    <row r="323" spans="1:8" ht="39.6" x14ac:dyDescent="0.25">
      <c r="A323" s="84" t="s">
        <v>100</v>
      </c>
      <c r="B323" s="16" t="s">
        <v>98</v>
      </c>
      <c r="C323" s="204" t="s">
        <v>588</v>
      </c>
      <c r="D323" s="84" t="s">
        <v>212</v>
      </c>
      <c r="E323" s="100" t="s">
        <v>213</v>
      </c>
      <c r="F323" s="41">
        <f>70000-61913</f>
        <v>8087</v>
      </c>
      <c r="G323" s="41">
        <v>8087</v>
      </c>
      <c r="H323" s="96">
        <f t="shared" si="34"/>
        <v>100</v>
      </c>
    </row>
    <row r="324" spans="1:8" ht="90" customHeight="1" x14ac:dyDescent="0.25">
      <c r="A324" s="5" t="s">
        <v>100</v>
      </c>
      <c r="B324" s="5" t="s">
        <v>98</v>
      </c>
      <c r="C324" s="73" t="s">
        <v>512</v>
      </c>
      <c r="D324" s="84"/>
      <c r="E324" s="200" t="s">
        <v>513</v>
      </c>
      <c r="F324" s="98">
        <f>F325+F354</f>
        <v>9332.6</v>
      </c>
      <c r="G324" s="98">
        <f>G325+G354</f>
        <v>9330.7000000000007</v>
      </c>
      <c r="H324" s="62">
        <f t="shared" si="34"/>
        <v>100</v>
      </c>
    </row>
    <row r="325" spans="1:8" ht="52.8" x14ac:dyDescent="0.25">
      <c r="A325" s="47" t="s">
        <v>100</v>
      </c>
      <c r="B325" s="47" t="s">
        <v>98</v>
      </c>
      <c r="C325" s="201">
        <v>1510000000</v>
      </c>
      <c r="D325" s="84"/>
      <c r="E325" s="48" t="s">
        <v>400</v>
      </c>
      <c r="F325" s="95">
        <f>F326+F328+F330+F332+F334+F336+F338+F340+F342+F344+F346+F348+F350+F352</f>
        <v>6773.9000000000005</v>
      </c>
      <c r="G325" s="95">
        <f>G326+G328+G330+G332+G334+G336+G338+G340+G342+G344+G346+G348+G350+G352</f>
        <v>6772</v>
      </c>
      <c r="H325" s="58">
        <f t="shared" si="34"/>
        <v>100</v>
      </c>
    </row>
    <row r="326" spans="1:8" ht="39.6" x14ac:dyDescent="0.25">
      <c r="A326" s="84" t="s">
        <v>100</v>
      </c>
      <c r="B326" s="16" t="s">
        <v>98</v>
      </c>
      <c r="C326" s="51" t="s">
        <v>590</v>
      </c>
      <c r="D326" s="84"/>
      <c r="E326" s="125" t="s">
        <v>591</v>
      </c>
      <c r="F326" s="41">
        <f>F327</f>
        <v>262.5</v>
      </c>
      <c r="G326" s="41">
        <f>G327</f>
        <v>262.5</v>
      </c>
      <c r="H326" s="96">
        <f t="shared" si="34"/>
        <v>100</v>
      </c>
    </row>
    <row r="327" spans="1:8" ht="39.6" x14ac:dyDescent="0.25">
      <c r="A327" s="84" t="s">
        <v>100</v>
      </c>
      <c r="B327" s="16" t="s">
        <v>98</v>
      </c>
      <c r="C327" s="51" t="s">
        <v>590</v>
      </c>
      <c r="D327" s="84" t="s">
        <v>212</v>
      </c>
      <c r="E327" s="100" t="s">
        <v>213</v>
      </c>
      <c r="F327" s="41">
        <f>114.1+148.4</f>
        <v>262.5</v>
      </c>
      <c r="G327" s="41">
        <v>262.5</v>
      </c>
      <c r="H327" s="96">
        <f t="shared" si="34"/>
        <v>100</v>
      </c>
    </row>
    <row r="328" spans="1:8" ht="39.6" x14ac:dyDescent="0.25">
      <c r="A328" s="84" t="s">
        <v>100</v>
      </c>
      <c r="B328" s="16" t="s">
        <v>98</v>
      </c>
      <c r="C328" s="51" t="s">
        <v>592</v>
      </c>
      <c r="D328" s="84"/>
      <c r="E328" s="125" t="s">
        <v>593</v>
      </c>
      <c r="F328" s="41">
        <f>F329</f>
        <v>608.1</v>
      </c>
      <c r="G328" s="41">
        <f>G329</f>
        <v>608.1</v>
      </c>
      <c r="H328" s="96">
        <f t="shared" si="34"/>
        <v>100</v>
      </c>
    </row>
    <row r="329" spans="1:8" ht="39.6" x14ac:dyDescent="0.25">
      <c r="A329" s="84" t="s">
        <v>100</v>
      </c>
      <c r="B329" s="16" t="s">
        <v>98</v>
      </c>
      <c r="C329" s="51" t="s">
        <v>592</v>
      </c>
      <c r="D329" s="84" t="s">
        <v>212</v>
      </c>
      <c r="E329" s="100" t="s">
        <v>213</v>
      </c>
      <c r="F329" s="41">
        <f>496.8+127+0.5-3.3-12.9</f>
        <v>608.1</v>
      </c>
      <c r="G329" s="41">
        <v>608.1</v>
      </c>
      <c r="H329" s="96">
        <f t="shared" si="34"/>
        <v>100</v>
      </c>
    </row>
    <row r="330" spans="1:8" ht="39.6" x14ac:dyDescent="0.25">
      <c r="A330" s="84" t="s">
        <v>100</v>
      </c>
      <c r="B330" s="16" t="s">
        <v>98</v>
      </c>
      <c r="C330" s="51" t="s">
        <v>594</v>
      </c>
      <c r="D330" s="84"/>
      <c r="E330" s="125" t="s">
        <v>595</v>
      </c>
      <c r="F330" s="41">
        <f>F331</f>
        <v>685.1</v>
      </c>
      <c r="G330" s="101">
        <f>G331</f>
        <v>685.1</v>
      </c>
      <c r="H330" s="96">
        <f t="shared" si="34"/>
        <v>100</v>
      </c>
    </row>
    <row r="331" spans="1:8" ht="39.6" x14ac:dyDescent="0.25">
      <c r="A331" s="84" t="s">
        <v>100</v>
      </c>
      <c r="B331" s="16" t="s">
        <v>98</v>
      </c>
      <c r="C331" s="51" t="s">
        <v>594</v>
      </c>
      <c r="D331" s="84" t="s">
        <v>212</v>
      </c>
      <c r="E331" s="100" t="s">
        <v>213</v>
      </c>
      <c r="F331" s="41">
        <f>561+143.5-4+0.1-15.5</f>
        <v>685.1</v>
      </c>
      <c r="G331" s="41">
        <v>685.1</v>
      </c>
      <c r="H331" s="96">
        <f t="shared" si="34"/>
        <v>100</v>
      </c>
    </row>
    <row r="332" spans="1:8" ht="39.6" x14ac:dyDescent="0.25">
      <c r="A332" s="84" t="s">
        <v>100</v>
      </c>
      <c r="B332" s="16" t="s">
        <v>98</v>
      </c>
      <c r="C332" s="51" t="s">
        <v>596</v>
      </c>
      <c r="D332" s="84"/>
      <c r="E332" s="125" t="s">
        <v>597</v>
      </c>
      <c r="F332" s="41">
        <f>F333</f>
        <v>801.9</v>
      </c>
      <c r="G332" s="41">
        <f>G333</f>
        <v>801.9</v>
      </c>
      <c r="H332" s="96">
        <f t="shared" si="34"/>
        <v>100</v>
      </c>
    </row>
    <row r="333" spans="1:8" ht="39.6" x14ac:dyDescent="0.25">
      <c r="A333" s="84" t="s">
        <v>100</v>
      </c>
      <c r="B333" s="16" t="s">
        <v>98</v>
      </c>
      <c r="C333" s="51" t="s">
        <v>596</v>
      </c>
      <c r="D333" s="84" t="s">
        <v>212</v>
      </c>
      <c r="E333" s="100" t="s">
        <v>213</v>
      </c>
      <c r="F333" s="41">
        <f>711.4+186.6-96.1</f>
        <v>801.9</v>
      </c>
      <c r="G333" s="41">
        <v>801.9</v>
      </c>
      <c r="H333" s="96">
        <f t="shared" si="34"/>
        <v>100</v>
      </c>
    </row>
    <row r="334" spans="1:8" ht="39.6" x14ac:dyDescent="0.25">
      <c r="A334" s="84" t="s">
        <v>100</v>
      </c>
      <c r="B334" s="16" t="s">
        <v>98</v>
      </c>
      <c r="C334" s="51" t="s">
        <v>598</v>
      </c>
      <c r="D334" s="84"/>
      <c r="E334" s="125" t="s">
        <v>599</v>
      </c>
      <c r="F334" s="41">
        <f>F335</f>
        <v>610.70000000000005</v>
      </c>
      <c r="G334" s="41">
        <f>G335</f>
        <v>610.70000000000005</v>
      </c>
      <c r="H334" s="96">
        <f t="shared" si="34"/>
        <v>100</v>
      </c>
    </row>
    <row r="335" spans="1:8" ht="24.75" customHeight="1" x14ac:dyDescent="0.25">
      <c r="A335" s="84" t="s">
        <v>100</v>
      </c>
      <c r="B335" s="16" t="s">
        <v>98</v>
      </c>
      <c r="C335" s="51" t="s">
        <v>598</v>
      </c>
      <c r="D335" s="84" t="s">
        <v>212</v>
      </c>
      <c r="E335" s="100" t="s">
        <v>213</v>
      </c>
      <c r="F335" s="41">
        <f>498.6+128.4-3.3-0.1-13+0.1</f>
        <v>610.70000000000005</v>
      </c>
      <c r="G335" s="41">
        <v>610.70000000000005</v>
      </c>
      <c r="H335" s="96">
        <f t="shared" si="34"/>
        <v>100</v>
      </c>
    </row>
    <row r="336" spans="1:8" ht="39.6" x14ac:dyDescent="0.25">
      <c r="A336" s="84" t="s">
        <v>100</v>
      </c>
      <c r="B336" s="16" t="s">
        <v>98</v>
      </c>
      <c r="C336" s="150">
        <v>1510319313</v>
      </c>
      <c r="D336" s="84"/>
      <c r="E336" s="125" t="s">
        <v>593</v>
      </c>
      <c r="F336" s="41">
        <f>F337</f>
        <v>10</v>
      </c>
      <c r="G336" s="41">
        <f>G337</f>
        <v>9.6999999999999993</v>
      </c>
      <c r="H336" s="96">
        <f t="shared" si="34"/>
        <v>97</v>
      </c>
    </row>
    <row r="337" spans="1:8" ht="39.6" x14ac:dyDescent="0.25">
      <c r="A337" s="84" t="s">
        <v>100</v>
      </c>
      <c r="B337" s="16" t="s">
        <v>98</v>
      </c>
      <c r="C337" s="152">
        <v>1510319313</v>
      </c>
      <c r="D337" s="84" t="s">
        <v>212</v>
      </c>
      <c r="E337" s="100" t="s">
        <v>213</v>
      </c>
      <c r="F337" s="41">
        <v>10</v>
      </c>
      <c r="G337" s="109">
        <v>9.6999999999999993</v>
      </c>
      <c r="H337" s="96">
        <f t="shared" si="34"/>
        <v>97</v>
      </c>
    </row>
    <row r="338" spans="1:8" ht="39.6" x14ac:dyDescent="0.25">
      <c r="A338" s="84" t="s">
        <v>100</v>
      </c>
      <c r="B338" s="16" t="s">
        <v>98</v>
      </c>
      <c r="C338" s="152">
        <v>1510319314</v>
      </c>
      <c r="D338" s="84"/>
      <c r="E338" s="125" t="s">
        <v>595</v>
      </c>
      <c r="F338" s="41">
        <f>F339</f>
        <v>10</v>
      </c>
      <c r="G338" s="41">
        <f>G339</f>
        <v>9.6999999999999993</v>
      </c>
      <c r="H338" s="96">
        <f t="shared" si="34"/>
        <v>97</v>
      </c>
    </row>
    <row r="339" spans="1:8" ht="39.6" x14ac:dyDescent="0.25">
      <c r="A339" s="84" t="s">
        <v>100</v>
      </c>
      <c r="B339" s="16" t="s">
        <v>98</v>
      </c>
      <c r="C339" s="150">
        <v>1510319314</v>
      </c>
      <c r="D339" s="84" t="s">
        <v>212</v>
      </c>
      <c r="E339" s="100" t="s">
        <v>213</v>
      </c>
      <c r="F339" s="41">
        <v>10</v>
      </c>
      <c r="G339" s="41">
        <v>9.6999999999999993</v>
      </c>
      <c r="H339" s="96">
        <f t="shared" si="34"/>
        <v>97</v>
      </c>
    </row>
    <row r="340" spans="1:8" ht="39.6" x14ac:dyDescent="0.25">
      <c r="A340" s="84" t="s">
        <v>100</v>
      </c>
      <c r="B340" s="16" t="s">
        <v>98</v>
      </c>
      <c r="C340" s="152">
        <v>1510319315</v>
      </c>
      <c r="D340" s="84"/>
      <c r="E340" s="125" t="s">
        <v>600</v>
      </c>
      <c r="F340" s="41">
        <f>F341</f>
        <v>10</v>
      </c>
      <c r="G340" s="41">
        <f>G341</f>
        <v>9</v>
      </c>
      <c r="H340" s="96">
        <f t="shared" si="34"/>
        <v>90</v>
      </c>
    </row>
    <row r="341" spans="1:8" ht="39.6" x14ac:dyDescent="0.25">
      <c r="A341" s="84" t="s">
        <v>100</v>
      </c>
      <c r="B341" s="16" t="s">
        <v>98</v>
      </c>
      <c r="C341" s="152">
        <v>1510319315</v>
      </c>
      <c r="D341" s="84" t="s">
        <v>212</v>
      </c>
      <c r="E341" s="100" t="s">
        <v>213</v>
      </c>
      <c r="F341" s="41">
        <v>10</v>
      </c>
      <c r="G341" s="109">
        <v>9</v>
      </c>
      <c r="H341" s="96">
        <f t="shared" si="34"/>
        <v>90</v>
      </c>
    </row>
    <row r="342" spans="1:8" ht="39.6" x14ac:dyDescent="0.25">
      <c r="A342" s="84" t="s">
        <v>100</v>
      </c>
      <c r="B342" s="16" t="s">
        <v>98</v>
      </c>
      <c r="C342" s="152">
        <v>1510319316</v>
      </c>
      <c r="D342" s="84"/>
      <c r="E342" s="125" t="s">
        <v>599</v>
      </c>
      <c r="F342" s="41">
        <f>F343</f>
        <v>10</v>
      </c>
      <c r="G342" s="41">
        <f>G343</f>
        <v>9.6999999999999993</v>
      </c>
      <c r="H342" s="96">
        <f t="shared" si="34"/>
        <v>97</v>
      </c>
    </row>
    <row r="343" spans="1:8" ht="39.6" x14ac:dyDescent="0.25">
      <c r="A343" s="84" t="s">
        <v>100</v>
      </c>
      <c r="B343" s="16" t="s">
        <v>98</v>
      </c>
      <c r="C343" s="152">
        <v>1510319316</v>
      </c>
      <c r="D343" s="84" t="s">
        <v>212</v>
      </c>
      <c r="E343" s="100" t="s">
        <v>213</v>
      </c>
      <c r="F343" s="41">
        <v>10</v>
      </c>
      <c r="G343" s="39">
        <v>9.6999999999999993</v>
      </c>
      <c r="H343" s="96">
        <f t="shared" si="34"/>
        <v>97</v>
      </c>
    </row>
    <row r="344" spans="1:8" ht="39.6" x14ac:dyDescent="0.25">
      <c r="A344" s="84" t="s">
        <v>100</v>
      </c>
      <c r="B344" s="16" t="s">
        <v>98</v>
      </c>
      <c r="C344" s="152">
        <v>1510319012</v>
      </c>
      <c r="D344" s="84"/>
      <c r="E344" s="125" t="s">
        <v>591</v>
      </c>
      <c r="F344" s="41">
        <f>F345</f>
        <v>1021.8</v>
      </c>
      <c r="G344" s="41">
        <f>G345</f>
        <v>1021.8</v>
      </c>
      <c r="H344" s="96">
        <f t="shared" si="34"/>
        <v>100</v>
      </c>
    </row>
    <row r="345" spans="1:8" ht="39.6" x14ac:dyDescent="0.25">
      <c r="A345" s="84" t="s">
        <v>100</v>
      </c>
      <c r="B345" s="16" t="s">
        <v>98</v>
      </c>
      <c r="C345" s="150">
        <v>1510319012</v>
      </c>
      <c r="D345" s="84" t="s">
        <v>212</v>
      </c>
      <c r="E345" s="100" t="s">
        <v>213</v>
      </c>
      <c r="F345" s="41">
        <v>1021.8</v>
      </c>
      <c r="G345" s="41">
        <v>1021.8</v>
      </c>
      <c r="H345" s="96">
        <f t="shared" si="34"/>
        <v>100</v>
      </c>
    </row>
    <row r="346" spans="1:8" ht="38.25" customHeight="1" x14ac:dyDescent="0.25">
      <c r="A346" s="84" t="s">
        <v>100</v>
      </c>
      <c r="B346" s="16" t="s">
        <v>98</v>
      </c>
      <c r="C346" s="152">
        <v>1510319013</v>
      </c>
      <c r="D346" s="84"/>
      <c r="E346" s="125" t="s">
        <v>593</v>
      </c>
      <c r="F346" s="41">
        <f>F347</f>
        <v>617.9</v>
      </c>
      <c r="G346" s="41">
        <f>G347</f>
        <v>617.9</v>
      </c>
      <c r="H346" s="96">
        <f t="shared" si="34"/>
        <v>100</v>
      </c>
    </row>
    <row r="347" spans="1:8" ht="39.6" x14ac:dyDescent="0.25">
      <c r="A347" s="84" t="s">
        <v>100</v>
      </c>
      <c r="B347" s="16" t="s">
        <v>98</v>
      </c>
      <c r="C347" s="152">
        <v>1510319013</v>
      </c>
      <c r="D347" s="84" t="s">
        <v>212</v>
      </c>
      <c r="E347" s="100" t="s">
        <v>213</v>
      </c>
      <c r="F347" s="41">
        <f>634.4-16.5</f>
        <v>617.9</v>
      </c>
      <c r="G347" s="41">
        <f>634.4-16.5</f>
        <v>617.9</v>
      </c>
      <c r="H347" s="96">
        <f t="shared" si="34"/>
        <v>100</v>
      </c>
    </row>
    <row r="348" spans="1:8" ht="39.6" x14ac:dyDescent="0.25">
      <c r="A348" s="84" t="s">
        <v>100</v>
      </c>
      <c r="B348" s="16" t="s">
        <v>98</v>
      </c>
      <c r="C348" s="152">
        <v>1510319014</v>
      </c>
      <c r="D348" s="84"/>
      <c r="E348" s="125" t="s">
        <v>595</v>
      </c>
      <c r="F348" s="41">
        <f>F349</f>
        <v>694.8</v>
      </c>
      <c r="G348" s="41">
        <f>G349</f>
        <v>694.8</v>
      </c>
      <c r="H348" s="96">
        <f t="shared" si="34"/>
        <v>100</v>
      </c>
    </row>
    <row r="349" spans="1:8" ht="39.6" x14ac:dyDescent="0.25">
      <c r="A349" s="84" t="s">
        <v>100</v>
      </c>
      <c r="B349" s="16" t="s">
        <v>98</v>
      </c>
      <c r="C349" s="152">
        <v>1510319014</v>
      </c>
      <c r="D349" s="84" t="s">
        <v>212</v>
      </c>
      <c r="E349" s="100" t="s">
        <v>213</v>
      </c>
      <c r="F349" s="41">
        <f>714.5-19.7</f>
        <v>694.8</v>
      </c>
      <c r="G349" s="41">
        <v>694.8</v>
      </c>
      <c r="H349" s="96">
        <f t="shared" si="34"/>
        <v>100</v>
      </c>
    </row>
    <row r="350" spans="1:8" ht="39.6" x14ac:dyDescent="0.25">
      <c r="A350" s="84" t="s">
        <v>100</v>
      </c>
      <c r="B350" s="16" t="s">
        <v>98</v>
      </c>
      <c r="C350" s="152">
        <v>1510319015</v>
      </c>
      <c r="D350" s="84"/>
      <c r="E350" s="125" t="s">
        <v>601</v>
      </c>
      <c r="F350" s="41">
        <f>F351</f>
        <v>810.8</v>
      </c>
      <c r="G350" s="41">
        <f>G351</f>
        <v>810.8</v>
      </c>
      <c r="H350" s="96">
        <f t="shared" si="34"/>
        <v>100</v>
      </c>
    </row>
    <row r="351" spans="1:8" ht="39.6" x14ac:dyDescent="0.25">
      <c r="A351" s="84" t="s">
        <v>100</v>
      </c>
      <c r="B351" s="16" t="s">
        <v>98</v>
      </c>
      <c r="C351" s="152">
        <v>1510319015</v>
      </c>
      <c r="D351" s="84" t="s">
        <v>212</v>
      </c>
      <c r="E351" s="100" t="s">
        <v>213</v>
      </c>
      <c r="F351" s="41">
        <f>908-97.2</f>
        <v>810.8</v>
      </c>
      <c r="G351" s="41">
        <v>810.8</v>
      </c>
      <c r="H351" s="58">
        <f t="shared" si="34"/>
        <v>100</v>
      </c>
    </row>
    <row r="352" spans="1:8" ht="39.6" x14ac:dyDescent="0.25">
      <c r="A352" s="84" t="s">
        <v>100</v>
      </c>
      <c r="B352" s="16" t="s">
        <v>98</v>
      </c>
      <c r="C352" s="152">
        <v>1510319016</v>
      </c>
      <c r="D352" s="84"/>
      <c r="E352" s="125" t="s">
        <v>602</v>
      </c>
      <c r="F352" s="41">
        <f>F353</f>
        <v>620.29999999999995</v>
      </c>
      <c r="G352" s="41">
        <f>G353</f>
        <v>620.29999999999995</v>
      </c>
      <c r="H352" s="96">
        <f t="shared" si="34"/>
        <v>100</v>
      </c>
    </row>
    <row r="353" spans="1:8" ht="39.6" x14ac:dyDescent="0.25">
      <c r="A353" s="84" t="s">
        <v>100</v>
      </c>
      <c r="B353" s="16" t="s">
        <v>98</v>
      </c>
      <c r="C353" s="152">
        <v>1510319016</v>
      </c>
      <c r="D353" s="84" t="s">
        <v>212</v>
      </c>
      <c r="E353" s="100" t="s">
        <v>213</v>
      </c>
      <c r="F353" s="41">
        <f>636.9-16.6</f>
        <v>620.29999999999995</v>
      </c>
      <c r="G353" s="41">
        <v>620.29999999999995</v>
      </c>
      <c r="H353" s="96">
        <f t="shared" si="34"/>
        <v>100</v>
      </c>
    </row>
    <row r="354" spans="1:8" ht="53.25" customHeight="1" x14ac:dyDescent="0.25">
      <c r="A354" s="84" t="s">
        <v>100</v>
      </c>
      <c r="B354" s="16" t="s">
        <v>98</v>
      </c>
      <c r="C354" s="201">
        <v>1520000000</v>
      </c>
      <c r="D354" s="84"/>
      <c r="E354" s="48" t="s">
        <v>603</v>
      </c>
      <c r="F354" s="41">
        <f>F355</f>
        <v>2558.6999999999998</v>
      </c>
      <c r="G354" s="41">
        <f>G355</f>
        <v>2558.6999999999998</v>
      </c>
      <c r="H354" s="96">
        <f t="shared" si="34"/>
        <v>100</v>
      </c>
    </row>
    <row r="355" spans="1:8" ht="26.4" x14ac:dyDescent="0.25">
      <c r="A355" s="111" t="s">
        <v>100</v>
      </c>
      <c r="B355" s="123" t="s">
        <v>98</v>
      </c>
      <c r="C355" s="205">
        <v>1520224007</v>
      </c>
      <c r="D355" s="111"/>
      <c r="E355" s="100" t="s">
        <v>604</v>
      </c>
      <c r="F355" s="109">
        <f>F356</f>
        <v>2558.6999999999998</v>
      </c>
      <c r="G355" s="109">
        <f>G356</f>
        <v>2558.6999999999998</v>
      </c>
      <c r="H355" s="96">
        <f t="shared" si="34"/>
        <v>100</v>
      </c>
    </row>
    <row r="356" spans="1:8" ht="39.6" x14ac:dyDescent="0.25">
      <c r="A356" s="111" t="s">
        <v>100</v>
      </c>
      <c r="B356" s="123" t="s">
        <v>98</v>
      </c>
      <c r="C356" s="205">
        <v>1520224007</v>
      </c>
      <c r="D356" s="111" t="s">
        <v>212</v>
      </c>
      <c r="E356" s="100" t="s">
        <v>213</v>
      </c>
      <c r="F356" s="41">
        <f>2222.1+336.7-0.2+0.1</f>
        <v>2558.6999999999998</v>
      </c>
      <c r="G356" s="41">
        <v>2558.6999999999998</v>
      </c>
      <c r="H356" s="96">
        <f t="shared" si="34"/>
        <v>100</v>
      </c>
    </row>
    <row r="357" spans="1:8" ht="26.4" x14ac:dyDescent="0.25">
      <c r="A357" s="84" t="s">
        <v>100</v>
      </c>
      <c r="B357" s="16" t="s">
        <v>98</v>
      </c>
      <c r="C357" s="84" t="s">
        <v>29</v>
      </c>
      <c r="D357" s="84"/>
      <c r="E357" s="102" t="s">
        <v>43</v>
      </c>
      <c r="F357" s="41">
        <f>F358</f>
        <v>100</v>
      </c>
      <c r="G357" s="41">
        <f>G358</f>
        <v>100</v>
      </c>
      <c r="H357" s="96">
        <f t="shared" si="34"/>
        <v>100</v>
      </c>
    </row>
    <row r="358" spans="1:8" ht="39.6" x14ac:dyDescent="0.25">
      <c r="A358" s="84" t="s">
        <v>100</v>
      </c>
      <c r="B358" s="16" t="s">
        <v>98</v>
      </c>
      <c r="C358" s="84" t="s">
        <v>562</v>
      </c>
      <c r="D358" s="16"/>
      <c r="E358" s="54" t="s">
        <v>351</v>
      </c>
      <c r="F358" s="41">
        <f>SUM(F359:F359)</f>
        <v>100</v>
      </c>
      <c r="G358" s="41">
        <f>SUM(G359:G359)</f>
        <v>100</v>
      </c>
      <c r="H358" s="58">
        <f t="shared" ref="H358:H421" si="36">ROUND((G358/F358*100),1)</f>
        <v>100</v>
      </c>
    </row>
    <row r="359" spans="1:8" ht="39.6" x14ac:dyDescent="0.25">
      <c r="A359" s="84" t="s">
        <v>100</v>
      </c>
      <c r="B359" s="16" t="s">
        <v>98</v>
      </c>
      <c r="C359" s="84" t="s">
        <v>562</v>
      </c>
      <c r="D359" s="84" t="s">
        <v>212</v>
      </c>
      <c r="E359" s="100" t="s">
        <v>213</v>
      </c>
      <c r="F359" s="39">
        <v>100</v>
      </c>
      <c r="G359" s="41">
        <v>100</v>
      </c>
      <c r="H359" s="96">
        <f t="shared" si="36"/>
        <v>100</v>
      </c>
    </row>
    <row r="360" spans="1:8" ht="28.8" x14ac:dyDescent="0.3">
      <c r="A360" s="30" t="s">
        <v>100</v>
      </c>
      <c r="B360" s="30" t="s">
        <v>100</v>
      </c>
      <c r="C360" s="30"/>
      <c r="D360" s="30"/>
      <c r="E360" s="50" t="s">
        <v>473</v>
      </c>
      <c r="F360" s="95">
        <f>F361</f>
        <v>1409.1000000000001</v>
      </c>
      <c r="G360" s="95">
        <f>G361</f>
        <v>1367</v>
      </c>
      <c r="H360" s="42">
        <f t="shared" si="36"/>
        <v>97</v>
      </c>
    </row>
    <row r="361" spans="1:8" ht="49.5" customHeight="1" x14ac:dyDescent="0.25">
      <c r="A361" s="5" t="s">
        <v>100</v>
      </c>
      <c r="B361" s="5" t="s">
        <v>100</v>
      </c>
      <c r="C361" s="76">
        <v>400000000</v>
      </c>
      <c r="D361" s="31"/>
      <c r="E361" s="64" t="s">
        <v>551</v>
      </c>
      <c r="F361" s="98">
        <f>F362</f>
        <v>1409.1000000000001</v>
      </c>
      <c r="G361" s="98">
        <f>G362</f>
        <v>1367</v>
      </c>
      <c r="H361" s="62">
        <f t="shared" si="36"/>
        <v>97</v>
      </c>
    </row>
    <row r="362" spans="1:8" ht="132" x14ac:dyDescent="0.25">
      <c r="A362" s="84" t="s">
        <v>100</v>
      </c>
      <c r="B362" s="84" t="s">
        <v>100</v>
      </c>
      <c r="C362" s="75">
        <v>430000000</v>
      </c>
      <c r="D362" s="16"/>
      <c r="E362" s="121" t="s">
        <v>605</v>
      </c>
      <c r="F362" s="95">
        <f>F363+F365</f>
        <v>1409.1000000000001</v>
      </c>
      <c r="G362" s="95">
        <f>G363+G365</f>
        <v>1367</v>
      </c>
      <c r="H362" s="58">
        <f t="shared" si="36"/>
        <v>97</v>
      </c>
    </row>
    <row r="363" spans="1:8" ht="78" customHeight="1" x14ac:dyDescent="0.25">
      <c r="A363" s="84" t="s">
        <v>100</v>
      </c>
      <c r="B363" s="84" t="s">
        <v>100</v>
      </c>
      <c r="C363" s="80">
        <v>430127310</v>
      </c>
      <c r="D363" s="16"/>
      <c r="E363" s="100" t="s">
        <v>344</v>
      </c>
      <c r="F363" s="41">
        <f>F364</f>
        <v>1228.2</v>
      </c>
      <c r="G363" s="41">
        <f t="shared" ref="G363" si="37">G364</f>
        <v>1228.2</v>
      </c>
      <c r="H363" s="96">
        <f t="shared" si="36"/>
        <v>100</v>
      </c>
    </row>
    <row r="364" spans="1:8" ht="57" customHeight="1" x14ac:dyDescent="0.25">
      <c r="A364" s="84" t="s">
        <v>100</v>
      </c>
      <c r="B364" s="84" t="s">
        <v>100</v>
      </c>
      <c r="C364" s="80">
        <v>430127310</v>
      </c>
      <c r="D364" s="16" t="s">
        <v>14</v>
      </c>
      <c r="E364" s="100" t="s">
        <v>331</v>
      </c>
      <c r="F364" s="41">
        <f>1000+235.4-7.2</f>
        <v>1228.2</v>
      </c>
      <c r="G364" s="41">
        <f>1000+235.4-7.2</f>
        <v>1228.2</v>
      </c>
      <c r="H364" s="96">
        <f t="shared" si="36"/>
        <v>100</v>
      </c>
    </row>
    <row r="365" spans="1:8" ht="92.4" x14ac:dyDescent="0.25">
      <c r="A365" s="84" t="s">
        <v>100</v>
      </c>
      <c r="B365" s="84" t="s">
        <v>100</v>
      </c>
      <c r="C365" s="80">
        <v>430127320</v>
      </c>
      <c r="D365" s="16"/>
      <c r="E365" s="100" t="s">
        <v>606</v>
      </c>
      <c r="F365" s="41">
        <f>F366</f>
        <v>180.9</v>
      </c>
      <c r="G365" s="41">
        <f>G366</f>
        <v>138.80000000000001</v>
      </c>
      <c r="H365" s="96">
        <f t="shared" si="36"/>
        <v>76.7</v>
      </c>
    </row>
    <row r="366" spans="1:8" ht="54.75" customHeight="1" x14ac:dyDescent="0.25">
      <c r="A366" s="84" t="s">
        <v>100</v>
      </c>
      <c r="B366" s="84" t="s">
        <v>100</v>
      </c>
      <c r="C366" s="80">
        <v>430127320</v>
      </c>
      <c r="D366" s="16" t="s">
        <v>14</v>
      </c>
      <c r="E366" s="100" t="s">
        <v>331</v>
      </c>
      <c r="F366" s="41">
        <v>180.9</v>
      </c>
      <c r="G366" s="41">
        <v>138.80000000000001</v>
      </c>
      <c r="H366" s="96">
        <f t="shared" si="36"/>
        <v>76.7</v>
      </c>
    </row>
    <row r="367" spans="1:8" ht="15.6" x14ac:dyDescent="0.3">
      <c r="A367" s="4" t="s">
        <v>109</v>
      </c>
      <c r="B367" s="3"/>
      <c r="C367" s="3"/>
      <c r="D367" s="3"/>
      <c r="E367" s="10" t="s">
        <v>110</v>
      </c>
      <c r="F367" s="206">
        <f>F368+F383+F418+F467+F472+F507</f>
        <v>586547.80000000005</v>
      </c>
      <c r="G367" s="206">
        <f>G368+G383+G418+G467+G472+G507</f>
        <v>584805.30000000005</v>
      </c>
      <c r="H367" s="160">
        <f t="shared" si="36"/>
        <v>99.7</v>
      </c>
    </row>
    <row r="368" spans="1:8" ht="14.4" x14ac:dyDescent="0.3">
      <c r="A368" s="35" t="s">
        <v>109</v>
      </c>
      <c r="B368" s="35" t="s">
        <v>93</v>
      </c>
      <c r="C368" s="35"/>
      <c r="D368" s="35"/>
      <c r="E368" s="45" t="s">
        <v>112</v>
      </c>
      <c r="F368" s="58">
        <f>F369</f>
        <v>150863.9</v>
      </c>
      <c r="G368" s="58">
        <f>G369</f>
        <v>150863.9</v>
      </c>
      <c r="H368" s="42">
        <f t="shared" si="36"/>
        <v>100</v>
      </c>
    </row>
    <row r="369" spans="1:8" ht="50.25" customHeight="1" x14ac:dyDescent="0.3">
      <c r="A369" s="16" t="s">
        <v>109</v>
      </c>
      <c r="B369" s="16" t="s">
        <v>93</v>
      </c>
      <c r="C369" s="21" t="s">
        <v>79</v>
      </c>
      <c r="D369" s="35"/>
      <c r="E369" s="64" t="s">
        <v>607</v>
      </c>
      <c r="F369" s="62">
        <f t="shared" ref="F369:G369" si="38">F370</f>
        <v>150863.9</v>
      </c>
      <c r="G369" s="62">
        <f t="shared" si="38"/>
        <v>150863.9</v>
      </c>
      <c r="H369" s="62">
        <f t="shared" si="36"/>
        <v>100</v>
      </c>
    </row>
    <row r="370" spans="1:8" ht="27" x14ac:dyDescent="0.3">
      <c r="A370" s="16" t="s">
        <v>109</v>
      </c>
      <c r="B370" s="16" t="s">
        <v>93</v>
      </c>
      <c r="C370" s="52" t="s">
        <v>80</v>
      </c>
      <c r="D370" s="35"/>
      <c r="E370" s="46" t="s">
        <v>608</v>
      </c>
      <c r="F370" s="96">
        <f>F371+F373+F375+F377+F379+F381</f>
        <v>150863.9</v>
      </c>
      <c r="G370" s="96">
        <f>G371+G373+G375+G377+G379+G381</f>
        <v>150863.9</v>
      </c>
      <c r="H370" s="58">
        <f t="shared" si="36"/>
        <v>100</v>
      </c>
    </row>
    <row r="371" spans="1:8" ht="52.8" x14ac:dyDescent="0.25">
      <c r="A371" s="56" t="s">
        <v>109</v>
      </c>
      <c r="B371" s="56" t="s">
        <v>93</v>
      </c>
      <c r="C371" s="21" t="s">
        <v>609</v>
      </c>
      <c r="D371" s="21"/>
      <c r="E371" s="100" t="s">
        <v>610</v>
      </c>
      <c r="F371" s="96">
        <f>F372</f>
        <v>84139.6</v>
      </c>
      <c r="G371" s="96">
        <f>G372</f>
        <v>84139.6</v>
      </c>
      <c r="H371" s="96">
        <f t="shared" si="36"/>
        <v>100</v>
      </c>
    </row>
    <row r="372" spans="1:8" x14ac:dyDescent="0.25">
      <c r="A372" s="56" t="s">
        <v>109</v>
      </c>
      <c r="B372" s="56" t="s">
        <v>93</v>
      </c>
      <c r="C372" s="21" t="s">
        <v>609</v>
      </c>
      <c r="D372" s="21" t="s">
        <v>226</v>
      </c>
      <c r="E372" s="100" t="s">
        <v>225</v>
      </c>
      <c r="F372" s="197">
        <f>79437.3+4702.3</f>
        <v>84139.6</v>
      </c>
      <c r="G372" s="197">
        <f>79437.3+4702.3</f>
        <v>84139.6</v>
      </c>
      <c r="H372" s="96">
        <f t="shared" si="36"/>
        <v>100</v>
      </c>
    </row>
    <row r="373" spans="1:8" ht="66" x14ac:dyDescent="0.25">
      <c r="A373" s="56" t="s">
        <v>109</v>
      </c>
      <c r="B373" s="56" t="s">
        <v>93</v>
      </c>
      <c r="C373" s="207" t="s">
        <v>611</v>
      </c>
      <c r="D373" s="21"/>
      <c r="E373" s="100" t="s">
        <v>612</v>
      </c>
      <c r="F373" s="96">
        <f>F374</f>
        <v>65418.399999999994</v>
      </c>
      <c r="G373" s="96">
        <f>G374</f>
        <v>65418.399999999994</v>
      </c>
      <c r="H373" s="96">
        <f t="shared" si="36"/>
        <v>100</v>
      </c>
    </row>
    <row r="374" spans="1:8" ht="13.8" x14ac:dyDescent="0.25">
      <c r="A374" s="56" t="s">
        <v>109</v>
      </c>
      <c r="B374" s="56" t="s">
        <v>93</v>
      </c>
      <c r="C374" s="207" t="s">
        <v>611</v>
      </c>
      <c r="D374" s="21" t="s">
        <v>226</v>
      </c>
      <c r="E374" s="100" t="s">
        <v>225</v>
      </c>
      <c r="F374" s="161">
        <f>65069.6-432+23.2-16.3+402.8+363.7+7.4</f>
        <v>65418.399999999994</v>
      </c>
      <c r="G374" s="161">
        <f>65069.6-432+23.2-16.3+402.8+363.7+7.4</f>
        <v>65418.399999999994</v>
      </c>
      <c r="H374" s="96">
        <f t="shared" si="36"/>
        <v>100</v>
      </c>
    </row>
    <row r="375" spans="1:8" ht="52.8" x14ac:dyDescent="0.25">
      <c r="A375" s="56" t="s">
        <v>109</v>
      </c>
      <c r="B375" s="56" t="s">
        <v>93</v>
      </c>
      <c r="C375" s="208" t="s">
        <v>613</v>
      </c>
      <c r="D375" s="21"/>
      <c r="E375" s="100" t="s">
        <v>614</v>
      </c>
      <c r="F375" s="96">
        <f>F376</f>
        <v>882</v>
      </c>
      <c r="G375" s="96">
        <f>G376</f>
        <v>882</v>
      </c>
      <c r="H375" s="96">
        <f t="shared" si="36"/>
        <v>100</v>
      </c>
    </row>
    <row r="376" spans="1:8" ht="15.75" customHeight="1" x14ac:dyDescent="0.25">
      <c r="A376" s="56" t="s">
        <v>109</v>
      </c>
      <c r="B376" s="56" t="s">
        <v>93</v>
      </c>
      <c r="C376" s="209" t="s">
        <v>613</v>
      </c>
      <c r="D376" s="21" t="s">
        <v>226</v>
      </c>
      <c r="E376" s="100" t="s">
        <v>225</v>
      </c>
      <c r="F376" s="158">
        <f>874.7+7.3</f>
        <v>882</v>
      </c>
      <c r="G376" s="158">
        <f>874.7+7.3</f>
        <v>882</v>
      </c>
      <c r="H376" s="96">
        <f t="shared" si="36"/>
        <v>100</v>
      </c>
    </row>
    <row r="377" spans="1:8" ht="52.8" x14ac:dyDescent="0.25">
      <c r="A377" s="56" t="s">
        <v>109</v>
      </c>
      <c r="B377" s="56" t="s">
        <v>93</v>
      </c>
      <c r="C377" s="208" t="s">
        <v>615</v>
      </c>
      <c r="D377" s="21"/>
      <c r="E377" s="125" t="s">
        <v>616</v>
      </c>
      <c r="F377" s="96">
        <f>F378</f>
        <v>8.9</v>
      </c>
      <c r="G377" s="96">
        <f>G378</f>
        <v>8.9</v>
      </c>
      <c r="H377" s="96">
        <f t="shared" si="36"/>
        <v>100</v>
      </c>
    </row>
    <row r="378" spans="1:8" ht="13.8" x14ac:dyDescent="0.25">
      <c r="A378" s="56" t="s">
        <v>109</v>
      </c>
      <c r="B378" s="56" t="s">
        <v>93</v>
      </c>
      <c r="C378" s="208" t="s">
        <v>615</v>
      </c>
      <c r="D378" s="21" t="s">
        <v>226</v>
      </c>
      <c r="E378" s="100" t="s">
        <v>225</v>
      </c>
      <c r="F378" s="197">
        <f>16.3-7.4</f>
        <v>8.9</v>
      </c>
      <c r="G378" s="197">
        <f>16.3-7.4</f>
        <v>8.9</v>
      </c>
      <c r="H378" s="96">
        <f t="shared" si="36"/>
        <v>100</v>
      </c>
    </row>
    <row r="379" spans="1:8" ht="52.8" x14ac:dyDescent="0.25">
      <c r="A379" s="56" t="s">
        <v>109</v>
      </c>
      <c r="B379" s="56" t="s">
        <v>93</v>
      </c>
      <c r="C379" s="21" t="s">
        <v>617</v>
      </c>
      <c r="D379" s="57"/>
      <c r="E379" s="116" t="s">
        <v>415</v>
      </c>
      <c r="F379" s="96">
        <f>F380</f>
        <v>300</v>
      </c>
      <c r="G379" s="96">
        <f>G380</f>
        <v>300</v>
      </c>
      <c r="H379" s="161">
        <f t="shared" si="36"/>
        <v>100</v>
      </c>
    </row>
    <row r="380" spans="1:8" x14ac:dyDescent="0.25">
      <c r="A380" s="56" t="s">
        <v>109</v>
      </c>
      <c r="B380" s="56" t="s">
        <v>93</v>
      </c>
      <c r="C380" s="21" t="s">
        <v>617</v>
      </c>
      <c r="D380" s="21" t="s">
        <v>226</v>
      </c>
      <c r="E380" s="100" t="s">
        <v>225</v>
      </c>
      <c r="F380" s="96">
        <v>300</v>
      </c>
      <c r="G380" s="96">
        <v>300</v>
      </c>
      <c r="H380" s="96">
        <f t="shared" si="36"/>
        <v>100</v>
      </c>
    </row>
    <row r="381" spans="1:8" ht="52.8" x14ac:dyDescent="0.25">
      <c r="A381" s="56" t="s">
        <v>109</v>
      </c>
      <c r="B381" s="56" t="s">
        <v>93</v>
      </c>
      <c r="C381" s="57" t="s">
        <v>618</v>
      </c>
      <c r="D381" s="21"/>
      <c r="E381" s="100" t="s">
        <v>387</v>
      </c>
      <c r="F381" s="96">
        <f>F382</f>
        <v>115</v>
      </c>
      <c r="G381" s="96">
        <f>G382</f>
        <v>115</v>
      </c>
      <c r="H381" s="96">
        <f t="shared" si="36"/>
        <v>100</v>
      </c>
    </row>
    <row r="382" spans="1:8" x14ac:dyDescent="0.25">
      <c r="A382" s="56" t="s">
        <v>109</v>
      </c>
      <c r="B382" s="56" t="s">
        <v>93</v>
      </c>
      <c r="C382" s="57" t="s">
        <v>618</v>
      </c>
      <c r="D382" s="21" t="s">
        <v>226</v>
      </c>
      <c r="E382" s="100" t="s">
        <v>225</v>
      </c>
      <c r="F382" s="96">
        <v>115</v>
      </c>
      <c r="G382" s="96">
        <v>115</v>
      </c>
      <c r="H382" s="96">
        <f t="shared" si="36"/>
        <v>100</v>
      </c>
    </row>
    <row r="383" spans="1:8" ht="14.4" x14ac:dyDescent="0.3">
      <c r="A383" s="35" t="s">
        <v>109</v>
      </c>
      <c r="B383" s="35" t="s">
        <v>94</v>
      </c>
      <c r="C383" s="35"/>
      <c r="D383" s="35"/>
      <c r="E383" s="45" t="s">
        <v>113</v>
      </c>
      <c r="F383" s="42">
        <f>F384</f>
        <v>354536.00000000006</v>
      </c>
      <c r="G383" s="42">
        <f>G384</f>
        <v>354191.40000000008</v>
      </c>
      <c r="H383" s="42">
        <f t="shared" si="36"/>
        <v>99.9</v>
      </c>
    </row>
    <row r="384" spans="1:8" ht="51.75" customHeight="1" x14ac:dyDescent="0.3">
      <c r="A384" s="16" t="s">
        <v>109</v>
      </c>
      <c r="B384" s="16" t="s">
        <v>94</v>
      </c>
      <c r="C384" s="21" t="s">
        <v>79</v>
      </c>
      <c r="D384" s="35"/>
      <c r="E384" s="64" t="s">
        <v>607</v>
      </c>
      <c r="F384" s="65">
        <f t="shared" ref="F384:G384" si="39">F385</f>
        <v>354536.00000000006</v>
      </c>
      <c r="G384" s="65">
        <f t="shared" si="39"/>
        <v>354191.40000000008</v>
      </c>
      <c r="H384" s="62">
        <f t="shared" si="36"/>
        <v>99.9</v>
      </c>
    </row>
    <row r="385" spans="1:8" ht="39.6" x14ac:dyDescent="0.25">
      <c r="A385" s="47" t="s">
        <v>109</v>
      </c>
      <c r="B385" s="47" t="s">
        <v>94</v>
      </c>
      <c r="C385" s="52" t="s">
        <v>81</v>
      </c>
      <c r="D385" s="21"/>
      <c r="E385" s="46" t="s">
        <v>619</v>
      </c>
      <c r="F385" s="96">
        <f>F386+F388+F390+F392+F394+F396+F398+F400+F402+F404+F406+F408+F410+F412+F414+F416</f>
        <v>354536.00000000006</v>
      </c>
      <c r="G385" s="96">
        <f>G386+G388+G390+G392+G394+G396+G398+G400+G402+G404+G406+G408+G410+G412+G414+G416</f>
        <v>354191.40000000008</v>
      </c>
      <c r="H385" s="58">
        <f t="shared" si="36"/>
        <v>99.9</v>
      </c>
    </row>
    <row r="386" spans="1:8" ht="66" x14ac:dyDescent="0.25">
      <c r="A386" s="56" t="s">
        <v>109</v>
      </c>
      <c r="B386" s="91" t="s">
        <v>94</v>
      </c>
      <c r="C386" s="83" t="s">
        <v>620</v>
      </c>
      <c r="D386" s="84"/>
      <c r="E386" s="100" t="s">
        <v>621</v>
      </c>
      <c r="F386" s="96">
        <f>F387</f>
        <v>214831.2</v>
      </c>
      <c r="G386" s="96">
        <f>G387</f>
        <v>214831.2</v>
      </c>
      <c r="H386" s="96">
        <f t="shared" si="36"/>
        <v>100</v>
      </c>
    </row>
    <row r="387" spans="1:8" x14ac:dyDescent="0.25">
      <c r="A387" s="56" t="s">
        <v>109</v>
      </c>
      <c r="B387" s="91" t="s">
        <v>94</v>
      </c>
      <c r="C387" s="57" t="s">
        <v>620</v>
      </c>
      <c r="D387" s="21" t="s">
        <v>226</v>
      </c>
      <c r="E387" s="100" t="s">
        <v>225</v>
      </c>
      <c r="F387" s="158">
        <f>210061.5-147.4+4917.1</f>
        <v>214831.2</v>
      </c>
      <c r="G387" s="158">
        <f>210061.5-147.4+4917.1</f>
        <v>214831.2</v>
      </c>
      <c r="H387" s="96">
        <f t="shared" si="36"/>
        <v>100</v>
      </c>
    </row>
    <row r="388" spans="1:8" ht="51.75" customHeight="1" x14ac:dyDescent="0.25">
      <c r="A388" s="16" t="s">
        <v>109</v>
      </c>
      <c r="B388" s="16" t="s">
        <v>94</v>
      </c>
      <c r="C388" s="57" t="s">
        <v>622</v>
      </c>
      <c r="D388" s="21"/>
      <c r="E388" s="100" t="s">
        <v>291</v>
      </c>
      <c r="F388" s="96">
        <f>F389</f>
        <v>76153.700000000012</v>
      </c>
      <c r="G388" s="41">
        <f>G389</f>
        <v>76153.700000000012</v>
      </c>
      <c r="H388" s="96">
        <f t="shared" si="36"/>
        <v>100</v>
      </c>
    </row>
    <row r="389" spans="1:8" x14ac:dyDescent="0.25">
      <c r="A389" s="56" t="s">
        <v>109</v>
      </c>
      <c r="B389" s="91" t="s">
        <v>94</v>
      </c>
      <c r="C389" s="57" t="s">
        <v>622</v>
      </c>
      <c r="D389" s="21" t="s">
        <v>226</v>
      </c>
      <c r="E389" s="100" t="s">
        <v>225</v>
      </c>
      <c r="F389" s="161">
        <f>76437.5-496+281.2+149.5+452-10.9-402.8-261.9+5.1</f>
        <v>76153.700000000012</v>
      </c>
      <c r="G389" s="161">
        <f>76437.5-496+281.2+149.5+452-10.9-402.8-261.9+5.1</f>
        <v>76153.700000000012</v>
      </c>
      <c r="H389" s="96">
        <f t="shared" si="36"/>
        <v>100</v>
      </c>
    </row>
    <row r="390" spans="1:8" ht="52.8" x14ac:dyDescent="0.25">
      <c r="A390" s="56" t="s">
        <v>109</v>
      </c>
      <c r="B390" s="91" t="s">
        <v>94</v>
      </c>
      <c r="C390" s="57" t="s">
        <v>623</v>
      </c>
      <c r="D390" s="21"/>
      <c r="E390" s="100" t="s">
        <v>624</v>
      </c>
      <c r="F390" s="96">
        <f>F391</f>
        <v>15780.2</v>
      </c>
      <c r="G390" s="41">
        <f>G391</f>
        <v>15780.2</v>
      </c>
      <c r="H390" s="96">
        <f t="shared" si="36"/>
        <v>100</v>
      </c>
    </row>
    <row r="391" spans="1:8" x14ac:dyDescent="0.25">
      <c r="A391" s="16" t="s">
        <v>109</v>
      </c>
      <c r="B391" s="16" t="s">
        <v>94</v>
      </c>
      <c r="C391" s="21" t="s">
        <v>623</v>
      </c>
      <c r="D391" s="21" t="s">
        <v>226</v>
      </c>
      <c r="E391" s="100" t="s">
        <v>225</v>
      </c>
      <c r="F391" s="197">
        <v>15780.2</v>
      </c>
      <c r="G391" s="197">
        <v>15780.2</v>
      </c>
      <c r="H391" s="96">
        <f t="shared" si="36"/>
        <v>100</v>
      </c>
    </row>
    <row r="392" spans="1:8" ht="39.6" x14ac:dyDescent="0.25">
      <c r="A392" s="56" t="s">
        <v>109</v>
      </c>
      <c r="B392" s="91" t="s">
        <v>94</v>
      </c>
      <c r="C392" s="208" t="s">
        <v>625</v>
      </c>
      <c r="D392" s="21"/>
      <c r="E392" s="125" t="s">
        <v>626</v>
      </c>
      <c r="F392" s="158">
        <f>F393</f>
        <v>570.70000000000005</v>
      </c>
      <c r="G392" s="41">
        <f>G393</f>
        <v>570.70000000000005</v>
      </c>
      <c r="H392" s="96">
        <f t="shared" si="36"/>
        <v>100</v>
      </c>
    </row>
    <row r="393" spans="1:8" ht="13.8" x14ac:dyDescent="0.25">
      <c r="A393" s="16" t="s">
        <v>109</v>
      </c>
      <c r="B393" s="16" t="s">
        <v>94</v>
      </c>
      <c r="C393" s="208" t="s">
        <v>625</v>
      </c>
      <c r="D393" s="21" t="s">
        <v>226</v>
      </c>
      <c r="E393" s="100" t="s">
        <v>225</v>
      </c>
      <c r="F393" s="197">
        <f>580.5-9.8</f>
        <v>570.70000000000005</v>
      </c>
      <c r="G393" s="197">
        <f>580.5-9.8</f>
        <v>570.70000000000005</v>
      </c>
      <c r="H393" s="96">
        <f t="shared" si="36"/>
        <v>100</v>
      </c>
    </row>
    <row r="394" spans="1:8" ht="52.8" x14ac:dyDescent="0.25">
      <c r="A394" s="56" t="s">
        <v>109</v>
      </c>
      <c r="B394" s="91" t="s">
        <v>94</v>
      </c>
      <c r="C394" s="208" t="s">
        <v>627</v>
      </c>
      <c r="D394" s="21"/>
      <c r="E394" s="125" t="s">
        <v>628</v>
      </c>
      <c r="F394" s="197">
        <f>F395</f>
        <v>5.8000000000000007</v>
      </c>
      <c r="G394" s="41">
        <f>G395</f>
        <v>5.8000000000000007</v>
      </c>
      <c r="H394" s="96">
        <f t="shared" si="36"/>
        <v>100</v>
      </c>
    </row>
    <row r="395" spans="1:8" ht="13.8" x14ac:dyDescent="0.25">
      <c r="A395" s="56" t="s">
        <v>109</v>
      </c>
      <c r="B395" s="91" t="s">
        <v>94</v>
      </c>
      <c r="C395" s="208" t="s">
        <v>627</v>
      </c>
      <c r="D395" s="21" t="s">
        <v>226</v>
      </c>
      <c r="E395" s="100" t="s">
        <v>225</v>
      </c>
      <c r="F395" s="197">
        <f>10.9-5.1</f>
        <v>5.8000000000000007</v>
      </c>
      <c r="G395" s="197">
        <f>10.9-5.1</f>
        <v>5.8000000000000007</v>
      </c>
      <c r="H395" s="96">
        <f t="shared" si="36"/>
        <v>100</v>
      </c>
    </row>
    <row r="396" spans="1:8" ht="52.8" x14ac:dyDescent="0.25">
      <c r="A396" s="16" t="s">
        <v>109</v>
      </c>
      <c r="B396" s="16" t="s">
        <v>94</v>
      </c>
      <c r="C396" s="57" t="s">
        <v>629</v>
      </c>
      <c r="D396" s="21"/>
      <c r="E396" s="100" t="s">
        <v>630</v>
      </c>
      <c r="F396" s="96">
        <f>F397</f>
        <v>2953.8</v>
      </c>
      <c r="G396" s="41">
        <f>G397</f>
        <v>2953.8</v>
      </c>
      <c r="H396" s="96">
        <f t="shared" si="36"/>
        <v>100</v>
      </c>
    </row>
    <row r="397" spans="1:8" x14ac:dyDescent="0.25">
      <c r="A397" s="16" t="s">
        <v>109</v>
      </c>
      <c r="B397" s="16" t="s">
        <v>94</v>
      </c>
      <c r="C397" s="57" t="s">
        <v>629</v>
      </c>
      <c r="D397" s="21" t="s">
        <v>226</v>
      </c>
      <c r="E397" s="100" t="s">
        <v>225</v>
      </c>
      <c r="F397" s="96">
        <f>1491+1294.4+168.4</f>
        <v>2953.8</v>
      </c>
      <c r="G397" s="96">
        <f>1491+1294.4+168.4</f>
        <v>2953.8</v>
      </c>
      <c r="H397" s="96">
        <f t="shared" si="36"/>
        <v>100</v>
      </c>
    </row>
    <row r="398" spans="1:8" ht="49.5" customHeight="1" x14ac:dyDescent="0.25">
      <c r="A398" s="16" t="s">
        <v>109</v>
      </c>
      <c r="B398" s="16" t="s">
        <v>94</v>
      </c>
      <c r="C398" s="57" t="s">
        <v>631</v>
      </c>
      <c r="D398" s="57"/>
      <c r="E398" s="151" t="s">
        <v>632</v>
      </c>
      <c r="F398" s="96">
        <f>F399</f>
        <v>676.4</v>
      </c>
      <c r="G398" s="41">
        <f>G399</f>
        <v>676.4</v>
      </c>
      <c r="H398" s="96">
        <f t="shared" si="36"/>
        <v>100</v>
      </c>
    </row>
    <row r="399" spans="1:8" x14ac:dyDescent="0.25">
      <c r="A399" s="16" t="s">
        <v>109</v>
      </c>
      <c r="B399" s="16" t="s">
        <v>94</v>
      </c>
      <c r="C399" s="57" t="s">
        <v>631</v>
      </c>
      <c r="D399" s="21" t="s">
        <v>226</v>
      </c>
      <c r="E399" s="100" t="s">
        <v>225</v>
      </c>
      <c r="F399" s="96">
        <f>423.8+200+52.6</f>
        <v>676.4</v>
      </c>
      <c r="G399" s="96">
        <f>423.8+200+52.6</f>
        <v>676.4</v>
      </c>
      <c r="H399" s="96">
        <f t="shared" si="36"/>
        <v>100</v>
      </c>
    </row>
    <row r="400" spans="1:8" ht="39.6" x14ac:dyDescent="0.25">
      <c r="A400" s="16" t="s">
        <v>109</v>
      </c>
      <c r="B400" s="16" t="s">
        <v>94</v>
      </c>
      <c r="C400" s="57" t="s">
        <v>633</v>
      </c>
      <c r="D400" s="21"/>
      <c r="E400" s="54" t="s">
        <v>634</v>
      </c>
      <c r="F400" s="96">
        <f>F401</f>
        <v>500</v>
      </c>
      <c r="G400" s="41">
        <f>G401</f>
        <v>500</v>
      </c>
      <c r="H400" s="96">
        <f t="shared" si="36"/>
        <v>100</v>
      </c>
    </row>
    <row r="401" spans="1:8" x14ac:dyDescent="0.25">
      <c r="A401" s="16" t="s">
        <v>109</v>
      </c>
      <c r="B401" s="16" t="s">
        <v>94</v>
      </c>
      <c r="C401" s="57" t="s">
        <v>633</v>
      </c>
      <c r="D401" s="21" t="s">
        <v>226</v>
      </c>
      <c r="E401" s="100" t="s">
        <v>225</v>
      </c>
      <c r="F401" s="96">
        <v>500</v>
      </c>
      <c r="G401" s="96">
        <v>500</v>
      </c>
      <c r="H401" s="96">
        <f t="shared" si="36"/>
        <v>100</v>
      </c>
    </row>
    <row r="402" spans="1:8" ht="39.6" x14ac:dyDescent="0.25">
      <c r="A402" s="16" t="s">
        <v>109</v>
      </c>
      <c r="B402" s="16" t="s">
        <v>94</v>
      </c>
      <c r="C402" s="210" t="s">
        <v>410</v>
      </c>
      <c r="D402" s="21"/>
      <c r="E402" s="151" t="s">
        <v>635</v>
      </c>
      <c r="F402" s="96">
        <f>F403</f>
        <v>160</v>
      </c>
      <c r="G402" s="96">
        <f>G403</f>
        <v>160</v>
      </c>
      <c r="H402" s="58">
        <f t="shared" si="36"/>
        <v>100</v>
      </c>
    </row>
    <row r="403" spans="1:8" x14ac:dyDescent="0.25">
      <c r="A403" s="16" t="s">
        <v>109</v>
      </c>
      <c r="B403" s="16" t="s">
        <v>94</v>
      </c>
      <c r="C403" s="210" t="s">
        <v>410</v>
      </c>
      <c r="D403" s="21" t="s">
        <v>226</v>
      </c>
      <c r="E403" s="100" t="s">
        <v>225</v>
      </c>
      <c r="F403" s="96">
        <v>160</v>
      </c>
      <c r="G403" s="96">
        <v>160</v>
      </c>
      <c r="H403" s="96">
        <f t="shared" si="36"/>
        <v>100</v>
      </c>
    </row>
    <row r="404" spans="1:8" ht="39.6" x14ac:dyDescent="0.25">
      <c r="A404" s="16" t="s">
        <v>109</v>
      </c>
      <c r="B404" s="16" t="s">
        <v>94</v>
      </c>
      <c r="C404" s="57" t="s">
        <v>636</v>
      </c>
      <c r="D404" s="21"/>
      <c r="E404" s="100" t="s">
        <v>316</v>
      </c>
      <c r="F404" s="96">
        <f>F405</f>
        <v>5360.4</v>
      </c>
      <c r="G404" s="96">
        <f>G405</f>
        <v>5360.4</v>
      </c>
      <c r="H404" s="96">
        <f t="shared" si="36"/>
        <v>100</v>
      </c>
    </row>
    <row r="405" spans="1:8" x14ac:dyDescent="0.25">
      <c r="A405" s="16" t="s">
        <v>109</v>
      </c>
      <c r="B405" s="16" t="s">
        <v>94</v>
      </c>
      <c r="C405" s="57" t="s">
        <v>636</v>
      </c>
      <c r="D405" s="21" t="s">
        <v>226</v>
      </c>
      <c r="E405" s="100" t="s">
        <v>225</v>
      </c>
      <c r="F405" s="158">
        <v>5360.4</v>
      </c>
      <c r="G405" s="158">
        <v>5360.4</v>
      </c>
      <c r="H405" s="96">
        <f t="shared" si="36"/>
        <v>100</v>
      </c>
    </row>
    <row r="406" spans="1:8" ht="52.8" x14ac:dyDescent="0.25">
      <c r="A406" s="16" t="s">
        <v>109</v>
      </c>
      <c r="B406" s="16" t="s">
        <v>94</v>
      </c>
      <c r="C406" s="21" t="s">
        <v>637</v>
      </c>
      <c r="D406" s="21"/>
      <c r="E406" s="100" t="s">
        <v>138</v>
      </c>
      <c r="F406" s="96">
        <f>F407</f>
        <v>14770.3</v>
      </c>
      <c r="G406" s="96">
        <f>G407</f>
        <v>14763.6</v>
      </c>
      <c r="H406" s="96">
        <f t="shared" si="36"/>
        <v>100</v>
      </c>
    </row>
    <row r="407" spans="1:8" x14ac:dyDescent="0.25">
      <c r="A407" s="84" t="s">
        <v>109</v>
      </c>
      <c r="B407" s="16" t="s">
        <v>94</v>
      </c>
      <c r="C407" s="21" t="s">
        <v>637</v>
      </c>
      <c r="D407" s="21" t="s">
        <v>226</v>
      </c>
      <c r="E407" s="100" t="s">
        <v>225</v>
      </c>
      <c r="F407" s="96">
        <v>14770.3</v>
      </c>
      <c r="G407" s="109">
        <v>14763.6</v>
      </c>
      <c r="H407" s="96">
        <f t="shared" si="36"/>
        <v>100</v>
      </c>
    </row>
    <row r="408" spans="1:8" ht="52.8" x14ac:dyDescent="0.25">
      <c r="A408" s="16" t="s">
        <v>109</v>
      </c>
      <c r="B408" s="16" t="s">
        <v>94</v>
      </c>
      <c r="C408" s="21" t="s">
        <v>638</v>
      </c>
      <c r="D408" s="21"/>
      <c r="E408" s="100" t="s">
        <v>639</v>
      </c>
      <c r="F408" s="96">
        <f>F409</f>
        <v>287.5</v>
      </c>
      <c r="G408" s="96">
        <f>G409</f>
        <v>287</v>
      </c>
      <c r="H408" s="96">
        <f t="shared" si="36"/>
        <v>99.8</v>
      </c>
    </row>
    <row r="409" spans="1:8" x14ac:dyDescent="0.25">
      <c r="A409" s="16" t="s">
        <v>109</v>
      </c>
      <c r="B409" s="16" t="s">
        <v>94</v>
      </c>
      <c r="C409" s="21" t="s">
        <v>638</v>
      </c>
      <c r="D409" s="21" t="s">
        <v>226</v>
      </c>
      <c r="E409" s="100" t="s">
        <v>225</v>
      </c>
      <c r="F409" s="41">
        <f>497-78-131.5</f>
        <v>287.5</v>
      </c>
      <c r="G409" s="96">
        <v>287</v>
      </c>
      <c r="H409" s="96">
        <f t="shared" si="36"/>
        <v>99.8</v>
      </c>
    </row>
    <row r="410" spans="1:8" ht="52.8" x14ac:dyDescent="0.25">
      <c r="A410" s="16" t="s">
        <v>109</v>
      </c>
      <c r="B410" s="16" t="s">
        <v>94</v>
      </c>
      <c r="C410" s="21" t="s">
        <v>640</v>
      </c>
      <c r="D410" s="84"/>
      <c r="E410" s="55" t="s">
        <v>391</v>
      </c>
      <c r="F410" s="41">
        <f>F411</f>
        <v>18083.2</v>
      </c>
      <c r="G410" s="41">
        <f>G411</f>
        <v>18083.2</v>
      </c>
      <c r="H410" s="96">
        <f t="shared" si="36"/>
        <v>100</v>
      </c>
    </row>
    <row r="411" spans="1:8" x14ac:dyDescent="0.25">
      <c r="A411" s="16" t="s">
        <v>109</v>
      </c>
      <c r="B411" s="16" t="s">
        <v>94</v>
      </c>
      <c r="C411" s="21" t="s">
        <v>640</v>
      </c>
      <c r="D411" s="21" t="s">
        <v>226</v>
      </c>
      <c r="E411" s="100" t="s">
        <v>225</v>
      </c>
      <c r="F411" s="197">
        <v>18083.2</v>
      </c>
      <c r="G411" s="197">
        <v>18083.2</v>
      </c>
      <c r="H411" s="96">
        <f t="shared" si="36"/>
        <v>100</v>
      </c>
    </row>
    <row r="412" spans="1:8" ht="52.8" x14ac:dyDescent="0.25">
      <c r="A412" s="16" t="s">
        <v>109</v>
      </c>
      <c r="B412" s="16" t="s">
        <v>94</v>
      </c>
      <c r="C412" s="21" t="s">
        <v>641</v>
      </c>
      <c r="D412" s="21"/>
      <c r="E412" s="100" t="s">
        <v>642</v>
      </c>
      <c r="F412" s="41">
        <f>F413</f>
        <v>3732.8</v>
      </c>
      <c r="G412" s="41">
        <f>G413</f>
        <v>3395.4</v>
      </c>
      <c r="H412" s="96">
        <f t="shared" si="36"/>
        <v>91</v>
      </c>
    </row>
    <row r="413" spans="1:8" x14ac:dyDescent="0.25">
      <c r="A413" s="16" t="s">
        <v>109</v>
      </c>
      <c r="B413" s="16" t="s">
        <v>94</v>
      </c>
      <c r="C413" s="21" t="s">
        <v>641</v>
      </c>
      <c r="D413" s="21" t="s">
        <v>226</v>
      </c>
      <c r="E413" s="100" t="s">
        <v>225</v>
      </c>
      <c r="F413" s="41">
        <f>4063-330.2</f>
        <v>3732.8</v>
      </c>
      <c r="G413" s="41">
        <v>3395.4</v>
      </c>
      <c r="H413" s="96">
        <f t="shared" si="36"/>
        <v>91</v>
      </c>
    </row>
    <row r="414" spans="1:8" ht="26.4" x14ac:dyDescent="0.25">
      <c r="A414" s="16" t="s">
        <v>109</v>
      </c>
      <c r="B414" s="16" t="s">
        <v>94</v>
      </c>
      <c r="C414" s="57" t="s">
        <v>643</v>
      </c>
      <c r="D414" s="21"/>
      <c r="E414" s="99" t="s">
        <v>644</v>
      </c>
      <c r="F414" s="41">
        <f>F415</f>
        <v>247</v>
      </c>
      <c r="G414" s="41">
        <f>G415</f>
        <v>247</v>
      </c>
      <c r="H414" s="96">
        <f t="shared" si="36"/>
        <v>100</v>
      </c>
    </row>
    <row r="415" spans="1:8" x14ac:dyDescent="0.25">
      <c r="A415" s="16" t="s">
        <v>109</v>
      </c>
      <c r="B415" s="16" t="s">
        <v>94</v>
      </c>
      <c r="C415" s="57" t="s">
        <v>643</v>
      </c>
      <c r="D415" s="21" t="s">
        <v>226</v>
      </c>
      <c r="E415" s="100" t="s">
        <v>225</v>
      </c>
      <c r="F415" s="41">
        <v>247</v>
      </c>
      <c r="G415" s="41">
        <v>247</v>
      </c>
      <c r="H415" s="96">
        <f t="shared" si="36"/>
        <v>100</v>
      </c>
    </row>
    <row r="416" spans="1:8" ht="26.4" x14ac:dyDescent="0.25">
      <c r="A416" s="16" t="s">
        <v>109</v>
      </c>
      <c r="B416" s="16" t="s">
        <v>94</v>
      </c>
      <c r="C416" s="57" t="s">
        <v>645</v>
      </c>
      <c r="D416" s="21"/>
      <c r="E416" s="99" t="s">
        <v>644</v>
      </c>
      <c r="F416" s="41">
        <f>F417</f>
        <v>423</v>
      </c>
      <c r="G416" s="41">
        <f>G417</f>
        <v>423</v>
      </c>
      <c r="H416" s="96">
        <f t="shared" si="36"/>
        <v>100</v>
      </c>
    </row>
    <row r="417" spans="1:8" x14ac:dyDescent="0.25">
      <c r="A417" s="16" t="s">
        <v>109</v>
      </c>
      <c r="B417" s="16" t="s">
        <v>94</v>
      </c>
      <c r="C417" s="57" t="s">
        <v>645</v>
      </c>
      <c r="D417" s="21" t="s">
        <v>226</v>
      </c>
      <c r="E417" s="100" t="s">
        <v>225</v>
      </c>
      <c r="F417" s="41">
        <v>423</v>
      </c>
      <c r="G417" s="41">
        <v>423</v>
      </c>
      <c r="H417" s="96">
        <f t="shared" si="36"/>
        <v>100</v>
      </c>
    </row>
    <row r="418" spans="1:8" ht="14.4" x14ac:dyDescent="0.3">
      <c r="A418" s="35" t="s">
        <v>109</v>
      </c>
      <c r="B418" s="35" t="s">
        <v>98</v>
      </c>
      <c r="C418" s="35"/>
      <c r="D418" s="35"/>
      <c r="E418" s="46" t="s">
        <v>157</v>
      </c>
      <c r="F418" s="42">
        <f>F419+F448+F464</f>
        <v>59658.80000000001</v>
      </c>
      <c r="G418" s="42">
        <f>G419+G448+G464</f>
        <v>59596.500000000007</v>
      </c>
      <c r="H418" s="42">
        <f t="shared" si="36"/>
        <v>99.9</v>
      </c>
    </row>
    <row r="419" spans="1:8" ht="50.25" customHeight="1" x14ac:dyDescent="0.25">
      <c r="A419" s="5" t="s">
        <v>109</v>
      </c>
      <c r="B419" s="5" t="s">
        <v>98</v>
      </c>
      <c r="C419" s="73" t="s">
        <v>79</v>
      </c>
      <c r="D419" s="21"/>
      <c r="E419" s="64" t="s">
        <v>607</v>
      </c>
      <c r="F419" s="62">
        <f>F420+F445</f>
        <v>44079.400000000009</v>
      </c>
      <c r="G419" s="62">
        <f>G420+G445</f>
        <v>44017.100000000006</v>
      </c>
      <c r="H419" s="62">
        <f t="shared" si="36"/>
        <v>99.9</v>
      </c>
    </row>
    <row r="420" spans="1:8" ht="39.75" customHeight="1" x14ac:dyDescent="0.3">
      <c r="A420" s="16" t="s">
        <v>109</v>
      </c>
      <c r="B420" s="84" t="s">
        <v>98</v>
      </c>
      <c r="C420" s="52" t="s">
        <v>646</v>
      </c>
      <c r="D420" s="35"/>
      <c r="E420" s="46" t="s">
        <v>647</v>
      </c>
      <c r="F420" s="96">
        <f>F421+F423+F425+F427+F429+F431+F433+F435+F437+F439+F441+F443</f>
        <v>44029.400000000009</v>
      </c>
      <c r="G420" s="96">
        <f>G421+G423+G425+G427+G429+G431+G433+G435+G437+G439+G441+G443</f>
        <v>43967.100000000006</v>
      </c>
      <c r="H420" s="58">
        <f t="shared" si="36"/>
        <v>99.9</v>
      </c>
    </row>
    <row r="421" spans="1:8" ht="51" customHeight="1" x14ac:dyDescent="0.25">
      <c r="A421" s="16" t="s">
        <v>109</v>
      </c>
      <c r="B421" s="84" t="s">
        <v>98</v>
      </c>
      <c r="C421" s="57" t="s">
        <v>648</v>
      </c>
      <c r="D421" s="16"/>
      <c r="E421" s="100" t="s">
        <v>649</v>
      </c>
      <c r="F421" s="96">
        <f>F422</f>
        <v>31117.900000000005</v>
      </c>
      <c r="G421" s="96">
        <f>G422</f>
        <v>31117.900000000005</v>
      </c>
      <c r="H421" s="96">
        <f t="shared" si="36"/>
        <v>100</v>
      </c>
    </row>
    <row r="422" spans="1:8" x14ac:dyDescent="0.25">
      <c r="A422" s="16" t="s">
        <v>109</v>
      </c>
      <c r="B422" s="84" t="s">
        <v>98</v>
      </c>
      <c r="C422" s="57" t="s">
        <v>648</v>
      </c>
      <c r="D422" s="21" t="s">
        <v>226</v>
      </c>
      <c r="E422" s="100" t="s">
        <v>225</v>
      </c>
      <c r="F422" s="96">
        <f>32611.3-72+140.7-4583.6-20.6-4.3+344.8+1.9+83.2+2616.5</f>
        <v>31117.900000000005</v>
      </c>
      <c r="G422" s="96">
        <f>32611.3-72+140.7-4583.6-20.6-4.3+344.8+1.9+83.2+2616.5</f>
        <v>31117.900000000005</v>
      </c>
      <c r="H422" s="96">
        <f t="shared" ref="H422:H486" si="40">ROUND((G422/F422*100),1)</f>
        <v>100</v>
      </c>
    </row>
    <row r="423" spans="1:8" ht="39.6" x14ac:dyDescent="0.25">
      <c r="A423" s="16" t="s">
        <v>109</v>
      </c>
      <c r="B423" s="84" t="s">
        <v>98</v>
      </c>
      <c r="C423" s="57" t="s">
        <v>650</v>
      </c>
      <c r="D423" s="21"/>
      <c r="E423" s="151" t="s">
        <v>651</v>
      </c>
      <c r="F423" s="96">
        <f>SUM(F424:F424)</f>
        <v>1992.0999999999995</v>
      </c>
      <c r="G423" s="41">
        <f>G424</f>
        <v>1992.0999999999995</v>
      </c>
      <c r="H423" s="96">
        <f t="shared" si="40"/>
        <v>100</v>
      </c>
    </row>
    <row r="424" spans="1:8" x14ac:dyDescent="0.25">
      <c r="A424" s="16" t="s">
        <v>109</v>
      </c>
      <c r="B424" s="84" t="s">
        <v>98</v>
      </c>
      <c r="C424" s="57" t="s">
        <v>650</v>
      </c>
      <c r="D424" s="21" t="s">
        <v>226</v>
      </c>
      <c r="E424" s="100" t="s">
        <v>225</v>
      </c>
      <c r="F424" s="96">
        <f>4629.4-20.8-2616.5</f>
        <v>1992.0999999999995</v>
      </c>
      <c r="G424" s="96">
        <f>4629.4-20.8-2616.5</f>
        <v>1992.0999999999995</v>
      </c>
      <c r="H424" s="96">
        <f t="shared" si="40"/>
        <v>100</v>
      </c>
    </row>
    <row r="425" spans="1:8" ht="66" x14ac:dyDescent="0.25">
      <c r="A425" s="16" t="s">
        <v>109</v>
      </c>
      <c r="B425" s="84" t="s">
        <v>98</v>
      </c>
      <c r="C425" s="57" t="s">
        <v>652</v>
      </c>
      <c r="D425" s="21"/>
      <c r="E425" s="100" t="s">
        <v>653</v>
      </c>
      <c r="F425" s="96">
        <f>F426</f>
        <v>8668.6</v>
      </c>
      <c r="G425" s="41">
        <f>G426</f>
        <v>8668.6</v>
      </c>
      <c r="H425" s="96">
        <f t="shared" si="40"/>
        <v>100</v>
      </c>
    </row>
    <row r="426" spans="1:8" x14ac:dyDescent="0.25">
      <c r="A426" s="16" t="s">
        <v>109</v>
      </c>
      <c r="B426" s="84" t="s">
        <v>98</v>
      </c>
      <c r="C426" s="57" t="s">
        <v>652</v>
      </c>
      <c r="D426" s="21" t="s">
        <v>226</v>
      </c>
      <c r="E426" s="100" t="s">
        <v>225</v>
      </c>
      <c r="F426" s="211">
        <f>6585.8+2082.8</f>
        <v>8668.6</v>
      </c>
      <c r="G426" s="211">
        <f>6585.8+2082.8</f>
        <v>8668.6</v>
      </c>
      <c r="H426" s="96">
        <f t="shared" si="40"/>
        <v>100</v>
      </c>
    </row>
    <row r="427" spans="1:8" ht="62.25" customHeight="1" x14ac:dyDescent="0.25">
      <c r="A427" s="16" t="s">
        <v>109</v>
      </c>
      <c r="B427" s="84" t="s">
        <v>98</v>
      </c>
      <c r="C427" s="57" t="s">
        <v>654</v>
      </c>
      <c r="D427" s="57"/>
      <c r="E427" s="100" t="s">
        <v>655</v>
      </c>
      <c r="F427" s="101">
        <f>F428</f>
        <v>87.300000000000011</v>
      </c>
      <c r="G427" s="41">
        <f>G428</f>
        <v>87.300000000000011</v>
      </c>
      <c r="H427" s="96">
        <f t="shared" si="40"/>
        <v>100</v>
      </c>
    </row>
    <row r="428" spans="1:8" x14ac:dyDescent="0.25">
      <c r="A428" s="16" t="s">
        <v>109</v>
      </c>
      <c r="B428" s="84" t="s">
        <v>98</v>
      </c>
      <c r="C428" s="21" t="s">
        <v>654</v>
      </c>
      <c r="D428" s="21" t="s">
        <v>226</v>
      </c>
      <c r="E428" s="100" t="s">
        <v>225</v>
      </c>
      <c r="F428" s="41">
        <f>66.7+20.6</f>
        <v>87.300000000000011</v>
      </c>
      <c r="G428" s="41">
        <f>66.7+20.6</f>
        <v>87.300000000000011</v>
      </c>
      <c r="H428" s="96">
        <f t="shared" si="40"/>
        <v>100</v>
      </c>
    </row>
    <row r="429" spans="1:8" ht="52.8" x14ac:dyDescent="0.25">
      <c r="A429" s="16" t="s">
        <v>109</v>
      </c>
      <c r="B429" s="84" t="s">
        <v>98</v>
      </c>
      <c r="C429" s="21" t="s">
        <v>656</v>
      </c>
      <c r="D429" s="21"/>
      <c r="E429" s="125" t="s">
        <v>657</v>
      </c>
      <c r="F429" s="41">
        <f>F430</f>
        <v>237.20000000000002</v>
      </c>
      <c r="G429" s="41">
        <f>G430</f>
        <v>237.20000000000002</v>
      </c>
      <c r="H429" s="96">
        <f t="shared" si="40"/>
        <v>100</v>
      </c>
    </row>
    <row r="430" spans="1:8" x14ac:dyDescent="0.25">
      <c r="A430" s="16" t="s">
        <v>109</v>
      </c>
      <c r="B430" s="84" t="s">
        <v>98</v>
      </c>
      <c r="C430" s="21" t="s">
        <v>656</v>
      </c>
      <c r="D430" s="21" t="s">
        <v>226</v>
      </c>
      <c r="E430" s="100" t="s">
        <v>225</v>
      </c>
      <c r="F430" s="41">
        <f>235.3+1.9</f>
        <v>237.20000000000002</v>
      </c>
      <c r="G430" s="41">
        <f>235.3+1.9</f>
        <v>237.20000000000002</v>
      </c>
      <c r="H430" s="96">
        <f t="shared" si="40"/>
        <v>100</v>
      </c>
    </row>
    <row r="431" spans="1:8" ht="38.25" customHeight="1" x14ac:dyDescent="0.25">
      <c r="A431" s="16" t="s">
        <v>109</v>
      </c>
      <c r="B431" s="84" t="s">
        <v>98</v>
      </c>
      <c r="C431" s="21" t="s">
        <v>658</v>
      </c>
      <c r="D431" s="21"/>
      <c r="E431" s="125" t="s">
        <v>659</v>
      </c>
      <c r="F431" s="41">
        <f>F432</f>
        <v>2.4</v>
      </c>
      <c r="G431" s="41">
        <f>G432</f>
        <v>2.4</v>
      </c>
      <c r="H431" s="96">
        <f t="shared" si="40"/>
        <v>100</v>
      </c>
    </row>
    <row r="432" spans="1:8" x14ac:dyDescent="0.25">
      <c r="A432" s="16" t="s">
        <v>109</v>
      </c>
      <c r="B432" s="84" t="s">
        <v>98</v>
      </c>
      <c r="C432" s="21" t="s">
        <v>658</v>
      </c>
      <c r="D432" s="21" t="s">
        <v>226</v>
      </c>
      <c r="E432" s="100" t="s">
        <v>225</v>
      </c>
      <c r="F432" s="41">
        <f>4.3-1.9</f>
        <v>2.4</v>
      </c>
      <c r="G432" s="41">
        <f>4.3-1.9</f>
        <v>2.4</v>
      </c>
      <c r="H432" s="96">
        <f t="shared" si="40"/>
        <v>100</v>
      </c>
    </row>
    <row r="433" spans="1:8" ht="52.8" x14ac:dyDescent="0.25">
      <c r="A433" s="16" t="s">
        <v>109</v>
      </c>
      <c r="B433" s="84" t="s">
        <v>98</v>
      </c>
      <c r="C433" s="57" t="s">
        <v>660</v>
      </c>
      <c r="D433" s="84"/>
      <c r="E433" s="100" t="s">
        <v>661</v>
      </c>
      <c r="F433" s="41">
        <f>F434</f>
        <v>470</v>
      </c>
      <c r="G433" s="41">
        <f>G434</f>
        <v>470</v>
      </c>
      <c r="H433" s="96">
        <f t="shared" si="40"/>
        <v>100</v>
      </c>
    </row>
    <row r="434" spans="1:8" x14ac:dyDescent="0.25">
      <c r="A434" s="16" t="s">
        <v>109</v>
      </c>
      <c r="B434" s="84" t="s">
        <v>98</v>
      </c>
      <c r="C434" s="57" t="s">
        <v>660</v>
      </c>
      <c r="D434" s="21" t="s">
        <v>226</v>
      </c>
      <c r="E434" s="100" t="s">
        <v>225</v>
      </c>
      <c r="F434" s="41">
        <f>500-30</f>
        <v>470</v>
      </c>
      <c r="G434" s="41">
        <f>500-30</f>
        <v>470</v>
      </c>
      <c r="H434" s="96">
        <f t="shared" si="40"/>
        <v>100</v>
      </c>
    </row>
    <row r="435" spans="1:8" ht="26.4" x14ac:dyDescent="0.25">
      <c r="A435" s="16" t="s">
        <v>109</v>
      </c>
      <c r="B435" s="84" t="s">
        <v>98</v>
      </c>
      <c r="C435" s="57" t="s">
        <v>662</v>
      </c>
      <c r="D435" s="21"/>
      <c r="E435" s="54" t="s">
        <v>663</v>
      </c>
      <c r="F435" s="41">
        <f>F436</f>
        <v>537.79999999999995</v>
      </c>
      <c r="G435" s="41">
        <f>G436</f>
        <v>537.79999999999995</v>
      </c>
      <c r="H435" s="96">
        <f t="shared" si="40"/>
        <v>100</v>
      </c>
    </row>
    <row r="436" spans="1:8" x14ac:dyDescent="0.25">
      <c r="A436" s="16" t="s">
        <v>109</v>
      </c>
      <c r="B436" s="84" t="s">
        <v>98</v>
      </c>
      <c r="C436" s="57" t="s">
        <v>662</v>
      </c>
      <c r="D436" s="21" t="s">
        <v>226</v>
      </c>
      <c r="E436" s="100" t="s">
        <v>225</v>
      </c>
      <c r="F436" s="41">
        <v>537.79999999999995</v>
      </c>
      <c r="G436" s="41">
        <v>537.79999999999995</v>
      </c>
      <c r="H436" s="96">
        <f t="shared" si="40"/>
        <v>100</v>
      </c>
    </row>
    <row r="437" spans="1:8" ht="36.75" customHeight="1" x14ac:dyDescent="0.25">
      <c r="A437" s="16" t="s">
        <v>109</v>
      </c>
      <c r="B437" s="84" t="s">
        <v>98</v>
      </c>
      <c r="C437" s="57" t="s">
        <v>664</v>
      </c>
      <c r="D437" s="21"/>
      <c r="E437" s="125" t="s">
        <v>665</v>
      </c>
      <c r="F437" s="96">
        <f>F438</f>
        <v>530</v>
      </c>
      <c r="G437" s="96">
        <f>G438</f>
        <v>467.7</v>
      </c>
      <c r="H437" s="96">
        <f t="shared" si="40"/>
        <v>88.2</v>
      </c>
    </row>
    <row r="438" spans="1:8" x14ac:dyDescent="0.25">
      <c r="A438" s="16" t="s">
        <v>109</v>
      </c>
      <c r="B438" s="84" t="s">
        <v>98</v>
      </c>
      <c r="C438" s="57" t="s">
        <v>664</v>
      </c>
      <c r="D438" s="21" t="s">
        <v>226</v>
      </c>
      <c r="E438" s="100" t="s">
        <v>225</v>
      </c>
      <c r="F438" s="96">
        <v>530</v>
      </c>
      <c r="G438" s="41">
        <v>467.7</v>
      </c>
      <c r="H438" s="96">
        <f t="shared" si="40"/>
        <v>88.2</v>
      </c>
    </row>
    <row r="439" spans="1:8" ht="52.8" x14ac:dyDescent="0.25">
      <c r="A439" s="16" t="s">
        <v>109</v>
      </c>
      <c r="B439" s="84" t="s">
        <v>98</v>
      </c>
      <c r="C439" s="57" t="s">
        <v>666</v>
      </c>
      <c r="D439" s="21"/>
      <c r="E439" s="100" t="s">
        <v>639</v>
      </c>
      <c r="F439" s="96">
        <f>F440</f>
        <v>30</v>
      </c>
      <c r="G439" s="96">
        <f>G440</f>
        <v>30</v>
      </c>
      <c r="H439" s="96">
        <f t="shared" si="40"/>
        <v>100</v>
      </c>
    </row>
    <row r="440" spans="1:8" x14ac:dyDescent="0.25">
      <c r="A440" s="16" t="s">
        <v>109</v>
      </c>
      <c r="B440" s="84" t="s">
        <v>98</v>
      </c>
      <c r="C440" s="57" t="s">
        <v>666</v>
      </c>
      <c r="D440" s="21" t="s">
        <v>226</v>
      </c>
      <c r="E440" s="100" t="s">
        <v>225</v>
      </c>
      <c r="F440" s="96">
        <v>30</v>
      </c>
      <c r="G440" s="96">
        <v>30</v>
      </c>
      <c r="H440" s="96">
        <f t="shared" si="40"/>
        <v>100</v>
      </c>
    </row>
    <row r="441" spans="1:8" s="37" customFormat="1" ht="26.4" x14ac:dyDescent="0.3">
      <c r="A441" s="16" t="s">
        <v>109</v>
      </c>
      <c r="B441" s="84" t="s">
        <v>98</v>
      </c>
      <c r="C441" s="57" t="s">
        <v>667</v>
      </c>
      <c r="D441" s="21"/>
      <c r="E441" s="100" t="s">
        <v>185</v>
      </c>
      <c r="F441" s="41">
        <f>F442</f>
        <v>250</v>
      </c>
      <c r="G441" s="41">
        <f>G442</f>
        <v>250</v>
      </c>
      <c r="H441" s="96">
        <f t="shared" si="40"/>
        <v>100</v>
      </c>
    </row>
    <row r="442" spans="1:8" x14ac:dyDescent="0.25">
      <c r="A442" s="16" t="s">
        <v>109</v>
      </c>
      <c r="B442" s="84" t="s">
        <v>98</v>
      </c>
      <c r="C442" s="57" t="s">
        <v>667</v>
      </c>
      <c r="D442" s="21" t="s">
        <v>226</v>
      </c>
      <c r="E442" s="100" t="s">
        <v>225</v>
      </c>
      <c r="F442" s="41">
        <v>250</v>
      </c>
      <c r="G442" s="41">
        <v>250</v>
      </c>
      <c r="H442" s="96">
        <f t="shared" si="40"/>
        <v>100</v>
      </c>
    </row>
    <row r="443" spans="1:8" ht="26.4" x14ac:dyDescent="0.25">
      <c r="A443" s="16" t="s">
        <v>109</v>
      </c>
      <c r="B443" s="84" t="s">
        <v>98</v>
      </c>
      <c r="C443" s="126" t="s">
        <v>668</v>
      </c>
      <c r="D443" s="124"/>
      <c r="E443" s="100" t="s">
        <v>669</v>
      </c>
      <c r="F443" s="109">
        <f>F444</f>
        <v>106.1</v>
      </c>
      <c r="G443" s="109">
        <f>G444</f>
        <v>106.1</v>
      </c>
      <c r="H443" s="96">
        <f t="shared" si="40"/>
        <v>100</v>
      </c>
    </row>
    <row r="444" spans="1:8" x14ac:dyDescent="0.25">
      <c r="A444" s="16" t="s">
        <v>109</v>
      </c>
      <c r="B444" s="84" t="s">
        <v>98</v>
      </c>
      <c r="C444" s="126" t="s">
        <v>668</v>
      </c>
      <c r="D444" s="21" t="s">
        <v>226</v>
      </c>
      <c r="E444" s="100" t="s">
        <v>225</v>
      </c>
      <c r="F444" s="109">
        <f>150-43.9</f>
        <v>106.1</v>
      </c>
      <c r="G444" s="109">
        <f>150-43.9</f>
        <v>106.1</v>
      </c>
      <c r="H444" s="96">
        <f t="shared" si="40"/>
        <v>100</v>
      </c>
    </row>
    <row r="445" spans="1:8" ht="26.4" x14ac:dyDescent="0.25">
      <c r="A445" s="47" t="s">
        <v>109</v>
      </c>
      <c r="B445" s="47" t="s">
        <v>98</v>
      </c>
      <c r="C445" s="52" t="s">
        <v>670</v>
      </c>
      <c r="D445" s="84"/>
      <c r="E445" s="46" t="s">
        <v>671</v>
      </c>
      <c r="F445" s="122">
        <f>F446</f>
        <v>50</v>
      </c>
      <c r="G445" s="122">
        <f>G446</f>
        <v>50</v>
      </c>
      <c r="H445" s="58">
        <f t="shared" si="40"/>
        <v>100</v>
      </c>
    </row>
    <row r="446" spans="1:8" ht="66" x14ac:dyDescent="0.25">
      <c r="A446" s="16" t="s">
        <v>109</v>
      </c>
      <c r="B446" s="84" t="s">
        <v>98</v>
      </c>
      <c r="C446" s="57" t="s">
        <v>672</v>
      </c>
      <c r="D446" s="16"/>
      <c r="E446" s="100" t="s">
        <v>412</v>
      </c>
      <c r="F446" s="41">
        <f>F447</f>
        <v>50</v>
      </c>
      <c r="G446" s="41">
        <f>G447</f>
        <v>50</v>
      </c>
      <c r="H446" s="96">
        <f t="shared" si="40"/>
        <v>100</v>
      </c>
    </row>
    <row r="447" spans="1:8" x14ac:dyDescent="0.25">
      <c r="A447" s="16" t="s">
        <v>109</v>
      </c>
      <c r="B447" s="84" t="s">
        <v>98</v>
      </c>
      <c r="C447" s="57" t="s">
        <v>672</v>
      </c>
      <c r="D447" s="21" t="s">
        <v>226</v>
      </c>
      <c r="E447" s="100" t="s">
        <v>225</v>
      </c>
      <c r="F447" s="41">
        <v>50</v>
      </c>
      <c r="G447" s="41">
        <v>50</v>
      </c>
      <c r="H447" s="96">
        <f t="shared" si="40"/>
        <v>100</v>
      </c>
    </row>
    <row r="448" spans="1:8" ht="63.75" customHeight="1" x14ac:dyDescent="0.3">
      <c r="A448" s="16" t="s">
        <v>109</v>
      </c>
      <c r="B448" s="84" t="s">
        <v>98</v>
      </c>
      <c r="C448" s="73" t="s">
        <v>65</v>
      </c>
      <c r="D448" s="35"/>
      <c r="E448" s="53" t="s">
        <v>673</v>
      </c>
      <c r="F448" s="65">
        <f t="shared" ref="F448:G448" si="41">F449</f>
        <v>15104.4</v>
      </c>
      <c r="G448" s="65">
        <f t="shared" si="41"/>
        <v>15104.4</v>
      </c>
      <c r="H448" s="62">
        <f t="shared" si="40"/>
        <v>100</v>
      </c>
    </row>
    <row r="449" spans="1:8" ht="27" x14ac:dyDescent="0.3">
      <c r="A449" s="16" t="s">
        <v>109</v>
      </c>
      <c r="B449" s="84" t="s">
        <v>98</v>
      </c>
      <c r="C449" s="52" t="s">
        <v>66</v>
      </c>
      <c r="D449" s="35"/>
      <c r="E449" s="48" t="s">
        <v>173</v>
      </c>
      <c r="F449" s="58">
        <f>F450+F452+F454+F456+F458+F460+F462</f>
        <v>15104.4</v>
      </c>
      <c r="G449" s="58">
        <f>G450+G452+G454+G456+G458+G460+G462</f>
        <v>15104.4</v>
      </c>
      <c r="H449" s="58">
        <f t="shared" si="40"/>
        <v>100</v>
      </c>
    </row>
    <row r="450" spans="1:8" ht="26.4" x14ac:dyDescent="0.25">
      <c r="A450" s="16" t="s">
        <v>109</v>
      </c>
      <c r="B450" s="84" t="s">
        <v>98</v>
      </c>
      <c r="C450" s="74">
        <v>210221100</v>
      </c>
      <c r="D450" s="16"/>
      <c r="E450" s="190" t="s">
        <v>175</v>
      </c>
      <c r="F450" s="39">
        <f>F451</f>
        <v>10587.199999999999</v>
      </c>
      <c r="G450" s="39">
        <f>G451</f>
        <v>10587.199999999999</v>
      </c>
      <c r="H450" s="96">
        <f t="shared" si="40"/>
        <v>100</v>
      </c>
    </row>
    <row r="451" spans="1:8" x14ac:dyDescent="0.25">
      <c r="A451" s="16" t="s">
        <v>109</v>
      </c>
      <c r="B451" s="84" t="s">
        <v>98</v>
      </c>
      <c r="C451" s="74">
        <v>210221100</v>
      </c>
      <c r="D451" s="21" t="s">
        <v>226</v>
      </c>
      <c r="E451" s="100" t="s">
        <v>225</v>
      </c>
      <c r="F451" s="148">
        <f>11359.3+72.9-500-8.6-1.5-334.9</f>
        <v>10587.199999999999</v>
      </c>
      <c r="G451" s="148">
        <f>11359.3+72.9-500-8.6-1.5-334.9</f>
        <v>10587.199999999999</v>
      </c>
      <c r="H451" s="96">
        <f t="shared" si="40"/>
        <v>100</v>
      </c>
    </row>
    <row r="452" spans="1:8" ht="52.5" customHeight="1" x14ac:dyDescent="0.25">
      <c r="A452" s="16" t="s">
        <v>109</v>
      </c>
      <c r="B452" s="84" t="s">
        <v>98</v>
      </c>
      <c r="C452" s="74">
        <v>210210690</v>
      </c>
      <c r="D452" s="21"/>
      <c r="E452" s="100" t="s">
        <v>326</v>
      </c>
      <c r="F452" s="39">
        <f>F453</f>
        <v>3993.3</v>
      </c>
      <c r="G452" s="39">
        <f>G453</f>
        <v>3993.3</v>
      </c>
      <c r="H452" s="96">
        <f t="shared" si="40"/>
        <v>100</v>
      </c>
    </row>
    <row r="453" spans="1:8" x14ac:dyDescent="0.25">
      <c r="A453" s="16" t="s">
        <v>109</v>
      </c>
      <c r="B453" s="84" t="s">
        <v>98</v>
      </c>
      <c r="C453" s="74">
        <v>210210690</v>
      </c>
      <c r="D453" s="21" t="s">
        <v>226</v>
      </c>
      <c r="E453" s="100" t="s">
        <v>225</v>
      </c>
      <c r="F453" s="211">
        <f>3151.3+842</f>
        <v>3993.3</v>
      </c>
      <c r="G453" s="211">
        <f>3151.3+842</f>
        <v>3993.3</v>
      </c>
      <c r="H453" s="96">
        <f t="shared" si="40"/>
        <v>100</v>
      </c>
    </row>
    <row r="454" spans="1:8" ht="52.8" x14ac:dyDescent="0.25">
      <c r="A454" s="16" t="s">
        <v>109</v>
      </c>
      <c r="B454" s="84" t="s">
        <v>98</v>
      </c>
      <c r="C454" s="74" t="s">
        <v>674</v>
      </c>
      <c r="D454" s="84"/>
      <c r="E454" s="100" t="s">
        <v>327</v>
      </c>
      <c r="F454" s="39">
        <f>SUM(F455:F455)</f>
        <v>40.4</v>
      </c>
      <c r="G454" s="39">
        <f>SUM(G455:G455)</f>
        <v>40.4</v>
      </c>
      <c r="H454" s="96">
        <f t="shared" si="40"/>
        <v>100</v>
      </c>
    </row>
    <row r="455" spans="1:8" x14ac:dyDescent="0.25">
      <c r="A455" s="84" t="s">
        <v>109</v>
      </c>
      <c r="B455" s="84" t="s">
        <v>98</v>
      </c>
      <c r="C455" s="74" t="s">
        <v>674</v>
      </c>
      <c r="D455" s="21" t="s">
        <v>226</v>
      </c>
      <c r="E455" s="189" t="s">
        <v>225</v>
      </c>
      <c r="F455" s="39">
        <f>31.8+8.6</f>
        <v>40.4</v>
      </c>
      <c r="G455" s="39">
        <f>31.8+8.6</f>
        <v>40.4</v>
      </c>
      <c r="H455" s="96">
        <f t="shared" si="40"/>
        <v>100</v>
      </c>
    </row>
    <row r="456" spans="1:8" ht="52.5" customHeight="1" x14ac:dyDescent="0.25">
      <c r="A456" s="16" t="s">
        <v>109</v>
      </c>
      <c r="B456" s="84" t="s">
        <v>98</v>
      </c>
      <c r="C456" s="74">
        <v>210211390</v>
      </c>
      <c r="D456" s="221"/>
      <c r="E456" s="224" t="s">
        <v>675</v>
      </c>
      <c r="F456" s="222">
        <f>F457</f>
        <v>88.899999999999991</v>
      </c>
      <c r="G456" s="222">
        <f>G457</f>
        <v>88.899999999999991</v>
      </c>
      <c r="H456" s="96">
        <f t="shared" si="40"/>
        <v>100</v>
      </c>
    </row>
    <row r="457" spans="1:8" x14ac:dyDescent="0.25">
      <c r="A457" s="84" t="s">
        <v>109</v>
      </c>
      <c r="B457" s="84" t="s">
        <v>98</v>
      </c>
      <c r="C457" s="74">
        <v>210211390</v>
      </c>
      <c r="D457" s="21" t="s">
        <v>226</v>
      </c>
      <c r="E457" s="223" t="s">
        <v>225</v>
      </c>
      <c r="F457" s="39">
        <f>88.3+0.6</f>
        <v>88.899999999999991</v>
      </c>
      <c r="G457" s="39">
        <f>88.3+0.6</f>
        <v>88.899999999999991</v>
      </c>
      <c r="H457" s="96">
        <f t="shared" si="40"/>
        <v>100</v>
      </c>
    </row>
    <row r="458" spans="1:8" s="37" customFormat="1" ht="66.599999999999994" x14ac:dyDescent="0.3">
      <c r="A458" s="16" t="s">
        <v>109</v>
      </c>
      <c r="B458" s="84" t="s">
        <v>98</v>
      </c>
      <c r="C458" s="74" t="s">
        <v>676</v>
      </c>
      <c r="D458" s="21"/>
      <c r="E458" s="125" t="s">
        <v>677</v>
      </c>
      <c r="F458" s="39">
        <f>F459</f>
        <v>0.9</v>
      </c>
      <c r="G458" s="39">
        <f>G459</f>
        <v>0.9</v>
      </c>
      <c r="H458" s="96">
        <f t="shared" si="40"/>
        <v>100</v>
      </c>
    </row>
    <row r="459" spans="1:8" s="37" customFormat="1" ht="14.4" x14ac:dyDescent="0.3">
      <c r="A459" s="84" t="s">
        <v>109</v>
      </c>
      <c r="B459" s="84" t="s">
        <v>98</v>
      </c>
      <c r="C459" s="74" t="s">
        <v>676</v>
      </c>
      <c r="D459" s="21" t="s">
        <v>226</v>
      </c>
      <c r="E459" s="100" t="s">
        <v>225</v>
      </c>
      <c r="F459" s="39">
        <f>1.5-0.6</f>
        <v>0.9</v>
      </c>
      <c r="G459" s="39">
        <f>1.5-0.6</f>
        <v>0.9</v>
      </c>
      <c r="H459" s="96">
        <f t="shared" si="40"/>
        <v>100</v>
      </c>
    </row>
    <row r="460" spans="1:8" s="37" customFormat="1" ht="52.8" x14ac:dyDescent="0.3">
      <c r="A460" s="16" t="s">
        <v>109</v>
      </c>
      <c r="B460" s="84" t="s">
        <v>98</v>
      </c>
      <c r="C460" s="212" t="s">
        <v>678</v>
      </c>
      <c r="D460" s="21"/>
      <c r="E460" s="54" t="s">
        <v>679</v>
      </c>
      <c r="F460" s="39">
        <f t="shared" ref="F460:G460" si="42">F461</f>
        <v>245</v>
      </c>
      <c r="G460" s="39">
        <f t="shared" si="42"/>
        <v>245</v>
      </c>
      <c r="H460" s="96">
        <f t="shared" si="40"/>
        <v>100</v>
      </c>
    </row>
    <row r="461" spans="1:8" s="37" customFormat="1" ht="14.4" x14ac:dyDescent="0.3">
      <c r="A461" s="16" t="s">
        <v>109</v>
      </c>
      <c r="B461" s="84" t="s">
        <v>98</v>
      </c>
      <c r="C461" s="212" t="s">
        <v>678</v>
      </c>
      <c r="D461" s="21" t="s">
        <v>226</v>
      </c>
      <c r="E461" s="100" t="s">
        <v>225</v>
      </c>
      <c r="F461" s="39">
        <v>245</v>
      </c>
      <c r="G461" s="39">
        <v>245</v>
      </c>
      <c r="H461" s="96">
        <f t="shared" si="40"/>
        <v>100</v>
      </c>
    </row>
    <row r="462" spans="1:8" s="37" customFormat="1" ht="53.4" x14ac:dyDescent="0.3">
      <c r="A462" s="16" t="s">
        <v>109</v>
      </c>
      <c r="B462" s="84" t="s">
        <v>98</v>
      </c>
      <c r="C462" s="212" t="s">
        <v>680</v>
      </c>
      <c r="D462" s="21"/>
      <c r="E462" s="151" t="s">
        <v>681</v>
      </c>
      <c r="F462" s="39">
        <f>F463</f>
        <v>148.69999999999999</v>
      </c>
      <c r="G462" s="39">
        <f>G463</f>
        <v>148.69999999999999</v>
      </c>
      <c r="H462" s="96">
        <f t="shared" si="40"/>
        <v>100</v>
      </c>
    </row>
    <row r="463" spans="1:8" s="37" customFormat="1" ht="14.4" x14ac:dyDescent="0.3">
      <c r="A463" s="16" t="s">
        <v>109</v>
      </c>
      <c r="B463" s="84" t="s">
        <v>98</v>
      </c>
      <c r="C463" s="212" t="s">
        <v>680</v>
      </c>
      <c r="D463" s="21" t="s">
        <v>226</v>
      </c>
      <c r="E463" s="100" t="s">
        <v>225</v>
      </c>
      <c r="F463" s="39">
        <v>148.69999999999999</v>
      </c>
      <c r="G463" s="39">
        <v>148.69999999999999</v>
      </c>
      <c r="H463" s="96">
        <f t="shared" si="40"/>
        <v>100</v>
      </c>
    </row>
    <row r="464" spans="1:8" s="37" customFormat="1" ht="27" x14ac:dyDescent="0.3">
      <c r="A464" s="84" t="s">
        <v>109</v>
      </c>
      <c r="B464" s="84" t="s">
        <v>98</v>
      </c>
      <c r="C464" s="84" t="s">
        <v>29</v>
      </c>
      <c r="D464" s="84"/>
      <c r="E464" s="102" t="s">
        <v>43</v>
      </c>
      <c r="F464" s="41">
        <f>F465</f>
        <v>475</v>
      </c>
      <c r="G464" s="41">
        <f>G465</f>
        <v>475</v>
      </c>
      <c r="H464" s="96">
        <f t="shared" si="40"/>
        <v>100</v>
      </c>
    </row>
    <row r="465" spans="1:8" s="37" customFormat="1" ht="39.6" x14ac:dyDescent="0.3">
      <c r="A465" s="16" t="s">
        <v>109</v>
      </c>
      <c r="B465" s="84" t="s">
        <v>98</v>
      </c>
      <c r="C465" s="84" t="s">
        <v>682</v>
      </c>
      <c r="D465" s="16"/>
      <c r="E465" s="54" t="s">
        <v>351</v>
      </c>
      <c r="F465" s="41">
        <f>SUM(F466:F466)</f>
        <v>475</v>
      </c>
      <c r="G465" s="41">
        <f>SUM(G466:G466)</f>
        <v>475</v>
      </c>
      <c r="H465" s="96">
        <f t="shared" si="40"/>
        <v>100</v>
      </c>
    </row>
    <row r="466" spans="1:8" s="37" customFormat="1" ht="14.4" x14ac:dyDescent="0.3">
      <c r="A466" s="16" t="s">
        <v>109</v>
      </c>
      <c r="B466" s="84" t="s">
        <v>98</v>
      </c>
      <c r="C466" s="84" t="s">
        <v>682</v>
      </c>
      <c r="D466" s="21" t="s">
        <v>226</v>
      </c>
      <c r="E466" s="100" t="s">
        <v>225</v>
      </c>
      <c r="F466" s="39">
        <f>300+175</f>
        <v>475</v>
      </c>
      <c r="G466" s="39">
        <f>300+175</f>
        <v>475</v>
      </c>
      <c r="H466" s="96">
        <f t="shared" si="40"/>
        <v>100</v>
      </c>
    </row>
    <row r="467" spans="1:8" s="37" customFormat="1" ht="27" x14ac:dyDescent="0.3">
      <c r="A467" s="35" t="s">
        <v>109</v>
      </c>
      <c r="B467" s="35" t="s">
        <v>100</v>
      </c>
      <c r="C467" s="35"/>
      <c r="D467" s="35"/>
      <c r="E467" s="46" t="s">
        <v>2</v>
      </c>
      <c r="F467" s="42">
        <f t="shared" ref="F467:G469" si="43">F468</f>
        <v>152.4</v>
      </c>
      <c r="G467" s="42">
        <f t="shared" si="43"/>
        <v>143.80000000000001</v>
      </c>
      <c r="H467" s="42">
        <f t="shared" si="40"/>
        <v>94.4</v>
      </c>
    </row>
    <row r="468" spans="1:8" s="37" customFormat="1" ht="48.75" customHeight="1" x14ac:dyDescent="0.3">
      <c r="A468" s="16" t="s">
        <v>109</v>
      </c>
      <c r="B468" s="16" t="s">
        <v>100</v>
      </c>
      <c r="C468" s="21" t="s">
        <v>79</v>
      </c>
      <c r="D468" s="35"/>
      <c r="E468" s="64" t="s">
        <v>607</v>
      </c>
      <c r="F468" s="62">
        <f t="shared" si="43"/>
        <v>152.4</v>
      </c>
      <c r="G468" s="62">
        <f t="shared" si="43"/>
        <v>143.80000000000001</v>
      </c>
      <c r="H468" s="62">
        <f t="shared" si="40"/>
        <v>94.4</v>
      </c>
    </row>
    <row r="469" spans="1:8" s="37" customFormat="1" ht="27" x14ac:dyDescent="0.3">
      <c r="A469" s="16" t="s">
        <v>109</v>
      </c>
      <c r="B469" s="16" t="s">
        <v>100</v>
      </c>
      <c r="C469" s="52" t="s">
        <v>670</v>
      </c>
      <c r="D469" s="35"/>
      <c r="E469" s="46" t="s">
        <v>671</v>
      </c>
      <c r="F469" s="58">
        <f t="shared" si="43"/>
        <v>152.4</v>
      </c>
      <c r="G469" s="58">
        <f t="shared" si="43"/>
        <v>143.80000000000001</v>
      </c>
      <c r="H469" s="58">
        <f t="shared" si="40"/>
        <v>94.4</v>
      </c>
    </row>
    <row r="470" spans="1:8" s="37" customFormat="1" ht="39.6" x14ac:dyDescent="0.3">
      <c r="A470" s="16" t="s">
        <v>109</v>
      </c>
      <c r="B470" s="16" t="s">
        <v>100</v>
      </c>
      <c r="C470" s="57" t="s">
        <v>683</v>
      </c>
      <c r="D470" s="16"/>
      <c r="E470" s="100" t="s">
        <v>49</v>
      </c>
      <c r="F470" s="41">
        <f>F471</f>
        <v>152.4</v>
      </c>
      <c r="G470" s="41">
        <f>G471</f>
        <v>143.80000000000001</v>
      </c>
      <c r="H470" s="96">
        <f t="shared" si="40"/>
        <v>94.4</v>
      </c>
    </row>
    <row r="471" spans="1:8" s="37" customFormat="1" ht="14.4" x14ac:dyDescent="0.3">
      <c r="A471" s="16" t="s">
        <v>109</v>
      </c>
      <c r="B471" s="16" t="s">
        <v>100</v>
      </c>
      <c r="C471" s="57" t="s">
        <v>683</v>
      </c>
      <c r="D471" s="21" t="s">
        <v>226</v>
      </c>
      <c r="E471" s="100" t="s">
        <v>225</v>
      </c>
      <c r="F471" s="96">
        <f>250-97.6</f>
        <v>152.4</v>
      </c>
      <c r="G471" s="96">
        <v>143.80000000000001</v>
      </c>
      <c r="H471" s="96">
        <f t="shared" si="40"/>
        <v>94.4</v>
      </c>
    </row>
    <row r="472" spans="1:8" s="37" customFormat="1" ht="14.4" x14ac:dyDescent="0.3">
      <c r="A472" s="35" t="s">
        <v>109</v>
      </c>
      <c r="B472" s="35" t="s">
        <v>109</v>
      </c>
      <c r="C472" s="35"/>
      <c r="D472" s="35"/>
      <c r="E472" s="46" t="s">
        <v>156</v>
      </c>
      <c r="F472" s="42">
        <f>F473+F480+F495+F504</f>
        <v>12391.1</v>
      </c>
      <c r="G472" s="42">
        <f>G473+G480+G495+G504</f>
        <v>11267.1</v>
      </c>
      <c r="H472" s="42">
        <f t="shared" si="40"/>
        <v>90.9</v>
      </c>
    </row>
    <row r="473" spans="1:8" s="37" customFormat="1" ht="50.25" customHeight="1" x14ac:dyDescent="0.3">
      <c r="A473" s="16" t="s">
        <v>109</v>
      </c>
      <c r="B473" s="16" t="s">
        <v>109</v>
      </c>
      <c r="C473" s="21" t="s">
        <v>79</v>
      </c>
      <c r="D473" s="35"/>
      <c r="E473" s="64" t="s">
        <v>607</v>
      </c>
      <c r="F473" s="62">
        <f t="shared" ref="F473:G473" si="44">F474</f>
        <v>4111.8999999999996</v>
      </c>
      <c r="G473" s="62">
        <f t="shared" si="44"/>
        <v>2987.8999999999996</v>
      </c>
      <c r="H473" s="62">
        <f t="shared" si="40"/>
        <v>72.7</v>
      </c>
    </row>
    <row r="474" spans="1:8" s="37" customFormat="1" ht="40.200000000000003" x14ac:dyDescent="0.3">
      <c r="A474" s="16" t="s">
        <v>109</v>
      </c>
      <c r="B474" s="16" t="s">
        <v>109</v>
      </c>
      <c r="C474" s="52" t="s">
        <v>81</v>
      </c>
      <c r="D474" s="35"/>
      <c r="E474" s="46" t="s">
        <v>619</v>
      </c>
      <c r="F474" s="58">
        <f t="shared" ref="F474" si="45">F475+F477</f>
        <v>4111.8999999999996</v>
      </c>
      <c r="G474" s="58">
        <f t="shared" ref="G474" si="46">G475+G477</f>
        <v>2987.8999999999996</v>
      </c>
      <c r="H474" s="58">
        <f t="shared" si="40"/>
        <v>72.7</v>
      </c>
    </row>
    <row r="475" spans="1:8" s="37" customFormat="1" ht="14.4" x14ac:dyDescent="0.3">
      <c r="A475" s="16" t="s">
        <v>109</v>
      </c>
      <c r="B475" s="16" t="s">
        <v>109</v>
      </c>
      <c r="C475" s="57" t="s">
        <v>684</v>
      </c>
      <c r="D475" s="21"/>
      <c r="E475" s="100" t="s">
        <v>50</v>
      </c>
      <c r="F475" s="41">
        <f>F476</f>
        <v>1342.4</v>
      </c>
      <c r="G475" s="41">
        <f>G476</f>
        <v>1313.2</v>
      </c>
      <c r="H475" s="96">
        <f t="shared" si="40"/>
        <v>97.8</v>
      </c>
    </row>
    <row r="476" spans="1:8" s="37" customFormat="1" ht="14.4" x14ac:dyDescent="0.3">
      <c r="A476" s="16" t="s">
        <v>109</v>
      </c>
      <c r="B476" s="16" t="s">
        <v>109</v>
      </c>
      <c r="C476" s="57" t="s">
        <v>684</v>
      </c>
      <c r="D476" s="21" t="s">
        <v>226</v>
      </c>
      <c r="E476" s="100" t="s">
        <v>225</v>
      </c>
      <c r="F476" s="41">
        <f>1200.2+142.2</f>
        <v>1342.4</v>
      </c>
      <c r="G476" s="96">
        <v>1313.2</v>
      </c>
      <c r="H476" s="96">
        <f t="shared" si="40"/>
        <v>97.8</v>
      </c>
    </row>
    <row r="477" spans="1:8" s="37" customFormat="1" ht="26.25" customHeight="1" x14ac:dyDescent="0.3">
      <c r="A477" s="16" t="s">
        <v>109</v>
      </c>
      <c r="B477" s="16" t="s">
        <v>109</v>
      </c>
      <c r="C477" s="57" t="s">
        <v>685</v>
      </c>
      <c r="D477" s="21"/>
      <c r="E477" s="100" t="s">
        <v>686</v>
      </c>
      <c r="F477" s="41">
        <f>SUM(F478:F479)</f>
        <v>2769.5</v>
      </c>
      <c r="G477" s="41">
        <f>SUM(G478:G479)</f>
        <v>1674.6999999999998</v>
      </c>
      <c r="H477" s="96">
        <f t="shared" si="40"/>
        <v>60.5</v>
      </c>
    </row>
    <row r="478" spans="1:8" s="37" customFormat="1" ht="14.4" x14ac:dyDescent="0.3">
      <c r="A478" s="16" t="s">
        <v>109</v>
      </c>
      <c r="B478" s="16" t="s">
        <v>109</v>
      </c>
      <c r="C478" s="57" t="s">
        <v>685</v>
      </c>
      <c r="D478" s="21" t="s">
        <v>226</v>
      </c>
      <c r="E478" s="100" t="s">
        <v>225</v>
      </c>
      <c r="F478" s="158">
        <v>2049</v>
      </c>
      <c r="G478" s="96">
        <v>1597.6</v>
      </c>
      <c r="H478" s="96">
        <f t="shared" si="40"/>
        <v>78</v>
      </c>
    </row>
    <row r="479" spans="1:8" s="37" customFormat="1" ht="51" customHeight="1" x14ac:dyDescent="0.3">
      <c r="A479" s="16" t="s">
        <v>109</v>
      </c>
      <c r="B479" s="16" t="s">
        <v>109</v>
      </c>
      <c r="C479" s="57" t="s">
        <v>685</v>
      </c>
      <c r="D479" s="16" t="s">
        <v>14</v>
      </c>
      <c r="E479" s="100" t="s">
        <v>380</v>
      </c>
      <c r="F479" s="41">
        <v>720.5</v>
      </c>
      <c r="G479" s="96">
        <v>77.099999999999994</v>
      </c>
      <c r="H479" s="96">
        <f t="shared" si="40"/>
        <v>10.7</v>
      </c>
    </row>
    <row r="480" spans="1:8" s="37" customFormat="1" ht="66" customHeight="1" x14ac:dyDescent="0.3">
      <c r="A480" s="5" t="s">
        <v>109</v>
      </c>
      <c r="B480" s="5" t="s">
        <v>109</v>
      </c>
      <c r="C480" s="73" t="s">
        <v>65</v>
      </c>
      <c r="D480" s="35"/>
      <c r="E480" s="53" t="s">
        <v>673</v>
      </c>
      <c r="F480" s="65">
        <f>F481</f>
        <v>8155.0999999999995</v>
      </c>
      <c r="G480" s="65">
        <f>G481</f>
        <v>8155.0999999999995</v>
      </c>
      <c r="H480" s="62">
        <f t="shared" si="40"/>
        <v>100</v>
      </c>
    </row>
    <row r="481" spans="1:8" s="37" customFormat="1" ht="27" x14ac:dyDescent="0.3">
      <c r="A481" s="16" t="s">
        <v>109</v>
      </c>
      <c r="B481" s="16" t="s">
        <v>109</v>
      </c>
      <c r="C481" s="52" t="s">
        <v>35</v>
      </c>
      <c r="D481" s="21"/>
      <c r="E481" s="48" t="s">
        <v>179</v>
      </c>
      <c r="F481" s="95">
        <f>F482+F484+F486+F488+F490+F492</f>
        <v>8155.0999999999995</v>
      </c>
      <c r="G481" s="95">
        <f>G482+G484+G486+G488+G490+G492</f>
        <v>8155.0999999999995</v>
      </c>
      <c r="H481" s="58">
        <f t="shared" si="40"/>
        <v>100</v>
      </c>
    </row>
    <row r="482" spans="1:8" s="37" customFormat="1" ht="53.4" x14ac:dyDescent="0.3">
      <c r="A482" s="16" t="s">
        <v>109</v>
      </c>
      <c r="B482" s="16" t="s">
        <v>109</v>
      </c>
      <c r="C482" s="195" t="s">
        <v>687</v>
      </c>
      <c r="D482" s="16"/>
      <c r="E482" s="103" t="s">
        <v>207</v>
      </c>
      <c r="F482" s="39">
        <f>F483</f>
        <v>6.6</v>
      </c>
      <c r="G482" s="39">
        <f>G483</f>
        <v>6.6</v>
      </c>
      <c r="H482" s="96">
        <f t="shared" si="40"/>
        <v>100</v>
      </c>
    </row>
    <row r="483" spans="1:8" s="37" customFormat="1" ht="39.6" x14ac:dyDescent="0.3">
      <c r="A483" s="16" t="s">
        <v>109</v>
      </c>
      <c r="B483" s="16" t="s">
        <v>109</v>
      </c>
      <c r="C483" s="195" t="s">
        <v>687</v>
      </c>
      <c r="D483" s="84" t="s">
        <v>212</v>
      </c>
      <c r="E483" s="100" t="s">
        <v>213</v>
      </c>
      <c r="F483" s="41">
        <v>6.6</v>
      </c>
      <c r="G483" s="41">
        <v>6.6</v>
      </c>
      <c r="H483" s="96">
        <f t="shared" si="40"/>
        <v>100</v>
      </c>
    </row>
    <row r="484" spans="1:8" s="37" customFormat="1" ht="26.4" x14ac:dyDescent="0.3">
      <c r="A484" s="16" t="s">
        <v>109</v>
      </c>
      <c r="B484" s="16" t="s">
        <v>109</v>
      </c>
      <c r="C484" s="195" t="s">
        <v>688</v>
      </c>
      <c r="D484" s="16"/>
      <c r="E484" s="100" t="s">
        <v>180</v>
      </c>
      <c r="F484" s="41">
        <f>F485</f>
        <v>271.60000000000002</v>
      </c>
      <c r="G484" s="41">
        <f>G485</f>
        <v>271.60000000000002</v>
      </c>
      <c r="H484" s="96">
        <f t="shared" si="40"/>
        <v>100</v>
      </c>
    </row>
    <row r="485" spans="1:8" s="37" customFormat="1" ht="39.6" x14ac:dyDescent="0.3">
      <c r="A485" s="16" t="s">
        <v>109</v>
      </c>
      <c r="B485" s="16" t="s">
        <v>109</v>
      </c>
      <c r="C485" s="195" t="s">
        <v>688</v>
      </c>
      <c r="D485" s="84" t="s">
        <v>212</v>
      </c>
      <c r="E485" s="100" t="s">
        <v>213</v>
      </c>
      <c r="F485" s="41">
        <f>289.6-18</f>
        <v>271.60000000000002</v>
      </c>
      <c r="G485" s="41">
        <f>289.6-18</f>
        <v>271.60000000000002</v>
      </c>
      <c r="H485" s="96">
        <f t="shared" si="40"/>
        <v>100</v>
      </c>
    </row>
    <row r="486" spans="1:8" s="37" customFormat="1" ht="52.8" x14ac:dyDescent="0.3">
      <c r="A486" s="16" t="s">
        <v>109</v>
      </c>
      <c r="B486" s="16" t="s">
        <v>109</v>
      </c>
      <c r="C486" s="195" t="s">
        <v>689</v>
      </c>
      <c r="D486" s="16"/>
      <c r="E486" s="100" t="s">
        <v>83</v>
      </c>
      <c r="F486" s="41">
        <f>F487</f>
        <v>15</v>
      </c>
      <c r="G486" s="41">
        <f>G487</f>
        <v>15</v>
      </c>
      <c r="H486" s="96">
        <f t="shared" si="40"/>
        <v>100</v>
      </c>
    </row>
    <row r="487" spans="1:8" s="37" customFormat="1" ht="39.6" x14ac:dyDescent="0.3">
      <c r="A487" s="16" t="s">
        <v>109</v>
      </c>
      <c r="B487" s="16" t="s">
        <v>109</v>
      </c>
      <c r="C487" s="195" t="s">
        <v>689</v>
      </c>
      <c r="D487" s="84" t="s">
        <v>212</v>
      </c>
      <c r="E487" s="100" t="s">
        <v>213</v>
      </c>
      <c r="F487" s="41">
        <v>15</v>
      </c>
      <c r="G487" s="41">
        <v>15</v>
      </c>
      <c r="H487" s="96">
        <f t="shared" ref="H487" si="47">ROUND((G487/F487*100),1)</f>
        <v>100</v>
      </c>
    </row>
    <row r="488" spans="1:8" s="37" customFormat="1" ht="14.4" x14ac:dyDescent="0.3">
      <c r="A488" s="16" t="s">
        <v>109</v>
      </c>
      <c r="B488" s="16" t="s">
        <v>109</v>
      </c>
      <c r="C488" s="195" t="s">
        <v>690</v>
      </c>
      <c r="D488" s="84"/>
      <c r="E488" s="54" t="s">
        <v>396</v>
      </c>
      <c r="F488" s="41">
        <f>F489</f>
        <v>50</v>
      </c>
      <c r="G488" s="41">
        <f>G489</f>
        <v>50</v>
      </c>
      <c r="H488" s="96">
        <f t="shared" ref="H488:H549" si="48">ROUND((G488/F488*100),1)</f>
        <v>100</v>
      </c>
    </row>
    <row r="489" spans="1:8" s="37" customFormat="1" ht="39.6" x14ac:dyDescent="0.3">
      <c r="A489" s="16" t="s">
        <v>109</v>
      </c>
      <c r="B489" s="16" t="s">
        <v>109</v>
      </c>
      <c r="C489" s="195" t="s">
        <v>690</v>
      </c>
      <c r="D489" s="84" t="s">
        <v>212</v>
      </c>
      <c r="E489" s="100" t="s">
        <v>213</v>
      </c>
      <c r="F489" s="41">
        <v>50</v>
      </c>
      <c r="G489" s="41">
        <v>50</v>
      </c>
      <c r="H489" s="96">
        <f t="shared" si="48"/>
        <v>100</v>
      </c>
    </row>
    <row r="490" spans="1:8" s="37" customFormat="1" ht="39.6" x14ac:dyDescent="0.3">
      <c r="A490" s="16" t="s">
        <v>109</v>
      </c>
      <c r="B490" s="16" t="s">
        <v>109</v>
      </c>
      <c r="C490" s="74">
        <v>230221100</v>
      </c>
      <c r="D490" s="16"/>
      <c r="E490" s="100" t="s">
        <v>0</v>
      </c>
      <c r="F490" s="41">
        <f t="shared" ref="F490:G490" si="49">F491</f>
        <v>7316.2</v>
      </c>
      <c r="G490" s="41">
        <f t="shared" si="49"/>
        <v>7316.2</v>
      </c>
      <c r="H490" s="96">
        <f t="shared" si="48"/>
        <v>100</v>
      </c>
    </row>
    <row r="491" spans="1:8" s="37" customFormat="1" ht="14.4" x14ac:dyDescent="0.3">
      <c r="A491" s="16" t="s">
        <v>109</v>
      </c>
      <c r="B491" s="16" t="s">
        <v>109</v>
      </c>
      <c r="C491" s="74">
        <v>230221100</v>
      </c>
      <c r="D491" s="84" t="s">
        <v>226</v>
      </c>
      <c r="E491" s="100" t="s">
        <v>225</v>
      </c>
      <c r="F491" s="41">
        <v>7316.2</v>
      </c>
      <c r="G491" s="41">
        <v>7316.2</v>
      </c>
      <c r="H491" s="96">
        <f t="shared" si="48"/>
        <v>100</v>
      </c>
    </row>
    <row r="492" spans="1:8" s="37" customFormat="1" ht="52.8" x14ac:dyDescent="0.3">
      <c r="A492" s="16" t="s">
        <v>109</v>
      </c>
      <c r="B492" s="16" t="s">
        <v>109</v>
      </c>
      <c r="C492" s="21" t="s">
        <v>691</v>
      </c>
      <c r="D492" s="84"/>
      <c r="E492" s="100" t="s">
        <v>692</v>
      </c>
      <c r="F492" s="41">
        <f t="shared" ref="F492:G493" si="50">F493</f>
        <v>495.7</v>
      </c>
      <c r="G492" s="41">
        <f t="shared" si="50"/>
        <v>495.7</v>
      </c>
      <c r="H492" s="96">
        <f t="shared" si="48"/>
        <v>100</v>
      </c>
    </row>
    <row r="493" spans="1:8" s="37" customFormat="1" ht="52.8" x14ac:dyDescent="0.3">
      <c r="A493" s="16" t="s">
        <v>109</v>
      </c>
      <c r="B493" s="16" t="s">
        <v>109</v>
      </c>
      <c r="C493" s="74">
        <v>230321210</v>
      </c>
      <c r="D493" s="84"/>
      <c r="E493" s="100" t="s">
        <v>693</v>
      </c>
      <c r="F493" s="41">
        <f t="shared" si="50"/>
        <v>495.7</v>
      </c>
      <c r="G493" s="41">
        <f t="shared" si="50"/>
        <v>495.7</v>
      </c>
      <c r="H493" s="96">
        <f t="shared" si="48"/>
        <v>100</v>
      </c>
    </row>
    <row r="494" spans="1:8" s="37" customFormat="1" ht="39.6" x14ac:dyDescent="0.3">
      <c r="A494" s="84" t="s">
        <v>109</v>
      </c>
      <c r="B494" s="84" t="s">
        <v>109</v>
      </c>
      <c r="C494" s="74">
        <v>230321210</v>
      </c>
      <c r="D494" s="84" t="s">
        <v>212</v>
      </c>
      <c r="E494" s="100" t="s">
        <v>213</v>
      </c>
      <c r="F494" s="41">
        <v>495.7</v>
      </c>
      <c r="G494" s="41">
        <v>495.7</v>
      </c>
      <c r="H494" s="96">
        <f t="shared" si="48"/>
        <v>100</v>
      </c>
    </row>
    <row r="495" spans="1:8" s="37" customFormat="1" ht="66.75" customHeight="1" x14ac:dyDescent="0.3">
      <c r="A495" s="5" t="s">
        <v>109</v>
      </c>
      <c r="B495" s="5" t="s">
        <v>109</v>
      </c>
      <c r="C495" s="73" t="s">
        <v>77</v>
      </c>
      <c r="D495" s="16"/>
      <c r="E495" s="53" t="s">
        <v>500</v>
      </c>
      <c r="F495" s="98">
        <f>F496+F501</f>
        <v>74.099999999999994</v>
      </c>
      <c r="G495" s="98">
        <f>G496+G501</f>
        <v>74.099999999999994</v>
      </c>
      <c r="H495" s="62">
        <f t="shared" si="48"/>
        <v>100</v>
      </c>
    </row>
    <row r="496" spans="1:8" s="37" customFormat="1" ht="53.25" customHeight="1" x14ac:dyDescent="0.3">
      <c r="A496" s="47" t="s">
        <v>109</v>
      </c>
      <c r="B496" s="47" t="s">
        <v>109</v>
      </c>
      <c r="C496" s="120" t="s">
        <v>694</v>
      </c>
      <c r="D496" s="123"/>
      <c r="E496" s="213" t="s">
        <v>181</v>
      </c>
      <c r="F496" s="122">
        <f>F497+F499</f>
        <v>40</v>
      </c>
      <c r="G496" s="122">
        <f>G497+G499</f>
        <v>40</v>
      </c>
      <c r="H496" s="58">
        <f t="shared" si="48"/>
        <v>100</v>
      </c>
    </row>
    <row r="497" spans="1:8" s="37" customFormat="1" ht="79.2" x14ac:dyDescent="0.3">
      <c r="A497" s="16" t="s">
        <v>109</v>
      </c>
      <c r="B497" s="16" t="s">
        <v>109</v>
      </c>
      <c r="C497" s="79">
        <v>1020123085</v>
      </c>
      <c r="D497" s="123"/>
      <c r="E497" s="100" t="s">
        <v>182</v>
      </c>
      <c r="F497" s="109">
        <f>F498</f>
        <v>5</v>
      </c>
      <c r="G497" s="109">
        <f>G498</f>
        <v>5</v>
      </c>
      <c r="H497" s="96">
        <f t="shared" si="48"/>
        <v>100</v>
      </c>
    </row>
    <row r="498" spans="1:8" s="37" customFormat="1" ht="44.25" customHeight="1" x14ac:dyDescent="0.3">
      <c r="A498" s="16" t="s">
        <v>109</v>
      </c>
      <c r="B498" s="16" t="s">
        <v>109</v>
      </c>
      <c r="C498" s="79">
        <v>1020123085</v>
      </c>
      <c r="D498" s="111" t="s">
        <v>212</v>
      </c>
      <c r="E498" s="100" t="s">
        <v>213</v>
      </c>
      <c r="F498" s="109">
        <v>5</v>
      </c>
      <c r="G498" s="109">
        <v>5</v>
      </c>
      <c r="H498" s="96">
        <f t="shared" si="48"/>
        <v>100</v>
      </c>
    </row>
    <row r="499" spans="1:8" s="37" customFormat="1" ht="14.4" x14ac:dyDescent="0.3">
      <c r="A499" s="16" t="s">
        <v>109</v>
      </c>
      <c r="B499" s="16" t="s">
        <v>109</v>
      </c>
      <c r="C499" s="79">
        <v>1020123086</v>
      </c>
      <c r="D499" s="123"/>
      <c r="E499" s="100" t="s">
        <v>183</v>
      </c>
      <c r="F499" s="109">
        <f>F500</f>
        <v>35</v>
      </c>
      <c r="G499" s="109">
        <f>G500</f>
        <v>35</v>
      </c>
      <c r="H499" s="96">
        <f t="shared" si="48"/>
        <v>100</v>
      </c>
    </row>
    <row r="500" spans="1:8" s="37" customFormat="1" ht="39.6" x14ac:dyDescent="0.3">
      <c r="A500" s="16" t="s">
        <v>109</v>
      </c>
      <c r="B500" s="16" t="s">
        <v>109</v>
      </c>
      <c r="C500" s="79">
        <v>1020123086</v>
      </c>
      <c r="D500" s="111" t="s">
        <v>212</v>
      </c>
      <c r="E500" s="100" t="s">
        <v>213</v>
      </c>
      <c r="F500" s="109">
        <f>45-10</f>
        <v>35</v>
      </c>
      <c r="G500" s="109">
        <f>45-10</f>
        <v>35</v>
      </c>
      <c r="H500" s="96">
        <f t="shared" si="48"/>
        <v>100</v>
      </c>
    </row>
    <row r="501" spans="1:8" s="37" customFormat="1" ht="36.75" customHeight="1" x14ac:dyDescent="0.3">
      <c r="A501" s="16" t="s">
        <v>109</v>
      </c>
      <c r="B501" s="16" t="s">
        <v>109</v>
      </c>
      <c r="C501" s="120" t="s">
        <v>695</v>
      </c>
      <c r="D501" s="123"/>
      <c r="E501" s="213" t="s">
        <v>696</v>
      </c>
      <c r="F501" s="122">
        <f>F502</f>
        <v>34.1</v>
      </c>
      <c r="G501" s="122">
        <f>G502</f>
        <v>34.1</v>
      </c>
      <c r="H501" s="58">
        <f t="shared" si="48"/>
        <v>100</v>
      </c>
    </row>
    <row r="502" spans="1:8" s="37" customFormat="1" ht="39.6" x14ac:dyDescent="0.3">
      <c r="A502" s="16" t="s">
        <v>109</v>
      </c>
      <c r="B502" s="16" t="s">
        <v>109</v>
      </c>
      <c r="C502" s="79">
        <v>1030323090</v>
      </c>
      <c r="D502" s="123"/>
      <c r="E502" s="100" t="s">
        <v>697</v>
      </c>
      <c r="F502" s="109">
        <f>F503</f>
        <v>34.1</v>
      </c>
      <c r="G502" s="109">
        <f>G503</f>
        <v>34.1</v>
      </c>
      <c r="H502" s="96">
        <f t="shared" si="48"/>
        <v>100</v>
      </c>
    </row>
    <row r="503" spans="1:8" s="37" customFormat="1" ht="39.6" x14ac:dyDescent="0.3">
      <c r="A503" s="16" t="s">
        <v>109</v>
      </c>
      <c r="B503" s="16" t="s">
        <v>109</v>
      </c>
      <c r="C503" s="79">
        <v>1030323090</v>
      </c>
      <c r="D503" s="111" t="s">
        <v>212</v>
      </c>
      <c r="E503" s="100" t="s">
        <v>213</v>
      </c>
      <c r="F503" s="109">
        <f>10+24.1</f>
        <v>34.1</v>
      </c>
      <c r="G503" s="109">
        <f>10+24.1</f>
        <v>34.1</v>
      </c>
      <c r="H503" s="96">
        <f t="shared" si="48"/>
        <v>100</v>
      </c>
    </row>
    <row r="504" spans="1:8" s="37" customFormat="1" ht="27" x14ac:dyDescent="0.3">
      <c r="A504" s="16" t="s">
        <v>109</v>
      </c>
      <c r="B504" s="16" t="s">
        <v>109</v>
      </c>
      <c r="C504" s="84" t="s">
        <v>29</v>
      </c>
      <c r="D504" s="84"/>
      <c r="E504" s="102" t="s">
        <v>43</v>
      </c>
      <c r="F504" s="41">
        <f>F505</f>
        <v>50</v>
      </c>
      <c r="G504" s="41">
        <f>G505</f>
        <v>50</v>
      </c>
      <c r="H504" s="96">
        <f t="shared" si="48"/>
        <v>100</v>
      </c>
    </row>
    <row r="505" spans="1:8" s="37" customFormat="1" ht="39.6" x14ac:dyDescent="0.3">
      <c r="A505" s="16" t="s">
        <v>109</v>
      </c>
      <c r="B505" s="16" t="s">
        <v>109</v>
      </c>
      <c r="C505" s="84" t="s">
        <v>682</v>
      </c>
      <c r="D505" s="16"/>
      <c r="E505" s="54" t="s">
        <v>351</v>
      </c>
      <c r="F505" s="41">
        <f>SUM(F506:F506)</f>
        <v>50</v>
      </c>
      <c r="G505" s="41">
        <f>SUM(G506:G506)</f>
        <v>50</v>
      </c>
      <c r="H505" s="96">
        <f t="shared" si="48"/>
        <v>100</v>
      </c>
    </row>
    <row r="506" spans="1:8" s="37" customFormat="1" ht="14.4" x14ac:dyDescent="0.3">
      <c r="A506" s="16" t="s">
        <v>109</v>
      </c>
      <c r="B506" s="16" t="s">
        <v>109</v>
      </c>
      <c r="C506" s="84" t="s">
        <v>682</v>
      </c>
      <c r="D506" s="84" t="s">
        <v>226</v>
      </c>
      <c r="E506" s="100" t="s">
        <v>225</v>
      </c>
      <c r="F506" s="39">
        <v>50</v>
      </c>
      <c r="G506" s="39">
        <v>50</v>
      </c>
      <c r="H506" s="96">
        <f t="shared" si="48"/>
        <v>100</v>
      </c>
    </row>
    <row r="507" spans="1:8" s="37" customFormat="1" ht="14.4" x14ac:dyDescent="0.3">
      <c r="A507" s="35" t="s">
        <v>109</v>
      </c>
      <c r="B507" s="35" t="s">
        <v>104</v>
      </c>
      <c r="C507" s="35"/>
      <c r="D507" s="35"/>
      <c r="E507" s="46" t="s">
        <v>114</v>
      </c>
      <c r="F507" s="42">
        <f t="shared" ref="F507:G507" si="51">F508</f>
        <v>8945.6</v>
      </c>
      <c r="G507" s="42">
        <f t="shared" si="51"/>
        <v>8742.5999999999985</v>
      </c>
      <c r="H507" s="42">
        <f t="shared" si="48"/>
        <v>97.7</v>
      </c>
    </row>
    <row r="508" spans="1:8" s="37" customFormat="1" ht="52.5" customHeight="1" x14ac:dyDescent="0.3">
      <c r="A508" s="16" t="s">
        <v>109</v>
      </c>
      <c r="B508" s="16" t="s">
        <v>104</v>
      </c>
      <c r="C508" s="21" t="s">
        <v>79</v>
      </c>
      <c r="D508" s="35"/>
      <c r="E508" s="64" t="s">
        <v>607</v>
      </c>
      <c r="F508" s="62">
        <f>F509+F513+F531</f>
        <v>8945.6</v>
      </c>
      <c r="G508" s="62">
        <f>G509+G513+G531</f>
        <v>8742.5999999999985</v>
      </c>
      <c r="H508" s="62">
        <f t="shared" si="48"/>
        <v>97.7</v>
      </c>
    </row>
    <row r="509" spans="1:8" s="37" customFormat="1" ht="40.200000000000003" x14ac:dyDescent="0.3">
      <c r="A509" s="16" t="s">
        <v>109</v>
      </c>
      <c r="B509" s="16" t="s">
        <v>104</v>
      </c>
      <c r="C509" s="52" t="s">
        <v>81</v>
      </c>
      <c r="D509" s="21"/>
      <c r="E509" s="46" t="s">
        <v>619</v>
      </c>
      <c r="F509" s="58">
        <f>F510</f>
        <v>135.30000000000001</v>
      </c>
      <c r="G509" s="58">
        <f>G510</f>
        <v>135.30000000000001</v>
      </c>
      <c r="H509" s="58">
        <f t="shared" si="48"/>
        <v>100</v>
      </c>
    </row>
    <row r="510" spans="1:8" s="37" customFormat="1" ht="26.4" x14ac:dyDescent="0.3">
      <c r="A510" s="16" t="s">
        <v>109</v>
      </c>
      <c r="B510" s="16" t="s">
        <v>104</v>
      </c>
      <c r="C510" s="57" t="s">
        <v>698</v>
      </c>
      <c r="D510" s="21"/>
      <c r="E510" s="100" t="s">
        <v>137</v>
      </c>
      <c r="F510" s="41">
        <f>SUM(F511:F512)</f>
        <v>135.30000000000001</v>
      </c>
      <c r="G510" s="41">
        <f>SUM(G511:G512)</f>
        <v>135.30000000000001</v>
      </c>
      <c r="H510" s="96">
        <f t="shared" si="48"/>
        <v>100</v>
      </c>
    </row>
    <row r="511" spans="1:8" s="37" customFormat="1" ht="26.4" x14ac:dyDescent="0.3">
      <c r="A511" s="16" t="s">
        <v>109</v>
      </c>
      <c r="B511" s="16" t="s">
        <v>104</v>
      </c>
      <c r="C511" s="57" t="s">
        <v>698</v>
      </c>
      <c r="D511" s="84" t="s">
        <v>70</v>
      </c>
      <c r="E511" s="55" t="s">
        <v>133</v>
      </c>
      <c r="F511" s="41">
        <f>64.4-26.3-14.3</f>
        <v>23.800000000000008</v>
      </c>
      <c r="G511" s="41">
        <f>64.4-26.3-14.3</f>
        <v>23.800000000000008</v>
      </c>
      <c r="H511" s="96">
        <f t="shared" si="48"/>
        <v>100</v>
      </c>
    </row>
    <row r="512" spans="1:8" s="37" customFormat="1" ht="39.6" x14ac:dyDescent="0.3">
      <c r="A512" s="16" t="s">
        <v>109</v>
      </c>
      <c r="B512" s="16" t="s">
        <v>104</v>
      </c>
      <c r="C512" s="57" t="s">
        <v>698</v>
      </c>
      <c r="D512" s="84" t="s">
        <v>212</v>
      </c>
      <c r="E512" s="100" t="s">
        <v>213</v>
      </c>
      <c r="F512" s="41">
        <f>70.9+26.3+14.3</f>
        <v>111.5</v>
      </c>
      <c r="G512" s="41">
        <f>70.9+26.3+14.3</f>
        <v>111.5</v>
      </c>
      <c r="H512" s="96">
        <f t="shared" si="48"/>
        <v>100</v>
      </c>
    </row>
    <row r="513" spans="1:8" s="37" customFormat="1" ht="27" x14ac:dyDescent="0.3">
      <c r="A513" s="16" t="s">
        <v>109</v>
      </c>
      <c r="B513" s="16" t="s">
        <v>104</v>
      </c>
      <c r="C513" s="52" t="s">
        <v>670</v>
      </c>
      <c r="D513" s="84"/>
      <c r="E513" s="46" t="s">
        <v>671</v>
      </c>
      <c r="F513" s="122">
        <f>F514+F516+F518+F520+F522+F525+F527+F529</f>
        <v>1497</v>
      </c>
      <c r="G513" s="122">
        <f>G514+G516+G518+G520+G522+G525+G527+G529</f>
        <v>1306.5</v>
      </c>
      <c r="H513" s="58">
        <f t="shared" si="48"/>
        <v>87.3</v>
      </c>
    </row>
    <row r="514" spans="1:8" s="37" customFormat="1" ht="40.200000000000003" x14ac:dyDescent="0.3">
      <c r="A514" s="16" t="s">
        <v>109</v>
      </c>
      <c r="B514" s="16" t="s">
        <v>104</v>
      </c>
      <c r="C514" s="21" t="s">
        <v>699</v>
      </c>
      <c r="D514" s="16"/>
      <c r="E514" s="99" t="s">
        <v>700</v>
      </c>
      <c r="F514" s="101">
        <f>F515</f>
        <v>120.1</v>
      </c>
      <c r="G514" s="101">
        <f>G515</f>
        <v>120.1</v>
      </c>
      <c r="H514" s="96">
        <f t="shared" si="48"/>
        <v>100</v>
      </c>
    </row>
    <row r="515" spans="1:8" s="37" customFormat="1" ht="17.25" customHeight="1" x14ac:dyDescent="0.3">
      <c r="A515" s="16" t="s">
        <v>109</v>
      </c>
      <c r="B515" s="16" t="s">
        <v>104</v>
      </c>
      <c r="C515" s="21" t="s">
        <v>699</v>
      </c>
      <c r="D515" s="84" t="s">
        <v>373</v>
      </c>
      <c r="E515" s="100" t="s">
        <v>374</v>
      </c>
      <c r="F515" s="41">
        <f>129.1-9</f>
        <v>120.1</v>
      </c>
      <c r="G515" s="41">
        <f>129.1-9</f>
        <v>120.1</v>
      </c>
      <c r="H515" s="96">
        <f t="shared" si="48"/>
        <v>100</v>
      </c>
    </row>
    <row r="516" spans="1:8" s="37" customFormat="1" ht="39.6" x14ac:dyDescent="0.3">
      <c r="A516" s="16" t="s">
        <v>109</v>
      </c>
      <c r="B516" s="16" t="s">
        <v>104</v>
      </c>
      <c r="C516" s="57" t="s">
        <v>701</v>
      </c>
      <c r="D516" s="16"/>
      <c r="E516" s="100" t="s">
        <v>54</v>
      </c>
      <c r="F516" s="41">
        <f>F517</f>
        <v>178.1</v>
      </c>
      <c r="G516" s="41">
        <f>G517</f>
        <v>178.1</v>
      </c>
      <c r="H516" s="96">
        <f t="shared" si="48"/>
        <v>100</v>
      </c>
    </row>
    <row r="517" spans="1:8" s="37" customFormat="1" ht="39.6" x14ac:dyDescent="0.3">
      <c r="A517" s="16" t="s">
        <v>109</v>
      </c>
      <c r="B517" s="16" t="s">
        <v>104</v>
      </c>
      <c r="C517" s="57" t="s">
        <v>701</v>
      </c>
      <c r="D517" s="84" t="s">
        <v>212</v>
      </c>
      <c r="E517" s="100" t="s">
        <v>213</v>
      </c>
      <c r="F517" s="41">
        <f>176.1-4.6+6.6</f>
        <v>178.1</v>
      </c>
      <c r="G517" s="39">
        <v>178.1</v>
      </c>
      <c r="H517" s="96">
        <f t="shared" si="48"/>
        <v>100</v>
      </c>
    </row>
    <row r="518" spans="1:8" s="37" customFormat="1" ht="27" x14ac:dyDescent="0.3">
      <c r="A518" s="16" t="s">
        <v>109</v>
      </c>
      <c r="B518" s="16" t="s">
        <v>104</v>
      </c>
      <c r="C518" s="57" t="s">
        <v>702</v>
      </c>
      <c r="D518" s="16"/>
      <c r="E518" s="151" t="s">
        <v>703</v>
      </c>
      <c r="F518" s="96">
        <f>F519</f>
        <v>68.8</v>
      </c>
      <c r="G518" s="96">
        <f>G519</f>
        <v>68.8</v>
      </c>
      <c r="H518" s="96">
        <f t="shared" si="48"/>
        <v>100</v>
      </c>
    </row>
    <row r="519" spans="1:8" s="37" customFormat="1" ht="14.4" x14ac:dyDescent="0.3">
      <c r="A519" s="16" t="s">
        <v>109</v>
      </c>
      <c r="B519" s="16" t="s">
        <v>104</v>
      </c>
      <c r="C519" s="57" t="s">
        <v>702</v>
      </c>
      <c r="D519" s="21" t="s">
        <v>226</v>
      </c>
      <c r="E519" s="100" t="s">
        <v>225</v>
      </c>
      <c r="F519" s="96">
        <f>88.9-33.7+13.6</f>
        <v>68.8</v>
      </c>
      <c r="G519" s="96">
        <v>68.8</v>
      </c>
      <c r="H519" s="96">
        <f t="shared" si="48"/>
        <v>100</v>
      </c>
    </row>
    <row r="520" spans="1:8" s="37" customFormat="1" ht="66" x14ac:dyDescent="0.3">
      <c r="A520" s="16" t="s">
        <v>109</v>
      </c>
      <c r="B520" s="16" t="s">
        <v>104</v>
      </c>
      <c r="C520" s="81">
        <v>140323020</v>
      </c>
      <c r="D520" s="83"/>
      <c r="E520" s="100" t="s">
        <v>136</v>
      </c>
      <c r="F520" s="41">
        <f>F521</f>
        <v>281.3</v>
      </c>
      <c r="G520" s="41">
        <f>G521</f>
        <v>281.3</v>
      </c>
      <c r="H520" s="96">
        <f t="shared" si="48"/>
        <v>100</v>
      </c>
    </row>
    <row r="521" spans="1:8" s="37" customFormat="1" ht="44.25" customHeight="1" x14ac:dyDescent="0.3">
      <c r="A521" s="16" t="s">
        <v>109</v>
      </c>
      <c r="B521" s="16" t="s">
        <v>104</v>
      </c>
      <c r="C521" s="81">
        <v>140323020</v>
      </c>
      <c r="D521" s="84" t="s">
        <v>212</v>
      </c>
      <c r="E521" s="100" t="s">
        <v>213</v>
      </c>
      <c r="F521" s="41">
        <v>281.3</v>
      </c>
      <c r="G521" s="41">
        <v>281.3</v>
      </c>
      <c r="H521" s="96">
        <f t="shared" si="48"/>
        <v>100</v>
      </c>
    </row>
    <row r="522" spans="1:8" s="37" customFormat="1" ht="66" x14ac:dyDescent="0.3">
      <c r="A522" s="16" t="s">
        <v>109</v>
      </c>
      <c r="B522" s="16" t="s">
        <v>104</v>
      </c>
      <c r="C522" s="81">
        <v>140323025</v>
      </c>
      <c r="D522" s="83"/>
      <c r="E522" s="100" t="s">
        <v>704</v>
      </c>
      <c r="F522" s="41">
        <f>SUM(F523:F524)</f>
        <v>305.7</v>
      </c>
      <c r="G522" s="41">
        <f>SUM(G523:G524)</f>
        <v>305.7</v>
      </c>
      <c r="H522" s="96">
        <f t="shared" si="48"/>
        <v>100</v>
      </c>
    </row>
    <row r="523" spans="1:8" s="37" customFormat="1" ht="39.6" x14ac:dyDescent="0.3">
      <c r="A523" s="16" t="s">
        <v>109</v>
      </c>
      <c r="B523" s="16" t="s">
        <v>104</v>
      </c>
      <c r="C523" s="81">
        <v>140323025</v>
      </c>
      <c r="D523" s="84" t="s">
        <v>212</v>
      </c>
      <c r="E523" s="100" t="s">
        <v>213</v>
      </c>
      <c r="F523" s="41">
        <f>305.7-35</f>
        <v>270.7</v>
      </c>
      <c r="G523" s="39">
        <v>270.7</v>
      </c>
      <c r="H523" s="96">
        <f t="shared" si="48"/>
        <v>100</v>
      </c>
    </row>
    <row r="524" spans="1:8" s="37" customFormat="1" ht="14.4" x14ac:dyDescent="0.3">
      <c r="A524" s="16" t="s">
        <v>109</v>
      </c>
      <c r="B524" s="16" t="s">
        <v>104</v>
      </c>
      <c r="C524" s="81">
        <v>140323025</v>
      </c>
      <c r="D524" s="84" t="s">
        <v>705</v>
      </c>
      <c r="E524" s="100" t="s">
        <v>706</v>
      </c>
      <c r="F524" s="41">
        <v>35</v>
      </c>
      <c r="G524" s="39">
        <v>35</v>
      </c>
      <c r="H524" s="96">
        <f t="shared" si="48"/>
        <v>100</v>
      </c>
    </row>
    <row r="525" spans="1:8" s="37" customFormat="1" ht="52.8" x14ac:dyDescent="0.3">
      <c r="A525" s="16" t="s">
        <v>109</v>
      </c>
      <c r="B525" s="16" t="s">
        <v>104</v>
      </c>
      <c r="C525" s="81" t="s">
        <v>707</v>
      </c>
      <c r="D525" s="84"/>
      <c r="E525" s="100" t="s">
        <v>708</v>
      </c>
      <c r="F525" s="41">
        <f>F526</f>
        <v>83</v>
      </c>
      <c r="G525" s="41">
        <f>G526</f>
        <v>55</v>
      </c>
      <c r="H525" s="96">
        <f t="shared" si="48"/>
        <v>66.3</v>
      </c>
    </row>
    <row r="526" spans="1:8" s="37" customFormat="1" ht="39.6" x14ac:dyDescent="0.3">
      <c r="A526" s="16" t="s">
        <v>109</v>
      </c>
      <c r="B526" s="16" t="s">
        <v>104</v>
      </c>
      <c r="C526" s="81" t="s">
        <v>707</v>
      </c>
      <c r="D526" s="84" t="s">
        <v>212</v>
      </c>
      <c r="E526" s="100" t="s">
        <v>213</v>
      </c>
      <c r="F526" s="41">
        <f>49.3+33.7</f>
        <v>83</v>
      </c>
      <c r="G526" s="101">
        <v>55</v>
      </c>
      <c r="H526" s="96">
        <f t="shared" si="48"/>
        <v>66.3</v>
      </c>
    </row>
    <row r="527" spans="1:8" s="37" customFormat="1" ht="26.4" x14ac:dyDescent="0.3">
      <c r="A527" s="16" t="s">
        <v>109</v>
      </c>
      <c r="B527" s="16" t="s">
        <v>104</v>
      </c>
      <c r="C527" s="81">
        <v>140311080</v>
      </c>
      <c r="D527" s="84"/>
      <c r="E527" s="100" t="s">
        <v>709</v>
      </c>
      <c r="F527" s="41">
        <f>F528</f>
        <v>410</v>
      </c>
      <c r="G527" s="41">
        <f>G528</f>
        <v>247.5</v>
      </c>
      <c r="H527" s="96">
        <f t="shared" si="48"/>
        <v>60.4</v>
      </c>
    </row>
    <row r="528" spans="1:8" s="37" customFormat="1" ht="39.6" x14ac:dyDescent="0.3">
      <c r="A528" s="16" t="s">
        <v>109</v>
      </c>
      <c r="B528" s="16" t="s">
        <v>104</v>
      </c>
      <c r="C528" s="81">
        <v>140311080</v>
      </c>
      <c r="D528" s="84" t="s">
        <v>212</v>
      </c>
      <c r="E528" s="100" t="s">
        <v>213</v>
      </c>
      <c r="F528" s="158">
        <v>410</v>
      </c>
      <c r="G528" s="39">
        <v>247.5</v>
      </c>
      <c r="H528" s="96">
        <f t="shared" si="48"/>
        <v>60.4</v>
      </c>
    </row>
    <row r="529" spans="1:8" s="37" customFormat="1" ht="53.4" x14ac:dyDescent="0.3">
      <c r="A529" s="16" t="s">
        <v>109</v>
      </c>
      <c r="B529" s="16" t="s">
        <v>104</v>
      </c>
      <c r="C529" s="21" t="s">
        <v>710</v>
      </c>
      <c r="D529" s="84"/>
      <c r="E529" s="162" t="s">
        <v>711</v>
      </c>
      <c r="F529" s="158">
        <f>F530</f>
        <v>50</v>
      </c>
      <c r="G529" s="158">
        <f>G530</f>
        <v>50</v>
      </c>
      <c r="H529" s="96">
        <f t="shared" si="48"/>
        <v>100</v>
      </c>
    </row>
    <row r="530" spans="1:8" s="37" customFormat="1" ht="39.6" x14ac:dyDescent="0.3">
      <c r="A530" s="16" t="s">
        <v>109</v>
      </c>
      <c r="B530" s="16" t="s">
        <v>104</v>
      </c>
      <c r="C530" s="21" t="s">
        <v>710</v>
      </c>
      <c r="D530" s="84" t="s">
        <v>212</v>
      </c>
      <c r="E530" s="100" t="s">
        <v>213</v>
      </c>
      <c r="F530" s="158">
        <v>50</v>
      </c>
      <c r="G530" s="39">
        <v>50</v>
      </c>
      <c r="H530" s="96">
        <f t="shared" si="48"/>
        <v>100</v>
      </c>
    </row>
    <row r="531" spans="1:8" s="37" customFormat="1" ht="14.4" x14ac:dyDescent="0.3">
      <c r="A531" s="16" t="s">
        <v>109</v>
      </c>
      <c r="B531" s="16" t="s">
        <v>104</v>
      </c>
      <c r="C531" s="52" t="s">
        <v>82</v>
      </c>
      <c r="D531" s="16"/>
      <c r="E531" s="66" t="s">
        <v>51</v>
      </c>
      <c r="F531" s="95">
        <f>F532</f>
        <v>7313.3</v>
      </c>
      <c r="G531" s="95">
        <f>G532</f>
        <v>7300.7999999999993</v>
      </c>
      <c r="H531" s="58">
        <f t="shared" si="48"/>
        <v>99.8</v>
      </c>
    </row>
    <row r="532" spans="1:8" s="37" customFormat="1" ht="52.8" x14ac:dyDescent="0.3">
      <c r="A532" s="16" t="s">
        <v>109</v>
      </c>
      <c r="B532" s="16" t="s">
        <v>104</v>
      </c>
      <c r="C532" s="81">
        <v>190022200</v>
      </c>
      <c r="D532" s="84"/>
      <c r="E532" s="100" t="s">
        <v>712</v>
      </c>
      <c r="F532" s="41">
        <f>SUM(F533:F535)</f>
        <v>7313.3</v>
      </c>
      <c r="G532" s="41">
        <f>SUM(G533:G535)</f>
        <v>7300.7999999999993</v>
      </c>
      <c r="H532" s="96">
        <f t="shared" si="48"/>
        <v>99.8</v>
      </c>
    </row>
    <row r="533" spans="1:8" s="37" customFormat="1" ht="26.4" x14ac:dyDescent="0.3">
      <c r="A533" s="16" t="s">
        <v>109</v>
      </c>
      <c r="B533" s="16" t="s">
        <v>104</v>
      </c>
      <c r="C533" s="81">
        <v>190022200</v>
      </c>
      <c r="D533" s="16" t="s">
        <v>68</v>
      </c>
      <c r="E533" s="55" t="s">
        <v>69</v>
      </c>
      <c r="F533" s="41">
        <f>6640.6+20+266.1</f>
        <v>6926.7000000000007</v>
      </c>
      <c r="G533" s="41">
        <v>6917.4</v>
      </c>
      <c r="H533" s="96">
        <f t="shared" si="48"/>
        <v>99.9</v>
      </c>
    </row>
    <row r="534" spans="1:8" s="37" customFormat="1" ht="39.6" x14ac:dyDescent="0.3">
      <c r="A534" s="16" t="s">
        <v>109</v>
      </c>
      <c r="B534" s="16" t="s">
        <v>104</v>
      </c>
      <c r="C534" s="81">
        <v>190022200</v>
      </c>
      <c r="D534" s="84" t="s">
        <v>212</v>
      </c>
      <c r="E534" s="100" t="s">
        <v>213</v>
      </c>
      <c r="F534" s="41">
        <f>406.6-0.2-20</f>
        <v>386.40000000000003</v>
      </c>
      <c r="G534" s="41">
        <v>383.2</v>
      </c>
      <c r="H534" s="96">
        <f t="shared" si="48"/>
        <v>99.2</v>
      </c>
    </row>
    <row r="535" spans="1:8" s="37" customFormat="1" ht="14.4" x14ac:dyDescent="0.3">
      <c r="A535" s="16" t="s">
        <v>109</v>
      </c>
      <c r="B535" s="16" t="s">
        <v>104</v>
      </c>
      <c r="C535" s="81">
        <v>190022200</v>
      </c>
      <c r="D535" s="84" t="s">
        <v>134</v>
      </c>
      <c r="E535" s="100" t="s">
        <v>135</v>
      </c>
      <c r="F535" s="41">
        <v>0.2</v>
      </c>
      <c r="G535" s="41">
        <v>0.2</v>
      </c>
      <c r="H535" s="96">
        <f t="shared" si="48"/>
        <v>100</v>
      </c>
    </row>
    <row r="536" spans="1:8" ht="15.6" x14ac:dyDescent="0.3">
      <c r="A536" s="4" t="s">
        <v>106</v>
      </c>
      <c r="B536" s="3"/>
      <c r="C536" s="3"/>
      <c r="D536" s="3"/>
      <c r="E536" s="49" t="s">
        <v>24</v>
      </c>
      <c r="F536" s="94">
        <f>F537+F574</f>
        <v>157995.00000000003</v>
      </c>
      <c r="G536" s="94">
        <f>G537+G574</f>
        <v>157751.1</v>
      </c>
      <c r="H536" s="160">
        <f t="shared" si="48"/>
        <v>99.8</v>
      </c>
    </row>
    <row r="537" spans="1:8" ht="14.4" x14ac:dyDescent="0.3">
      <c r="A537" s="35" t="s">
        <v>106</v>
      </c>
      <c r="B537" s="35" t="s">
        <v>93</v>
      </c>
      <c r="C537" s="35"/>
      <c r="D537" s="35"/>
      <c r="E537" s="45" t="s">
        <v>111</v>
      </c>
      <c r="F537" s="42">
        <f>F538+F563+F569</f>
        <v>154644.40000000002</v>
      </c>
      <c r="G537" s="42">
        <f>G538+G563+G569</f>
        <v>154436.30000000002</v>
      </c>
      <c r="H537" s="42">
        <f t="shared" si="48"/>
        <v>99.9</v>
      </c>
    </row>
    <row r="538" spans="1:8" ht="63.75" customHeight="1" x14ac:dyDescent="0.3">
      <c r="A538" s="16" t="s">
        <v>106</v>
      </c>
      <c r="B538" s="16" t="s">
        <v>93</v>
      </c>
      <c r="C538" s="73" t="s">
        <v>65</v>
      </c>
      <c r="D538" s="35"/>
      <c r="E538" s="53" t="s">
        <v>673</v>
      </c>
      <c r="F538" s="65">
        <f t="shared" ref="F538:G538" si="52">F539</f>
        <v>78556.400000000023</v>
      </c>
      <c r="G538" s="65">
        <f t="shared" si="52"/>
        <v>78348.300000000017</v>
      </c>
      <c r="H538" s="62">
        <f t="shared" si="48"/>
        <v>99.7</v>
      </c>
    </row>
    <row r="539" spans="1:8" ht="27" x14ac:dyDescent="0.3">
      <c r="A539" s="16" t="s">
        <v>106</v>
      </c>
      <c r="B539" s="16" t="s">
        <v>93</v>
      </c>
      <c r="C539" s="21" t="s">
        <v>66</v>
      </c>
      <c r="D539" s="35"/>
      <c r="E539" s="48" t="s">
        <v>173</v>
      </c>
      <c r="F539" s="58">
        <f>F540+F543+F545+F548+F551+F553+F555+F557+F559+F561</f>
        <v>78556.400000000023</v>
      </c>
      <c r="G539" s="58">
        <f>G540+G543+G545+G548+G551+G553+G555+G557+G559+G561</f>
        <v>78348.300000000017</v>
      </c>
      <c r="H539" s="58">
        <f t="shared" si="48"/>
        <v>99.7</v>
      </c>
    </row>
    <row r="540" spans="1:8" ht="26.4" x14ac:dyDescent="0.25">
      <c r="A540" s="16" t="s">
        <v>106</v>
      </c>
      <c r="B540" s="16" t="s">
        <v>93</v>
      </c>
      <c r="C540" s="74">
        <v>210122900</v>
      </c>
      <c r="D540" s="16"/>
      <c r="E540" s="190" t="s">
        <v>172</v>
      </c>
      <c r="F540" s="39">
        <f>F541+F542</f>
        <v>10300.900000000001</v>
      </c>
      <c r="G540" s="39">
        <f>G541+G542</f>
        <v>10092.799999999999</v>
      </c>
      <c r="H540" s="96">
        <f t="shared" si="48"/>
        <v>98</v>
      </c>
    </row>
    <row r="541" spans="1:8" ht="28.5" customHeight="1" x14ac:dyDescent="0.25">
      <c r="A541" s="16" t="s">
        <v>106</v>
      </c>
      <c r="B541" s="16" t="s">
        <v>93</v>
      </c>
      <c r="C541" s="74">
        <v>210122900</v>
      </c>
      <c r="D541" s="84" t="s">
        <v>70</v>
      </c>
      <c r="E541" s="55" t="s">
        <v>133</v>
      </c>
      <c r="F541" s="39">
        <v>5635.6</v>
      </c>
      <c r="G541" s="96">
        <v>5635.6</v>
      </c>
      <c r="H541" s="96">
        <f t="shared" si="48"/>
        <v>100</v>
      </c>
    </row>
    <row r="542" spans="1:8" ht="39.6" x14ac:dyDescent="0.25">
      <c r="A542" s="16" t="s">
        <v>106</v>
      </c>
      <c r="B542" s="16" t="s">
        <v>93</v>
      </c>
      <c r="C542" s="74">
        <v>210122900</v>
      </c>
      <c r="D542" s="84" t="s">
        <v>212</v>
      </c>
      <c r="E542" s="100" t="s">
        <v>213</v>
      </c>
      <c r="F542" s="39">
        <f>4888.4+14.8-301.9+64</f>
        <v>4665.3</v>
      </c>
      <c r="G542" s="39">
        <v>4457.2</v>
      </c>
      <c r="H542" s="96">
        <f t="shared" si="48"/>
        <v>95.5</v>
      </c>
    </row>
    <row r="543" spans="1:8" ht="39.6" x14ac:dyDescent="0.25">
      <c r="A543" s="16" t="s">
        <v>106</v>
      </c>
      <c r="B543" s="16" t="s">
        <v>93</v>
      </c>
      <c r="C543" s="74">
        <v>210121100</v>
      </c>
      <c r="D543" s="16"/>
      <c r="E543" s="190" t="s">
        <v>174</v>
      </c>
      <c r="F543" s="39">
        <f>F544</f>
        <v>26410.7</v>
      </c>
      <c r="G543" s="39">
        <f>G544</f>
        <v>26410.7</v>
      </c>
      <c r="H543" s="96">
        <f t="shared" si="48"/>
        <v>100</v>
      </c>
    </row>
    <row r="544" spans="1:8" x14ac:dyDescent="0.25">
      <c r="A544" s="16" t="s">
        <v>106</v>
      </c>
      <c r="B544" s="16" t="s">
        <v>93</v>
      </c>
      <c r="C544" s="74">
        <v>210121100</v>
      </c>
      <c r="D544" s="21" t="s">
        <v>226</v>
      </c>
      <c r="E544" s="100" t="s">
        <v>225</v>
      </c>
      <c r="F544" s="39">
        <f>26548.3+236.7-102-240-32.3</f>
        <v>26410.7</v>
      </c>
      <c r="G544" s="39">
        <v>26410.7</v>
      </c>
      <c r="H544" s="96">
        <f t="shared" si="48"/>
        <v>100</v>
      </c>
    </row>
    <row r="545" spans="1:8" ht="39.6" x14ac:dyDescent="0.25">
      <c r="A545" s="16" t="s">
        <v>106</v>
      </c>
      <c r="B545" s="16" t="s">
        <v>93</v>
      </c>
      <c r="C545" s="74" t="s">
        <v>328</v>
      </c>
      <c r="D545" s="84"/>
      <c r="E545" s="100" t="s">
        <v>325</v>
      </c>
      <c r="F545" s="39">
        <f>SUM(F546:F547)</f>
        <v>232.3</v>
      </c>
      <c r="G545" s="39">
        <f>SUM(G546:G547)</f>
        <v>232.3</v>
      </c>
      <c r="H545" s="96">
        <f t="shared" si="48"/>
        <v>100</v>
      </c>
    </row>
    <row r="546" spans="1:8" ht="26.4" x14ac:dyDescent="0.25">
      <c r="A546" s="16" t="s">
        <v>106</v>
      </c>
      <c r="B546" s="16" t="s">
        <v>93</v>
      </c>
      <c r="C546" s="74" t="s">
        <v>328</v>
      </c>
      <c r="D546" s="84" t="s">
        <v>70</v>
      </c>
      <c r="E546" s="55" t="s">
        <v>133</v>
      </c>
      <c r="F546" s="158">
        <v>50</v>
      </c>
      <c r="G546" s="158">
        <v>50</v>
      </c>
      <c r="H546" s="96">
        <f t="shared" si="48"/>
        <v>100</v>
      </c>
    </row>
    <row r="547" spans="1:8" x14ac:dyDescent="0.25">
      <c r="A547" s="16" t="s">
        <v>106</v>
      </c>
      <c r="B547" s="16" t="s">
        <v>93</v>
      </c>
      <c r="C547" s="74" t="s">
        <v>328</v>
      </c>
      <c r="D547" s="21" t="s">
        <v>226</v>
      </c>
      <c r="E547" s="100" t="s">
        <v>225</v>
      </c>
      <c r="F547" s="39">
        <f>150+32.3</f>
        <v>182.3</v>
      </c>
      <c r="G547" s="39">
        <v>182.3</v>
      </c>
      <c r="H547" s="96">
        <f t="shared" si="48"/>
        <v>100</v>
      </c>
    </row>
    <row r="548" spans="1:8" ht="52.8" x14ac:dyDescent="0.25">
      <c r="A548" s="16" t="s">
        <v>106</v>
      </c>
      <c r="B548" s="16" t="s">
        <v>93</v>
      </c>
      <c r="C548" s="74">
        <v>210110680</v>
      </c>
      <c r="D548" s="84"/>
      <c r="E548" s="100" t="s">
        <v>369</v>
      </c>
      <c r="F548" s="39">
        <f>SUM(F549:F550)</f>
        <v>23004.6</v>
      </c>
      <c r="G548" s="39">
        <f>SUM(G549:G550)</f>
        <v>23004.6</v>
      </c>
      <c r="H548" s="96">
        <f t="shared" si="48"/>
        <v>100</v>
      </c>
    </row>
    <row r="549" spans="1:8" ht="26.4" x14ac:dyDescent="0.25">
      <c r="A549" s="16" t="s">
        <v>106</v>
      </c>
      <c r="B549" s="16" t="s">
        <v>93</v>
      </c>
      <c r="C549" s="74">
        <v>210110680</v>
      </c>
      <c r="D549" s="84" t="s">
        <v>70</v>
      </c>
      <c r="E549" s="55" t="s">
        <v>133</v>
      </c>
      <c r="F549" s="158">
        <f>5432+1219.9</f>
        <v>6651.9</v>
      </c>
      <c r="G549" s="158">
        <f>5432+1219.9</f>
        <v>6651.9</v>
      </c>
      <c r="H549" s="96">
        <f t="shared" si="48"/>
        <v>100</v>
      </c>
    </row>
    <row r="550" spans="1:8" x14ac:dyDescent="0.25">
      <c r="A550" s="16" t="s">
        <v>106</v>
      </c>
      <c r="B550" s="16" t="s">
        <v>93</v>
      </c>
      <c r="C550" s="74">
        <v>210110680</v>
      </c>
      <c r="D550" s="21" t="s">
        <v>226</v>
      </c>
      <c r="E550" s="100" t="s">
        <v>225</v>
      </c>
      <c r="F550" s="39">
        <f>12768.4+3584.3</f>
        <v>16352.7</v>
      </c>
      <c r="G550" s="39">
        <f>12768.4+3584.3</f>
        <v>16352.7</v>
      </c>
      <c r="H550" s="96">
        <f t="shared" ref="H550:H581" si="53">ROUND((G550/F550*100),1)</f>
        <v>100</v>
      </c>
    </row>
    <row r="551" spans="1:8" ht="52.8" x14ac:dyDescent="0.25">
      <c r="A551" s="16" t="s">
        <v>106</v>
      </c>
      <c r="B551" s="16" t="s">
        <v>93</v>
      </c>
      <c r="C551" s="152" t="s">
        <v>713</v>
      </c>
      <c r="D551" s="84"/>
      <c r="E551" s="162" t="s">
        <v>381</v>
      </c>
      <c r="F551" s="39">
        <f>F552</f>
        <v>187.3</v>
      </c>
      <c r="G551" s="39">
        <f>G552</f>
        <v>187.3</v>
      </c>
      <c r="H551" s="96">
        <f t="shared" si="53"/>
        <v>100</v>
      </c>
    </row>
    <row r="552" spans="1:8" x14ac:dyDescent="0.25">
      <c r="A552" s="16" t="s">
        <v>106</v>
      </c>
      <c r="B552" s="16" t="s">
        <v>93</v>
      </c>
      <c r="C552" s="152" t="s">
        <v>713</v>
      </c>
      <c r="D552" s="21" t="s">
        <v>226</v>
      </c>
      <c r="E552" s="100" t="s">
        <v>225</v>
      </c>
      <c r="F552" s="39">
        <f>35+180.3-28</f>
        <v>187.3</v>
      </c>
      <c r="G552" s="39">
        <f>35+180.3-28</f>
        <v>187.3</v>
      </c>
      <c r="H552" s="96">
        <f t="shared" si="53"/>
        <v>100</v>
      </c>
    </row>
    <row r="553" spans="1:8" ht="39.6" x14ac:dyDescent="0.25">
      <c r="A553" s="16" t="s">
        <v>106</v>
      </c>
      <c r="B553" s="16" t="s">
        <v>93</v>
      </c>
      <c r="C553" s="212" t="s">
        <v>714</v>
      </c>
      <c r="D553" s="21"/>
      <c r="E553" s="100" t="s">
        <v>715</v>
      </c>
      <c r="F553" s="39">
        <f>F554</f>
        <v>953</v>
      </c>
      <c r="G553" s="39">
        <f>G554</f>
        <v>953</v>
      </c>
      <c r="H553" s="96">
        <f t="shared" si="53"/>
        <v>100</v>
      </c>
    </row>
    <row r="554" spans="1:8" ht="19.5" customHeight="1" x14ac:dyDescent="0.25">
      <c r="A554" s="16" t="s">
        <v>106</v>
      </c>
      <c r="B554" s="16" t="s">
        <v>93</v>
      </c>
      <c r="C554" s="212" t="s">
        <v>714</v>
      </c>
      <c r="D554" s="21" t="s">
        <v>226</v>
      </c>
      <c r="E554" s="100" t="s">
        <v>225</v>
      </c>
      <c r="F554" s="39">
        <f>223+800-70</f>
        <v>953</v>
      </c>
      <c r="G554" s="39">
        <f>223+800-70</f>
        <v>953</v>
      </c>
      <c r="H554" s="96">
        <f t="shared" si="53"/>
        <v>100</v>
      </c>
    </row>
    <row r="555" spans="1:8" ht="42.75" customHeight="1" x14ac:dyDescent="0.25">
      <c r="A555" s="16" t="s">
        <v>106</v>
      </c>
      <c r="B555" s="16" t="s">
        <v>93</v>
      </c>
      <c r="C555" s="212" t="s">
        <v>716</v>
      </c>
      <c r="D555" s="21"/>
      <c r="E555" s="100" t="s">
        <v>717</v>
      </c>
      <c r="F555" s="39">
        <f>F556</f>
        <v>740</v>
      </c>
      <c r="G555" s="41">
        <f t="shared" ref="G555" si="54">G556</f>
        <v>740</v>
      </c>
      <c r="H555" s="96">
        <f t="shared" si="53"/>
        <v>100</v>
      </c>
    </row>
    <row r="556" spans="1:8" x14ac:dyDescent="0.25">
      <c r="A556" s="16" t="s">
        <v>106</v>
      </c>
      <c r="B556" s="16" t="s">
        <v>93</v>
      </c>
      <c r="C556" s="212" t="s">
        <v>716</v>
      </c>
      <c r="D556" s="21" t="s">
        <v>226</v>
      </c>
      <c r="E556" s="100" t="s">
        <v>225</v>
      </c>
      <c r="F556" s="39">
        <v>740</v>
      </c>
      <c r="G556" s="39">
        <v>740</v>
      </c>
      <c r="H556" s="96">
        <f t="shared" si="53"/>
        <v>100</v>
      </c>
    </row>
    <row r="557" spans="1:8" ht="44.25" customHeight="1" x14ac:dyDescent="0.25">
      <c r="A557" s="16" t="s">
        <v>106</v>
      </c>
      <c r="B557" s="16" t="s">
        <v>93</v>
      </c>
      <c r="C557" s="212" t="s">
        <v>718</v>
      </c>
      <c r="D557" s="21"/>
      <c r="E557" s="100" t="s">
        <v>717</v>
      </c>
      <c r="F557" s="39">
        <f>F558</f>
        <v>6660</v>
      </c>
      <c r="G557" s="39">
        <f>G558</f>
        <v>6660</v>
      </c>
      <c r="H557" s="96">
        <f t="shared" si="53"/>
        <v>100</v>
      </c>
    </row>
    <row r="558" spans="1:8" x14ac:dyDescent="0.25">
      <c r="A558" s="16" t="s">
        <v>106</v>
      </c>
      <c r="B558" s="16" t="s">
        <v>93</v>
      </c>
      <c r="C558" s="212" t="s">
        <v>718</v>
      </c>
      <c r="D558" s="21" t="s">
        <v>226</v>
      </c>
      <c r="E558" s="100" t="s">
        <v>225</v>
      </c>
      <c r="F558" s="39">
        <v>6660</v>
      </c>
      <c r="G558" s="39">
        <v>6660</v>
      </c>
      <c r="H558" s="96">
        <f t="shared" si="53"/>
        <v>100</v>
      </c>
    </row>
    <row r="559" spans="1:8" ht="13.5" customHeight="1" x14ac:dyDescent="0.25">
      <c r="A559" s="16" t="s">
        <v>106</v>
      </c>
      <c r="B559" s="16" t="s">
        <v>93</v>
      </c>
      <c r="C559" s="212" t="s">
        <v>719</v>
      </c>
      <c r="D559" s="21"/>
      <c r="E559" s="100" t="s">
        <v>720</v>
      </c>
      <c r="F559" s="39">
        <f>F560</f>
        <v>10000</v>
      </c>
      <c r="G559" s="39">
        <f>G560</f>
        <v>10000</v>
      </c>
      <c r="H559" s="96">
        <f t="shared" si="53"/>
        <v>100</v>
      </c>
    </row>
    <row r="560" spans="1:8" ht="39.6" x14ac:dyDescent="0.25">
      <c r="A560" s="16" t="s">
        <v>106</v>
      </c>
      <c r="B560" s="16" t="s">
        <v>93</v>
      </c>
      <c r="C560" s="212" t="s">
        <v>719</v>
      </c>
      <c r="D560" s="84" t="s">
        <v>212</v>
      </c>
      <c r="E560" s="100" t="s">
        <v>213</v>
      </c>
      <c r="F560" s="39">
        <v>10000</v>
      </c>
      <c r="G560" s="39">
        <v>10000</v>
      </c>
      <c r="H560" s="96">
        <f t="shared" si="53"/>
        <v>100</v>
      </c>
    </row>
    <row r="561" spans="1:8" ht="52.8" x14ac:dyDescent="0.25">
      <c r="A561" s="16" t="s">
        <v>106</v>
      </c>
      <c r="B561" s="16" t="s">
        <v>93</v>
      </c>
      <c r="C561" s="212" t="s">
        <v>721</v>
      </c>
      <c r="D561" s="21"/>
      <c r="E561" s="100" t="s">
        <v>722</v>
      </c>
      <c r="F561" s="39">
        <f>F562</f>
        <v>67.599999999999994</v>
      </c>
      <c r="G561" s="39">
        <f>G562</f>
        <v>67.599999999999994</v>
      </c>
      <c r="H561" s="96">
        <f t="shared" si="53"/>
        <v>100</v>
      </c>
    </row>
    <row r="562" spans="1:8" x14ac:dyDescent="0.25">
      <c r="A562" s="16" t="s">
        <v>106</v>
      </c>
      <c r="B562" s="16" t="s">
        <v>93</v>
      </c>
      <c r="C562" s="212" t="s">
        <v>721</v>
      </c>
      <c r="D562" s="21" t="s">
        <v>226</v>
      </c>
      <c r="E562" s="100" t="s">
        <v>225</v>
      </c>
      <c r="F562" s="39">
        <f>1+66.6</f>
        <v>67.599999999999994</v>
      </c>
      <c r="G562" s="39">
        <f>1+66.6</f>
        <v>67.599999999999994</v>
      </c>
      <c r="H562" s="96">
        <f t="shared" si="53"/>
        <v>100</v>
      </c>
    </row>
    <row r="563" spans="1:8" ht="60.75" customHeight="1" x14ac:dyDescent="0.25">
      <c r="A563" s="5" t="s">
        <v>106</v>
      </c>
      <c r="B563" s="5" t="s">
        <v>93</v>
      </c>
      <c r="C563" s="76">
        <v>1400000000</v>
      </c>
      <c r="D563" s="16"/>
      <c r="E563" s="196" t="s">
        <v>586</v>
      </c>
      <c r="F563" s="98">
        <f>F564</f>
        <v>75913</v>
      </c>
      <c r="G563" s="98">
        <f>G564</f>
        <v>75913</v>
      </c>
      <c r="H563" s="62">
        <f t="shared" si="53"/>
        <v>100</v>
      </c>
    </row>
    <row r="564" spans="1:8" s="20" customFormat="1" ht="69" customHeight="1" x14ac:dyDescent="0.25">
      <c r="A564" s="47" t="s">
        <v>106</v>
      </c>
      <c r="B564" s="47" t="s">
        <v>93</v>
      </c>
      <c r="C564" s="75">
        <v>1410000000</v>
      </c>
      <c r="D564" s="16"/>
      <c r="E564" s="48" t="s">
        <v>217</v>
      </c>
      <c r="F564" s="95">
        <f>F565+F567</f>
        <v>75913</v>
      </c>
      <c r="G564" s="95">
        <f>G565+G567</f>
        <v>75913</v>
      </c>
      <c r="H564" s="58">
        <f t="shared" si="53"/>
        <v>100</v>
      </c>
    </row>
    <row r="565" spans="1:8" s="20" customFormat="1" ht="52.8" x14ac:dyDescent="0.25">
      <c r="A565" s="16" t="s">
        <v>106</v>
      </c>
      <c r="B565" s="16" t="s">
        <v>93</v>
      </c>
      <c r="C565" s="204" t="s">
        <v>588</v>
      </c>
      <c r="D565" s="16"/>
      <c r="E565" s="100" t="s">
        <v>589</v>
      </c>
      <c r="F565" s="41">
        <f>F566</f>
        <v>61913</v>
      </c>
      <c r="G565" s="41">
        <f>G566</f>
        <v>61913</v>
      </c>
      <c r="H565" s="96">
        <f t="shared" si="53"/>
        <v>100</v>
      </c>
    </row>
    <row r="566" spans="1:8" s="20" customFormat="1" ht="39.6" x14ac:dyDescent="0.25">
      <c r="A566" s="16" t="s">
        <v>106</v>
      </c>
      <c r="B566" s="16" t="s">
        <v>93</v>
      </c>
      <c r="C566" s="204" t="s">
        <v>588</v>
      </c>
      <c r="D566" s="84" t="s">
        <v>212</v>
      </c>
      <c r="E566" s="100" t="s">
        <v>213</v>
      </c>
      <c r="F566" s="41">
        <v>61913</v>
      </c>
      <c r="G566" s="41">
        <v>61913</v>
      </c>
      <c r="H566" s="96">
        <f t="shared" si="53"/>
        <v>100</v>
      </c>
    </row>
    <row r="567" spans="1:8" s="20" customFormat="1" ht="63.75" customHeight="1" x14ac:dyDescent="0.25">
      <c r="A567" s="16" t="s">
        <v>106</v>
      </c>
      <c r="B567" s="16" t="s">
        <v>93</v>
      </c>
      <c r="C567" s="204" t="s">
        <v>723</v>
      </c>
      <c r="D567" s="84"/>
      <c r="E567" s="100" t="s">
        <v>724</v>
      </c>
      <c r="F567" s="41">
        <f>F568</f>
        <v>14000</v>
      </c>
      <c r="G567" s="41">
        <f>G568</f>
        <v>14000</v>
      </c>
      <c r="H567" s="96">
        <f t="shared" si="53"/>
        <v>100</v>
      </c>
    </row>
    <row r="568" spans="1:8" s="20" customFormat="1" ht="39.6" x14ac:dyDescent="0.25">
      <c r="A568" s="16" t="s">
        <v>106</v>
      </c>
      <c r="B568" s="16" t="s">
        <v>93</v>
      </c>
      <c r="C568" s="204" t="s">
        <v>723</v>
      </c>
      <c r="D568" s="84" t="s">
        <v>212</v>
      </c>
      <c r="E568" s="100" t="s">
        <v>213</v>
      </c>
      <c r="F568" s="41">
        <v>14000</v>
      </c>
      <c r="G568" s="41">
        <v>14000</v>
      </c>
      <c r="H568" s="96">
        <f t="shared" si="53"/>
        <v>100</v>
      </c>
    </row>
    <row r="569" spans="1:8" s="20" customFormat="1" ht="26.4" x14ac:dyDescent="0.25">
      <c r="A569" s="16" t="s">
        <v>106</v>
      </c>
      <c r="B569" s="16" t="s">
        <v>93</v>
      </c>
      <c r="C569" s="84" t="s">
        <v>29</v>
      </c>
      <c r="D569" s="84"/>
      <c r="E569" s="102" t="s">
        <v>43</v>
      </c>
      <c r="F569" s="41">
        <f>F570+F572</f>
        <v>175</v>
      </c>
      <c r="G569" s="41">
        <f>G570+G572</f>
        <v>175</v>
      </c>
      <c r="H569" s="96">
        <f t="shared" si="53"/>
        <v>100</v>
      </c>
    </row>
    <row r="570" spans="1:8" s="20" customFormat="1" ht="52.8" x14ac:dyDescent="0.25">
      <c r="A570" s="16" t="s">
        <v>106</v>
      </c>
      <c r="B570" s="16" t="s">
        <v>93</v>
      </c>
      <c r="C570" s="84" t="s">
        <v>682</v>
      </c>
      <c r="D570" s="16"/>
      <c r="E570" s="54" t="s">
        <v>725</v>
      </c>
      <c r="F570" s="41">
        <f>SUM(F571:F571)</f>
        <v>75</v>
      </c>
      <c r="G570" s="41">
        <f>SUM(G571:G571)</f>
        <v>75</v>
      </c>
      <c r="H570" s="96">
        <f t="shared" si="53"/>
        <v>100</v>
      </c>
    </row>
    <row r="571" spans="1:8" s="20" customFormat="1" ht="13.8" x14ac:dyDescent="0.25">
      <c r="A571" s="16" t="s">
        <v>106</v>
      </c>
      <c r="B571" s="16" t="s">
        <v>93</v>
      </c>
      <c r="C571" s="84" t="s">
        <v>682</v>
      </c>
      <c r="D571" s="21" t="s">
        <v>226</v>
      </c>
      <c r="E571" s="100" t="s">
        <v>225</v>
      </c>
      <c r="F571" s="39">
        <v>75</v>
      </c>
      <c r="G571" s="39">
        <v>75</v>
      </c>
      <c r="H571" s="96">
        <f t="shared" si="53"/>
        <v>100</v>
      </c>
    </row>
    <row r="572" spans="1:8" s="20" customFormat="1" ht="39.6" x14ac:dyDescent="0.25">
      <c r="A572" s="16" t="s">
        <v>106</v>
      </c>
      <c r="B572" s="16" t="s">
        <v>93</v>
      </c>
      <c r="C572" s="84" t="s">
        <v>562</v>
      </c>
      <c r="D572" s="21"/>
      <c r="E572" s="54" t="s">
        <v>351</v>
      </c>
      <c r="F572" s="39">
        <f>F573</f>
        <v>100</v>
      </c>
      <c r="G572" s="39">
        <f>G573</f>
        <v>100</v>
      </c>
      <c r="H572" s="96">
        <f t="shared" si="53"/>
        <v>100</v>
      </c>
    </row>
    <row r="573" spans="1:8" s="20" customFormat="1" ht="39.6" x14ac:dyDescent="0.25">
      <c r="A573" s="16" t="s">
        <v>106</v>
      </c>
      <c r="B573" s="16" t="s">
        <v>93</v>
      </c>
      <c r="C573" s="84" t="s">
        <v>562</v>
      </c>
      <c r="D573" s="84" t="s">
        <v>212</v>
      </c>
      <c r="E573" s="100" t="s">
        <v>213</v>
      </c>
      <c r="F573" s="39">
        <v>100</v>
      </c>
      <c r="G573" s="39">
        <v>100</v>
      </c>
      <c r="H573" s="96">
        <f t="shared" si="53"/>
        <v>100</v>
      </c>
    </row>
    <row r="574" spans="1:8" s="20" customFormat="1" ht="27" x14ac:dyDescent="0.3">
      <c r="A574" s="35" t="s">
        <v>106</v>
      </c>
      <c r="B574" s="35" t="s">
        <v>99</v>
      </c>
      <c r="C574" s="35"/>
      <c r="D574" s="35"/>
      <c r="E574" s="46" t="s">
        <v>7</v>
      </c>
      <c r="F574" s="42">
        <f>F575</f>
        <v>3350.6000000000004</v>
      </c>
      <c r="G574" s="42">
        <f>G575</f>
        <v>3314.8</v>
      </c>
      <c r="H574" s="42">
        <f t="shared" si="53"/>
        <v>98.9</v>
      </c>
    </row>
    <row r="575" spans="1:8" s="20" customFormat="1" ht="67.5" customHeight="1" x14ac:dyDescent="0.3">
      <c r="A575" s="5" t="s">
        <v>106</v>
      </c>
      <c r="B575" s="5" t="s">
        <v>99</v>
      </c>
      <c r="C575" s="73" t="s">
        <v>65</v>
      </c>
      <c r="D575" s="35"/>
      <c r="E575" s="53" t="s">
        <v>673</v>
      </c>
      <c r="F575" s="65">
        <f>F576+F582</f>
        <v>3350.6000000000004</v>
      </c>
      <c r="G575" s="65">
        <f>G576+G582</f>
        <v>3314.8</v>
      </c>
      <c r="H575" s="62">
        <f t="shared" si="53"/>
        <v>98.9</v>
      </c>
    </row>
    <row r="576" spans="1:8" s="20" customFormat="1" ht="27" x14ac:dyDescent="0.3">
      <c r="A576" s="16" t="s">
        <v>106</v>
      </c>
      <c r="B576" s="16" t="s">
        <v>99</v>
      </c>
      <c r="C576" s="21" t="s">
        <v>66</v>
      </c>
      <c r="D576" s="35"/>
      <c r="E576" s="48" t="s">
        <v>173</v>
      </c>
      <c r="F576" s="42">
        <f>F577</f>
        <v>390</v>
      </c>
      <c r="G576" s="42">
        <f>G577</f>
        <v>390</v>
      </c>
      <c r="H576" s="58">
        <f t="shared" si="53"/>
        <v>100</v>
      </c>
    </row>
    <row r="577" spans="1:8" s="20" customFormat="1" ht="26.4" x14ac:dyDescent="0.3">
      <c r="A577" s="16" t="s">
        <v>106</v>
      </c>
      <c r="B577" s="16" t="s">
        <v>99</v>
      </c>
      <c r="C577" s="21" t="s">
        <v>726</v>
      </c>
      <c r="D577" s="35"/>
      <c r="E577" s="104" t="s">
        <v>260</v>
      </c>
      <c r="F577" s="41">
        <f>F578+F580</f>
        <v>390</v>
      </c>
      <c r="G577" s="41">
        <f>G578+G580</f>
        <v>390</v>
      </c>
      <c r="H577" s="96">
        <f t="shared" si="53"/>
        <v>100</v>
      </c>
    </row>
    <row r="578" spans="1:8" s="20" customFormat="1" ht="39.6" x14ac:dyDescent="0.25">
      <c r="A578" s="16" t="s">
        <v>106</v>
      </c>
      <c r="B578" s="16" t="s">
        <v>99</v>
      </c>
      <c r="C578" s="21" t="s">
        <v>727</v>
      </c>
      <c r="D578" s="16"/>
      <c r="E578" s="100" t="s">
        <v>176</v>
      </c>
      <c r="F578" s="41">
        <f t="shared" ref="F578:G578" si="55">F579</f>
        <v>300</v>
      </c>
      <c r="G578" s="41">
        <f t="shared" si="55"/>
        <v>300</v>
      </c>
      <c r="H578" s="96">
        <f t="shared" si="53"/>
        <v>100</v>
      </c>
    </row>
    <row r="579" spans="1:8" s="20" customFormat="1" ht="39.6" x14ac:dyDescent="0.25">
      <c r="A579" s="16" t="s">
        <v>106</v>
      </c>
      <c r="B579" s="16" t="s">
        <v>99</v>
      </c>
      <c r="C579" s="21" t="s">
        <v>727</v>
      </c>
      <c r="D579" s="84" t="s">
        <v>212</v>
      </c>
      <c r="E579" s="100" t="s">
        <v>213</v>
      </c>
      <c r="F579" s="41">
        <v>300</v>
      </c>
      <c r="G579" s="41">
        <v>300</v>
      </c>
      <c r="H579" s="58">
        <f t="shared" si="53"/>
        <v>100</v>
      </c>
    </row>
    <row r="580" spans="1:8" s="36" customFormat="1" ht="26.4" x14ac:dyDescent="0.25">
      <c r="A580" s="16" t="s">
        <v>106</v>
      </c>
      <c r="B580" s="16" t="s">
        <v>99</v>
      </c>
      <c r="C580" s="21" t="s">
        <v>728</v>
      </c>
      <c r="D580" s="84"/>
      <c r="E580" s="125" t="s">
        <v>729</v>
      </c>
      <c r="F580" s="41">
        <f>F581</f>
        <v>90</v>
      </c>
      <c r="G580" s="41">
        <f t="shared" ref="G580" si="56">G581</f>
        <v>90</v>
      </c>
      <c r="H580" s="96">
        <f t="shared" si="53"/>
        <v>100</v>
      </c>
    </row>
    <row r="581" spans="1:8" ht="39.6" x14ac:dyDescent="0.25">
      <c r="A581" s="16" t="s">
        <v>106</v>
      </c>
      <c r="B581" s="16" t="s">
        <v>99</v>
      </c>
      <c r="C581" s="214" t="s">
        <v>728</v>
      </c>
      <c r="D581" s="84" t="s">
        <v>212</v>
      </c>
      <c r="E581" s="100" t="s">
        <v>213</v>
      </c>
      <c r="F581" s="41">
        <v>90</v>
      </c>
      <c r="G581" s="41">
        <v>90</v>
      </c>
      <c r="H581" s="96">
        <f t="shared" si="53"/>
        <v>100</v>
      </c>
    </row>
    <row r="582" spans="1:8" x14ac:dyDescent="0.25">
      <c r="A582" s="16" t="s">
        <v>106</v>
      </c>
      <c r="B582" s="16" t="s">
        <v>99</v>
      </c>
      <c r="C582" s="52" t="s">
        <v>36</v>
      </c>
      <c r="D582" s="21"/>
      <c r="E582" s="66" t="s">
        <v>51</v>
      </c>
      <c r="F582" s="58">
        <f>F583</f>
        <v>2960.6000000000004</v>
      </c>
      <c r="G582" s="58">
        <f>G583</f>
        <v>2924.8</v>
      </c>
      <c r="H582" s="58">
        <f t="shared" ref="H582:H599" si="57">ROUND((G582/F582*100),1)</f>
        <v>98.8</v>
      </c>
    </row>
    <row r="583" spans="1:8" ht="66" x14ac:dyDescent="0.25">
      <c r="A583" s="16" t="s">
        <v>106</v>
      </c>
      <c r="B583" s="16" t="s">
        <v>99</v>
      </c>
      <c r="C583" s="81">
        <v>290022200</v>
      </c>
      <c r="D583" s="21"/>
      <c r="E583" s="100" t="s">
        <v>266</v>
      </c>
      <c r="F583" s="96">
        <f>SUM(F584:F585)</f>
        <v>2960.6000000000004</v>
      </c>
      <c r="G583" s="96">
        <f>SUM(G584:G585)</f>
        <v>2924.8</v>
      </c>
      <c r="H583" s="96">
        <f t="shared" si="57"/>
        <v>98.8</v>
      </c>
    </row>
    <row r="584" spans="1:8" ht="30" customHeight="1" x14ac:dyDescent="0.25">
      <c r="A584" s="16" t="s">
        <v>106</v>
      </c>
      <c r="B584" s="16" t="s">
        <v>99</v>
      </c>
      <c r="C584" s="81">
        <v>290022200</v>
      </c>
      <c r="D584" s="16" t="s">
        <v>68</v>
      </c>
      <c r="E584" s="55" t="s">
        <v>69</v>
      </c>
      <c r="F584" s="96">
        <f>2788.9+116.4</f>
        <v>2905.3</v>
      </c>
      <c r="G584" s="96">
        <v>2875.5</v>
      </c>
      <c r="H584" s="96">
        <f t="shared" si="57"/>
        <v>99</v>
      </c>
    </row>
    <row r="585" spans="1:8" ht="39.6" x14ac:dyDescent="0.25">
      <c r="A585" s="16" t="s">
        <v>106</v>
      </c>
      <c r="B585" s="16" t="s">
        <v>99</v>
      </c>
      <c r="C585" s="81">
        <v>290022200</v>
      </c>
      <c r="D585" s="84" t="s">
        <v>212</v>
      </c>
      <c r="E585" s="100" t="s">
        <v>213</v>
      </c>
      <c r="F585" s="41">
        <f>61.5-6.2</f>
        <v>55.3</v>
      </c>
      <c r="G585" s="96">
        <v>49.3</v>
      </c>
      <c r="H585" s="96">
        <f t="shared" si="57"/>
        <v>89.2</v>
      </c>
    </row>
    <row r="586" spans="1:8" ht="15.6" x14ac:dyDescent="0.3">
      <c r="A586" s="4" t="s">
        <v>115</v>
      </c>
      <c r="B586" s="3"/>
      <c r="C586" s="3"/>
      <c r="D586" s="3"/>
      <c r="E586" s="49" t="s">
        <v>116</v>
      </c>
      <c r="F586" s="98">
        <f>F587+F592+F605</f>
        <v>41806.400000000001</v>
      </c>
      <c r="G586" s="98">
        <f>G587+G592+G605</f>
        <v>39121.4</v>
      </c>
      <c r="H586" s="160">
        <f t="shared" si="57"/>
        <v>93.6</v>
      </c>
    </row>
    <row r="587" spans="1:8" ht="14.4" x14ac:dyDescent="0.3">
      <c r="A587" s="35" t="s">
        <v>115</v>
      </c>
      <c r="B587" s="35" t="s">
        <v>93</v>
      </c>
      <c r="C587" s="35"/>
      <c r="D587" s="35"/>
      <c r="E587" s="45" t="s">
        <v>117</v>
      </c>
      <c r="F587" s="42">
        <f t="shared" ref="F587:G590" si="58">F588</f>
        <v>1962.8000000000002</v>
      </c>
      <c r="G587" s="42">
        <f t="shared" si="58"/>
        <v>1962.8</v>
      </c>
      <c r="H587" s="42">
        <f t="shared" si="57"/>
        <v>100</v>
      </c>
    </row>
    <row r="588" spans="1:8" ht="65.25" customHeight="1" x14ac:dyDescent="0.3">
      <c r="A588" s="5" t="s">
        <v>115</v>
      </c>
      <c r="B588" s="5" t="s">
        <v>93</v>
      </c>
      <c r="C588" s="73" t="s">
        <v>40</v>
      </c>
      <c r="D588" s="3"/>
      <c r="E588" s="196" t="s">
        <v>730</v>
      </c>
      <c r="F588" s="98">
        <f t="shared" si="58"/>
        <v>1962.8000000000002</v>
      </c>
      <c r="G588" s="98">
        <f t="shared" si="58"/>
        <v>1962.8</v>
      </c>
      <c r="H588" s="62">
        <f t="shared" si="57"/>
        <v>100</v>
      </c>
    </row>
    <row r="589" spans="1:8" ht="27" x14ac:dyDescent="0.3">
      <c r="A589" s="16" t="s">
        <v>115</v>
      </c>
      <c r="B589" s="16" t="s">
        <v>93</v>
      </c>
      <c r="C589" s="52" t="s">
        <v>42</v>
      </c>
      <c r="D589" s="3"/>
      <c r="E589" s="46" t="s">
        <v>86</v>
      </c>
      <c r="F589" s="95">
        <f t="shared" si="58"/>
        <v>1962.8000000000002</v>
      </c>
      <c r="G589" s="95">
        <f t="shared" si="58"/>
        <v>1962.8</v>
      </c>
      <c r="H589" s="58">
        <f t="shared" si="57"/>
        <v>100</v>
      </c>
    </row>
    <row r="590" spans="1:8" ht="27" x14ac:dyDescent="0.3">
      <c r="A590" s="16" t="s">
        <v>115</v>
      </c>
      <c r="B590" s="16" t="s">
        <v>93</v>
      </c>
      <c r="C590" s="80">
        <v>1320225100</v>
      </c>
      <c r="D590" s="3"/>
      <c r="E590" s="190" t="s">
        <v>377</v>
      </c>
      <c r="F590" s="41">
        <f t="shared" si="58"/>
        <v>1962.8000000000002</v>
      </c>
      <c r="G590" s="41">
        <f t="shared" si="58"/>
        <v>1962.8</v>
      </c>
      <c r="H590" s="96">
        <f t="shared" si="57"/>
        <v>100</v>
      </c>
    </row>
    <row r="591" spans="1:8" ht="26.4" x14ac:dyDescent="0.25">
      <c r="A591" s="16" t="s">
        <v>115</v>
      </c>
      <c r="B591" s="16" t="s">
        <v>93</v>
      </c>
      <c r="C591" s="80">
        <v>1320225100</v>
      </c>
      <c r="D591" s="84" t="s">
        <v>283</v>
      </c>
      <c r="E591" s="100" t="s">
        <v>284</v>
      </c>
      <c r="F591" s="39">
        <f>2710.8-801.4+53.4</f>
        <v>1962.8000000000002</v>
      </c>
      <c r="G591" s="41">
        <v>1962.8</v>
      </c>
      <c r="H591" s="96">
        <f t="shared" ref="H591" si="59">ROUND((G591/F591*100),1)</f>
        <v>100</v>
      </c>
    </row>
    <row r="592" spans="1:8" s="37" customFormat="1" ht="14.4" x14ac:dyDescent="0.3">
      <c r="A592" s="35" t="s">
        <v>115</v>
      </c>
      <c r="B592" s="35" t="s">
        <v>98</v>
      </c>
      <c r="C592" s="35"/>
      <c r="D592" s="35"/>
      <c r="E592" s="45" t="s">
        <v>121</v>
      </c>
      <c r="F592" s="42">
        <f>F593+F597+F601</f>
        <v>1764</v>
      </c>
      <c r="G592" s="42">
        <f>G593+G597+G601</f>
        <v>1862.5</v>
      </c>
      <c r="H592" s="42">
        <f t="shared" si="57"/>
        <v>105.6</v>
      </c>
    </row>
    <row r="593" spans="1:8" s="37" customFormat="1" ht="51" customHeight="1" x14ac:dyDescent="0.3">
      <c r="A593" s="5" t="s">
        <v>115</v>
      </c>
      <c r="B593" s="5" t="s">
        <v>98</v>
      </c>
      <c r="C593" s="21" t="s">
        <v>79</v>
      </c>
      <c r="D593" s="35"/>
      <c r="E593" s="64" t="s">
        <v>607</v>
      </c>
      <c r="F593" s="65">
        <f t="shared" ref="F593:G594" si="60">F594</f>
        <v>1026</v>
      </c>
      <c r="G593" s="65">
        <f t="shared" si="60"/>
        <v>1074.5</v>
      </c>
      <c r="H593" s="62">
        <f t="shared" si="57"/>
        <v>104.7</v>
      </c>
    </row>
    <row r="594" spans="1:8" s="37" customFormat="1" ht="27" x14ac:dyDescent="0.3">
      <c r="A594" s="16" t="s">
        <v>115</v>
      </c>
      <c r="B594" s="16" t="s">
        <v>98</v>
      </c>
      <c r="C594" s="52" t="s">
        <v>670</v>
      </c>
      <c r="D594" s="84"/>
      <c r="E594" s="46" t="s">
        <v>671</v>
      </c>
      <c r="F594" s="58">
        <f t="shared" si="60"/>
        <v>1026</v>
      </c>
      <c r="G594" s="58">
        <f t="shared" si="60"/>
        <v>1074.5</v>
      </c>
      <c r="H594" s="58">
        <f t="shared" si="57"/>
        <v>104.7</v>
      </c>
    </row>
    <row r="595" spans="1:8" s="37" customFormat="1" ht="92.4" x14ac:dyDescent="0.3">
      <c r="A595" s="16" t="s">
        <v>115</v>
      </c>
      <c r="B595" s="16" t="s">
        <v>98</v>
      </c>
      <c r="C595" s="81">
        <v>140210560</v>
      </c>
      <c r="D595" s="84"/>
      <c r="E595" s="100" t="s">
        <v>184</v>
      </c>
      <c r="F595" s="41">
        <f>F596</f>
        <v>1026</v>
      </c>
      <c r="G595" s="41">
        <f>G596</f>
        <v>1074.5</v>
      </c>
      <c r="H595" s="96">
        <f t="shared" si="57"/>
        <v>104.7</v>
      </c>
    </row>
    <row r="596" spans="1:8" s="37" customFormat="1" ht="26.4" x14ac:dyDescent="0.3">
      <c r="A596" s="16" t="s">
        <v>115</v>
      </c>
      <c r="B596" s="16" t="s">
        <v>98</v>
      </c>
      <c r="C596" s="81">
        <v>140210560</v>
      </c>
      <c r="D596" s="83" t="s">
        <v>283</v>
      </c>
      <c r="E596" s="100" t="s">
        <v>284</v>
      </c>
      <c r="F596" s="158">
        <v>1026</v>
      </c>
      <c r="G596" s="101">
        <v>1074.5</v>
      </c>
      <c r="H596" s="96">
        <f t="shared" ref="H596:H652" si="61">ROUND((G596/F596*100),1)</f>
        <v>104.7</v>
      </c>
    </row>
    <row r="597" spans="1:8" s="37" customFormat="1" ht="64.5" customHeight="1" x14ac:dyDescent="0.3">
      <c r="A597" s="5" t="s">
        <v>115</v>
      </c>
      <c r="B597" s="5" t="s">
        <v>98</v>
      </c>
      <c r="C597" s="73" t="s">
        <v>40</v>
      </c>
      <c r="D597" s="3"/>
      <c r="E597" s="196" t="s">
        <v>730</v>
      </c>
      <c r="F597" s="59">
        <f t="shared" ref="F597:G597" si="62">F598</f>
        <v>688</v>
      </c>
      <c r="G597" s="59">
        <f t="shared" si="62"/>
        <v>688</v>
      </c>
      <c r="H597" s="62">
        <f t="shared" si="57"/>
        <v>100</v>
      </c>
    </row>
    <row r="598" spans="1:8" s="37" customFormat="1" ht="27" x14ac:dyDescent="0.3">
      <c r="A598" s="47" t="s">
        <v>115</v>
      </c>
      <c r="B598" s="47" t="s">
        <v>98</v>
      </c>
      <c r="C598" s="52" t="s">
        <v>42</v>
      </c>
      <c r="D598" s="16"/>
      <c r="E598" s="46" t="s">
        <v>86</v>
      </c>
      <c r="F598" s="95">
        <f>F599</f>
        <v>688</v>
      </c>
      <c r="G598" s="95">
        <f>G599</f>
        <v>688</v>
      </c>
      <c r="H598" s="58">
        <f t="shared" si="57"/>
        <v>100</v>
      </c>
    </row>
    <row r="599" spans="1:8" s="37" customFormat="1" ht="52.8" x14ac:dyDescent="0.3">
      <c r="A599" s="16" t="s">
        <v>115</v>
      </c>
      <c r="B599" s="16" t="s">
        <v>98</v>
      </c>
      <c r="C599" s="80">
        <v>1320127100</v>
      </c>
      <c r="D599" s="16"/>
      <c r="E599" s="100" t="s">
        <v>3</v>
      </c>
      <c r="F599" s="41">
        <f t="shared" ref="F599:G599" si="63">F600</f>
        <v>688</v>
      </c>
      <c r="G599" s="41">
        <f t="shared" si="63"/>
        <v>688</v>
      </c>
      <c r="H599" s="96">
        <f t="shared" si="57"/>
        <v>100</v>
      </c>
    </row>
    <row r="600" spans="1:8" s="37" customFormat="1" ht="54.75" customHeight="1" x14ac:dyDescent="0.3">
      <c r="A600" s="16" t="s">
        <v>115</v>
      </c>
      <c r="B600" s="16" t="s">
        <v>98</v>
      </c>
      <c r="C600" s="80">
        <v>1320127100</v>
      </c>
      <c r="D600" s="16" t="s">
        <v>23</v>
      </c>
      <c r="E600" s="102" t="s">
        <v>376</v>
      </c>
      <c r="F600" s="41">
        <f>638+50</f>
        <v>688</v>
      </c>
      <c r="G600" s="41">
        <f>638+50</f>
        <v>688</v>
      </c>
      <c r="H600" s="96">
        <f t="shared" si="61"/>
        <v>100</v>
      </c>
    </row>
    <row r="601" spans="1:8" s="37" customFormat="1" ht="26.4" x14ac:dyDescent="0.3">
      <c r="A601" s="5" t="s">
        <v>115</v>
      </c>
      <c r="B601" s="5" t="s">
        <v>98</v>
      </c>
      <c r="C601" s="85">
        <v>9900000000</v>
      </c>
      <c r="D601" s="5"/>
      <c r="E601" s="86" t="s">
        <v>144</v>
      </c>
      <c r="F601" s="62">
        <f>F602</f>
        <v>50</v>
      </c>
      <c r="G601" s="62">
        <f>G602</f>
        <v>100</v>
      </c>
      <c r="H601" s="96">
        <f t="shared" si="61"/>
        <v>200</v>
      </c>
    </row>
    <row r="602" spans="1:8" s="37" customFormat="1" ht="14.4" x14ac:dyDescent="0.3">
      <c r="A602" s="16" t="s">
        <v>115</v>
      </c>
      <c r="B602" s="16" t="s">
        <v>98</v>
      </c>
      <c r="C602" s="80">
        <v>9920000000</v>
      </c>
      <c r="D602" s="35"/>
      <c r="E602" s="154" t="s">
        <v>5</v>
      </c>
      <c r="F602" s="96">
        <f t="shared" ref="F602:G603" si="64">F603</f>
        <v>50</v>
      </c>
      <c r="G602" s="96">
        <f t="shared" si="64"/>
        <v>100</v>
      </c>
      <c r="H602" s="96">
        <f t="shared" si="61"/>
        <v>200</v>
      </c>
    </row>
    <row r="603" spans="1:8" s="37" customFormat="1" ht="14.4" x14ac:dyDescent="0.3">
      <c r="A603" s="16" t="s">
        <v>115</v>
      </c>
      <c r="B603" s="16" t="s">
        <v>98</v>
      </c>
      <c r="C603" s="80">
        <v>9920026100</v>
      </c>
      <c r="D603" s="21"/>
      <c r="E603" s="22" t="s">
        <v>13</v>
      </c>
      <c r="F603" s="39">
        <f t="shared" si="64"/>
        <v>50</v>
      </c>
      <c r="G603" s="39">
        <f t="shared" si="64"/>
        <v>100</v>
      </c>
      <c r="H603" s="96">
        <f t="shared" si="61"/>
        <v>200</v>
      </c>
    </row>
    <row r="604" spans="1:8" s="37" customFormat="1" ht="14.4" x14ac:dyDescent="0.3">
      <c r="A604" s="16" t="s">
        <v>115</v>
      </c>
      <c r="B604" s="16" t="s">
        <v>98</v>
      </c>
      <c r="C604" s="80">
        <v>9920026100</v>
      </c>
      <c r="D604" s="84" t="s">
        <v>87</v>
      </c>
      <c r="E604" s="100" t="s">
        <v>88</v>
      </c>
      <c r="F604" s="39">
        <v>50</v>
      </c>
      <c r="G604" s="41">
        <v>100</v>
      </c>
      <c r="H604" s="96">
        <f t="shared" si="61"/>
        <v>200</v>
      </c>
    </row>
    <row r="605" spans="1:8" s="37" customFormat="1" ht="14.4" x14ac:dyDescent="0.3">
      <c r="A605" s="35" t="s">
        <v>115</v>
      </c>
      <c r="B605" s="35" t="s">
        <v>99</v>
      </c>
      <c r="C605" s="35"/>
      <c r="D605" s="38"/>
      <c r="E605" s="50" t="s">
        <v>15</v>
      </c>
      <c r="F605" s="42">
        <f t="shared" ref="F605:G605" si="65">F606+F611</f>
        <v>38079.599999999999</v>
      </c>
      <c r="G605" s="42">
        <f t="shared" si="65"/>
        <v>35296.1</v>
      </c>
      <c r="H605" s="42">
        <f t="shared" si="61"/>
        <v>92.7</v>
      </c>
    </row>
    <row r="606" spans="1:8" s="37" customFormat="1" ht="51.75" customHeight="1" x14ac:dyDescent="0.3">
      <c r="A606" s="16" t="s">
        <v>115</v>
      </c>
      <c r="B606" s="16" t="s">
        <v>99</v>
      </c>
      <c r="C606" s="21" t="s">
        <v>79</v>
      </c>
      <c r="D606" s="35"/>
      <c r="E606" s="64" t="s">
        <v>607</v>
      </c>
      <c r="F606" s="98">
        <f t="shared" ref="F606:G607" si="66">F607</f>
        <v>10538.5</v>
      </c>
      <c r="G606" s="98">
        <f t="shared" si="66"/>
        <v>7755.1</v>
      </c>
      <c r="H606" s="62">
        <f t="shared" si="61"/>
        <v>73.599999999999994</v>
      </c>
    </row>
    <row r="607" spans="1:8" s="37" customFormat="1" ht="27" x14ac:dyDescent="0.3">
      <c r="A607" s="16" t="s">
        <v>115</v>
      </c>
      <c r="B607" s="16" t="s">
        <v>99</v>
      </c>
      <c r="C607" s="52" t="s">
        <v>80</v>
      </c>
      <c r="D607" s="35"/>
      <c r="E607" s="46" t="s">
        <v>608</v>
      </c>
      <c r="F607" s="95">
        <f t="shared" si="66"/>
        <v>10538.5</v>
      </c>
      <c r="G607" s="95">
        <f t="shared" si="66"/>
        <v>7755.1</v>
      </c>
      <c r="H607" s="58">
        <f t="shared" si="61"/>
        <v>73.599999999999994</v>
      </c>
    </row>
    <row r="608" spans="1:8" s="37" customFormat="1" ht="64.5" customHeight="1" x14ac:dyDescent="0.3">
      <c r="A608" s="16" t="s">
        <v>115</v>
      </c>
      <c r="B608" s="16" t="s">
        <v>99</v>
      </c>
      <c r="C608" s="57" t="s">
        <v>731</v>
      </c>
      <c r="D608" s="21"/>
      <c r="E608" s="100" t="s">
        <v>732</v>
      </c>
      <c r="F608" s="96">
        <f>F609+F610</f>
        <v>10538.5</v>
      </c>
      <c r="G608" s="96">
        <f>G609+G610</f>
        <v>7755.1</v>
      </c>
      <c r="H608" s="96">
        <f t="shared" si="61"/>
        <v>73.599999999999994</v>
      </c>
    </row>
    <row r="609" spans="1:8" s="37" customFormat="1" ht="39.6" x14ac:dyDescent="0.3">
      <c r="A609" s="16" t="s">
        <v>115</v>
      </c>
      <c r="B609" s="16" t="s">
        <v>99</v>
      </c>
      <c r="C609" s="57" t="s">
        <v>731</v>
      </c>
      <c r="D609" s="84" t="s">
        <v>212</v>
      </c>
      <c r="E609" s="100" t="s">
        <v>213</v>
      </c>
      <c r="F609" s="96">
        <v>260</v>
      </c>
      <c r="G609" s="39">
        <v>189.6</v>
      </c>
      <c r="H609" s="96">
        <f t="shared" si="61"/>
        <v>72.900000000000006</v>
      </c>
    </row>
    <row r="610" spans="1:8" s="37" customFormat="1" ht="26.4" x14ac:dyDescent="0.3">
      <c r="A610" s="16" t="s">
        <v>115</v>
      </c>
      <c r="B610" s="16" t="s">
        <v>99</v>
      </c>
      <c r="C610" s="57" t="s">
        <v>731</v>
      </c>
      <c r="D610" s="84" t="s">
        <v>265</v>
      </c>
      <c r="E610" s="100" t="s">
        <v>253</v>
      </c>
      <c r="F610" s="96">
        <v>10278.5</v>
      </c>
      <c r="G610" s="39">
        <v>7565.5</v>
      </c>
      <c r="H610" s="96">
        <f t="shared" si="61"/>
        <v>73.599999999999994</v>
      </c>
    </row>
    <row r="611" spans="1:8" s="37" customFormat="1" ht="68.25" customHeight="1" x14ac:dyDescent="0.3">
      <c r="A611" s="5" t="s">
        <v>115</v>
      </c>
      <c r="B611" s="5" t="s">
        <v>99</v>
      </c>
      <c r="C611" s="73" t="s">
        <v>40</v>
      </c>
      <c r="D611" s="3"/>
      <c r="E611" s="196" t="s">
        <v>730</v>
      </c>
      <c r="F611" s="59">
        <f t="shared" ref="F611:G611" si="67">F612</f>
        <v>27541.1</v>
      </c>
      <c r="G611" s="59">
        <f t="shared" si="67"/>
        <v>27541</v>
      </c>
      <c r="H611" s="62">
        <f t="shared" si="61"/>
        <v>100</v>
      </c>
    </row>
    <row r="612" spans="1:8" s="37" customFormat="1" ht="27" x14ac:dyDescent="0.3">
      <c r="A612" s="47" t="s">
        <v>115</v>
      </c>
      <c r="B612" s="47" t="s">
        <v>99</v>
      </c>
      <c r="C612" s="52" t="s">
        <v>41</v>
      </c>
      <c r="D612" s="35"/>
      <c r="E612" s="46" t="s">
        <v>89</v>
      </c>
      <c r="F612" s="95">
        <f>F613+F615+F617+F619+F621</f>
        <v>27541.1</v>
      </c>
      <c r="G612" s="95">
        <f>G613+G615+G617+G619+G621</f>
        <v>27541</v>
      </c>
      <c r="H612" s="58">
        <f t="shared" si="61"/>
        <v>100</v>
      </c>
    </row>
    <row r="613" spans="1:8" s="37" customFormat="1" ht="40.200000000000003" x14ac:dyDescent="0.3">
      <c r="A613" s="16" t="s">
        <v>115</v>
      </c>
      <c r="B613" s="16" t="s">
        <v>99</v>
      </c>
      <c r="C613" s="21" t="s">
        <v>313</v>
      </c>
      <c r="D613" s="3"/>
      <c r="E613" s="193" t="s">
        <v>203</v>
      </c>
      <c r="F613" s="41">
        <f t="shared" ref="F613:G613" si="68">F614</f>
        <v>629.20000000000005</v>
      </c>
      <c r="G613" s="41">
        <f t="shared" si="68"/>
        <v>629.20000000000005</v>
      </c>
      <c r="H613" s="96">
        <f t="shared" si="61"/>
        <v>100</v>
      </c>
    </row>
    <row r="614" spans="1:8" s="37" customFormat="1" ht="14.4" x14ac:dyDescent="0.3">
      <c r="A614" s="16" t="s">
        <v>115</v>
      </c>
      <c r="B614" s="16" t="s">
        <v>99</v>
      </c>
      <c r="C614" s="21" t="s">
        <v>313</v>
      </c>
      <c r="D614" s="84" t="s">
        <v>252</v>
      </c>
      <c r="E614" s="105" t="s">
        <v>251</v>
      </c>
      <c r="F614" s="41">
        <v>629.20000000000005</v>
      </c>
      <c r="G614" s="41">
        <v>629.20000000000005</v>
      </c>
      <c r="H614" s="96">
        <f t="shared" si="61"/>
        <v>100</v>
      </c>
    </row>
    <row r="615" spans="1:8" s="37" customFormat="1" ht="39.6" x14ac:dyDescent="0.3">
      <c r="A615" s="16" t="s">
        <v>115</v>
      </c>
      <c r="B615" s="16" t="s">
        <v>99</v>
      </c>
      <c r="C615" s="21" t="s">
        <v>414</v>
      </c>
      <c r="D615" s="84"/>
      <c r="E615" s="54" t="s">
        <v>413</v>
      </c>
      <c r="F615" s="41">
        <f>F616</f>
        <v>2516.8000000000002</v>
      </c>
      <c r="G615" s="41">
        <f t="shared" ref="G615" si="69">G616</f>
        <v>2516.8000000000002</v>
      </c>
      <c r="H615" s="96">
        <f t="shared" si="61"/>
        <v>100</v>
      </c>
    </row>
    <row r="616" spans="1:8" s="37" customFormat="1" ht="14.4" x14ac:dyDescent="0.3">
      <c r="A616" s="16" t="s">
        <v>115</v>
      </c>
      <c r="B616" s="16" t="s">
        <v>99</v>
      </c>
      <c r="C616" s="21" t="s">
        <v>414</v>
      </c>
      <c r="D616" s="84" t="s">
        <v>252</v>
      </c>
      <c r="E616" s="105" t="s">
        <v>251</v>
      </c>
      <c r="F616" s="41">
        <v>2516.8000000000002</v>
      </c>
      <c r="G616" s="41">
        <v>2516.8000000000002</v>
      </c>
      <c r="H616" s="96">
        <f t="shared" si="61"/>
        <v>100</v>
      </c>
    </row>
    <row r="617" spans="1:8" s="37" customFormat="1" ht="52.8" x14ac:dyDescent="0.3">
      <c r="A617" s="16" t="s">
        <v>115</v>
      </c>
      <c r="B617" s="16" t="s">
        <v>99</v>
      </c>
      <c r="C617" s="80">
        <v>1310210820</v>
      </c>
      <c r="D617" s="16"/>
      <c r="E617" s="100" t="s">
        <v>169</v>
      </c>
      <c r="F617" s="39">
        <f>F618</f>
        <v>1375.2999999999997</v>
      </c>
      <c r="G617" s="39">
        <f>G618</f>
        <v>1375.3</v>
      </c>
      <c r="H617" s="96">
        <f t="shared" si="61"/>
        <v>100</v>
      </c>
    </row>
    <row r="618" spans="1:8" s="37" customFormat="1" ht="14.4" x14ac:dyDescent="0.3">
      <c r="A618" s="16" t="s">
        <v>115</v>
      </c>
      <c r="B618" s="16" t="s">
        <v>99</v>
      </c>
      <c r="C618" s="80">
        <v>1310210820</v>
      </c>
      <c r="D618" s="84" t="s">
        <v>252</v>
      </c>
      <c r="E618" s="105" t="s">
        <v>251</v>
      </c>
      <c r="F618" s="39">
        <f>3469.1-2093.8</f>
        <v>1375.2999999999997</v>
      </c>
      <c r="G618" s="41">
        <v>1375.3</v>
      </c>
      <c r="H618" s="96">
        <f t="shared" si="61"/>
        <v>100</v>
      </c>
    </row>
    <row r="619" spans="1:8" ht="39.6" x14ac:dyDescent="0.25">
      <c r="A619" s="16" t="s">
        <v>115</v>
      </c>
      <c r="B619" s="16" t="s">
        <v>99</v>
      </c>
      <c r="C619" s="80" t="s">
        <v>353</v>
      </c>
      <c r="D619" s="16"/>
      <c r="E619" s="100" t="s">
        <v>322</v>
      </c>
      <c r="F619" s="39">
        <f>F620</f>
        <v>9626.9</v>
      </c>
      <c r="G619" s="39">
        <f>G620</f>
        <v>9626.7999999999993</v>
      </c>
      <c r="H619" s="96">
        <f t="shared" si="61"/>
        <v>100</v>
      </c>
    </row>
    <row r="620" spans="1:8" x14ac:dyDescent="0.25">
      <c r="A620" s="16" t="s">
        <v>115</v>
      </c>
      <c r="B620" s="16" t="s">
        <v>99</v>
      </c>
      <c r="C620" s="80" t="s">
        <v>353</v>
      </c>
      <c r="D620" s="84" t="s">
        <v>252</v>
      </c>
      <c r="E620" s="105" t="s">
        <v>251</v>
      </c>
      <c r="F620" s="39">
        <f>11563.4-1936.5</f>
        <v>9626.9</v>
      </c>
      <c r="G620" s="39">
        <v>9626.7999999999993</v>
      </c>
      <c r="H620" s="96">
        <f t="shared" si="61"/>
        <v>100</v>
      </c>
    </row>
    <row r="621" spans="1:8" ht="52.8" x14ac:dyDescent="0.25">
      <c r="A621" s="16" t="s">
        <v>115</v>
      </c>
      <c r="B621" s="16" t="s">
        <v>99</v>
      </c>
      <c r="C621" s="74" t="s">
        <v>345</v>
      </c>
      <c r="D621" s="16"/>
      <c r="E621" s="100" t="s">
        <v>330</v>
      </c>
      <c r="F621" s="96">
        <f t="shared" ref="F621:G621" si="70">F622</f>
        <v>13392.9</v>
      </c>
      <c r="G621" s="96">
        <f t="shared" si="70"/>
        <v>13392.9</v>
      </c>
      <c r="H621" s="96">
        <f t="shared" si="61"/>
        <v>100</v>
      </c>
    </row>
    <row r="622" spans="1:8" ht="26.4" x14ac:dyDescent="0.25">
      <c r="A622" s="16" t="s">
        <v>115</v>
      </c>
      <c r="B622" s="16" t="s">
        <v>99</v>
      </c>
      <c r="C622" s="74" t="s">
        <v>345</v>
      </c>
      <c r="D622" s="84" t="s">
        <v>265</v>
      </c>
      <c r="E622" s="100" t="s">
        <v>253</v>
      </c>
      <c r="F622" s="96">
        <f>2854.2+10714.3-175.6</f>
        <v>13392.9</v>
      </c>
      <c r="G622" s="41">
        <v>13392.9</v>
      </c>
      <c r="H622" s="96">
        <f t="shared" si="61"/>
        <v>100</v>
      </c>
    </row>
    <row r="623" spans="1:8" ht="15.6" x14ac:dyDescent="0.3">
      <c r="A623" s="4" t="s">
        <v>107</v>
      </c>
      <c r="B623" s="3"/>
      <c r="C623" s="3"/>
      <c r="D623" s="3"/>
      <c r="E623" s="49" t="s">
        <v>128</v>
      </c>
      <c r="F623" s="94">
        <f t="shared" ref="F623:G625" si="71">F624</f>
        <v>15796.3</v>
      </c>
      <c r="G623" s="94">
        <f t="shared" si="71"/>
        <v>10694.5</v>
      </c>
      <c r="H623" s="160">
        <f t="shared" si="61"/>
        <v>67.7</v>
      </c>
    </row>
    <row r="624" spans="1:8" ht="14.4" x14ac:dyDescent="0.3">
      <c r="A624" s="35" t="s">
        <v>107</v>
      </c>
      <c r="B624" s="35" t="s">
        <v>94</v>
      </c>
      <c r="C624" s="35"/>
      <c r="D624" s="35"/>
      <c r="E624" s="46" t="s">
        <v>6</v>
      </c>
      <c r="F624" s="42">
        <f t="shared" si="71"/>
        <v>15796.3</v>
      </c>
      <c r="G624" s="42">
        <f t="shared" si="71"/>
        <v>10694.5</v>
      </c>
      <c r="H624" s="42">
        <f t="shared" si="61"/>
        <v>67.7</v>
      </c>
    </row>
    <row r="625" spans="1:8" ht="63.75" customHeight="1" x14ac:dyDescent="0.3">
      <c r="A625" s="16" t="s">
        <v>107</v>
      </c>
      <c r="B625" s="16" t="s">
        <v>94</v>
      </c>
      <c r="C625" s="73" t="s">
        <v>65</v>
      </c>
      <c r="D625" s="35"/>
      <c r="E625" s="53" t="s">
        <v>673</v>
      </c>
      <c r="F625" s="62">
        <f t="shared" si="71"/>
        <v>15796.3</v>
      </c>
      <c r="G625" s="62">
        <f t="shared" si="71"/>
        <v>10694.5</v>
      </c>
      <c r="H625" s="62">
        <f t="shared" si="61"/>
        <v>67.7</v>
      </c>
    </row>
    <row r="626" spans="1:8" ht="27" x14ac:dyDescent="0.3">
      <c r="A626" s="47" t="s">
        <v>107</v>
      </c>
      <c r="B626" s="47" t="s">
        <v>94</v>
      </c>
      <c r="C626" s="52" t="s">
        <v>48</v>
      </c>
      <c r="D626" s="35"/>
      <c r="E626" s="48" t="s">
        <v>202</v>
      </c>
      <c r="F626" s="58">
        <f>F627+F629+F632</f>
        <v>15796.3</v>
      </c>
      <c r="G626" s="58">
        <f>G627+G629+G632</f>
        <v>10694.5</v>
      </c>
      <c r="H626" s="58">
        <f t="shared" si="61"/>
        <v>67.7</v>
      </c>
    </row>
    <row r="627" spans="1:8" ht="66" x14ac:dyDescent="0.25">
      <c r="A627" s="16" t="s">
        <v>107</v>
      </c>
      <c r="B627" s="16" t="s">
        <v>94</v>
      </c>
      <c r="C627" s="21" t="s">
        <v>733</v>
      </c>
      <c r="D627" s="21"/>
      <c r="E627" s="102" t="s">
        <v>178</v>
      </c>
      <c r="F627" s="39">
        <f>F628</f>
        <v>415.7</v>
      </c>
      <c r="G627" s="39">
        <f>G628</f>
        <v>415.7</v>
      </c>
      <c r="H627" s="96">
        <f t="shared" si="61"/>
        <v>100</v>
      </c>
    </row>
    <row r="628" spans="1:8" ht="39.6" x14ac:dyDescent="0.25">
      <c r="A628" s="16" t="s">
        <v>107</v>
      </c>
      <c r="B628" s="16" t="s">
        <v>94</v>
      </c>
      <c r="C628" s="21" t="s">
        <v>733</v>
      </c>
      <c r="D628" s="84" t="s">
        <v>212</v>
      </c>
      <c r="E628" s="100" t="s">
        <v>213</v>
      </c>
      <c r="F628" s="39">
        <v>415.7</v>
      </c>
      <c r="G628" s="39">
        <v>415.7</v>
      </c>
      <c r="H628" s="96">
        <f t="shared" si="61"/>
        <v>100</v>
      </c>
    </row>
    <row r="629" spans="1:8" ht="52.8" x14ac:dyDescent="0.25">
      <c r="A629" s="16" t="s">
        <v>107</v>
      </c>
      <c r="B629" s="16" t="s">
        <v>94</v>
      </c>
      <c r="C629" s="21" t="s">
        <v>734</v>
      </c>
      <c r="D629" s="21"/>
      <c r="E629" s="102" t="s">
        <v>67</v>
      </c>
      <c r="F629" s="39">
        <f>SUM(F630:F631)</f>
        <v>80.599999999999994</v>
      </c>
      <c r="G629" s="39">
        <f>SUM(G630:G631)</f>
        <v>80.5</v>
      </c>
      <c r="H629" s="96">
        <f t="shared" si="61"/>
        <v>99.9</v>
      </c>
    </row>
    <row r="630" spans="1:8" ht="26.4" x14ac:dyDescent="0.25">
      <c r="A630" s="16" t="s">
        <v>107</v>
      </c>
      <c r="B630" s="16" t="s">
        <v>94</v>
      </c>
      <c r="C630" s="21" t="s">
        <v>734</v>
      </c>
      <c r="D630" s="84" t="s">
        <v>70</v>
      </c>
      <c r="E630" s="55" t="s">
        <v>133</v>
      </c>
      <c r="F630" s="39">
        <v>44.6</v>
      </c>
      <c r="G630" s="39">
        <v>44.5</v>
      </c>
      <c r="H630" s="96">
        <f t="shared" si="61"/>
        <v>99.8</v>
      </c>
    </row>
    <row r="631" spans="1:8" s="37" customFormat="1" ht="39.6" x14ac:dyDescent="0.3">
      <c r="A631" s="16" t="s">
        <v>107</v>
      </c>
      <c r="B631" s="16" t="s">
        <v>94</v>
      </c>
      <c r="C631" s="21" t="s">
        <v>734</v>
      </c>
      <c r="D631" s="84" t="s">
        <v>212</v>
      </c>
      <c r="E631" s="100" t="s">
        <v>213</v>
      </c>
      <c r="F631" s="39">
        <v>36</v>
      </c>
      <c r="G631" s="39">
        <v>36</v>
      </c>
      <c r="H631" s="96">
        <f t="shared" si="61"/>
        <v>100</v>
      </c>
    </row>
    <row r="632" spans="1:8" ht="26.4" x14ac:dyDescent="0.25">
      <c r="A632" s="16" t="s">
        <v>107</v>
      </c>
      <c r="B632" s="16" t="s">
        <v>94</v>
      </c>
      <c r="C632" s="21" t="s">
        <v>735</v>
      </c>
      <c r="D632" s="84"/>
      <c r="E632" s="100" t="s">
        <v>736</v>
      </c>
      <c r="F632" s="39">
        <f>F633</f>
        <v>15300</v>
      </c>
      <c r="G632" s="39">
        <f>G633</f>
        <v>10198.299999999999</v>
      </c>
      <c r="H632" s="96">
        <f t="shared" si="61"/>
        <v>66.7</v>
      </c>
    </row>
    <row r="633" spans="1:8" ht="39.6" x14ac:dyDescent="0.25">
      <c r="A633" s="16" t="s">
        <v>107</v>
      </c>
      <c r="B633" s="16" t="s">
        <v>94</v>
      </c>
      <c r="C633" s="21" t="s">
        <v>735</v>
      </c>
      <c r="D633" s="84" t="s">
        <v>212</v>
      </c>
      <c r="E633" s="100" t="s">
        <v>213</v>
      </c>
      <c r="F633" s="39">
        <f>100+28+172+15000</f>
        <v>15300</v>
      </c>
      <c r="G633" s="39">
        <v>10198.299999999999</v>
      </c>
      <c r="H633" s="96">
        <f t="shared" si="61"/>
        <v>66.7</v>
      </c>
    </row>
    <row r="634" spans="1:8" ht="15.6" x14ac:dyDescent="0.3">
      <c r="A634" s="4" t="s">
        <v>127</v>
      </c>
      <c r="B634" s="3"/>
      <c r="C634" s="3"/>
      <c r="D634" s="3"/>
      <c r="E634" s="49" t="s">
        <v>8</v>
      </c>
      <c r="F634" s="94">
        <f t="shared" ref="F634:G636" si="72">F635</f>
        <v>3808.5</v>
      </c>
      <c r="G634" s="94">
        <f t="shared" si="72"/>
        <v>3807.5</v>
      </c>
      <c r="H634" s="160">
        <f t="shared" si="61"/>
        <v>100</v>
      </c>
    </row>
    <row r="635" spans="1:8" ht="28.8" x14ac:dyDescent="0.3">
      <c r="A635" s="35" t="s">
        <v>127</v>
      </c>
      <c r="B635" s="35" t="s">
        <v>99</v>
      </c>
      <c r="C635" s="35"/>
      <c r="D635" s="35"/>
      <c r="E635" s="50" t="s">
        <v>18</v>
      </c>
      <c r="F635" s="40">
        <f t="shared" si="72"/>
        <v>3808.5</v>
      </c>
      <c r="G635" s="40">
        <f t="shared" si="72"/>
        <v>3807.5</v>
      </c>
      <c r="H635" s="42">
        <f t="shared" si="61"/>
        <v>100</v>
      </c>
    </row>
    <row r="636" spans="1:8" s="37" customFormat="1" ht="60.75" customHeight="1" x14ac:dyDescent="0.3">
      <c r="A636" s="16" t="s">
        <v>127</v>
      </c>
      <c r="B636" s="16" t="s">
        <v>99</v>
      </c>
      <c r="C636" s="74">
        <v>400000000</v>
      </c>
      <c r="D636" s="30"/>
      <c r="E636" s="196" t="s">
        <v>503</v>
      </c>
      <c r="F636" s="98">
        <f t="shared" si="72"/>
        <v>3808.5</v>
      </c>
      <c r="G636" s="98">
        <f t="shared" si="72"/>
        <v>3807.5</v>
      </c>
      <c r="H636" s="62">
        <f t="shared" si="61"/>
        <v>100</v>
      </c>
    </row>
    <row r="637" spans="1:8" s="37" customFormat="1" ht="40.200000000000003" x14ac:dyDescent="0.3">
      <c r="A637" s="16" t="s">
        <v>127</v>
      </c>
      <c r="B637" s="16" t="s">
        <v>99</v>
      </c>
      <c r="C637" s="75">
        <v>420000000</v>
      </c>
      <c r="D637" s="30"/>
      <c r="E637" s="46" t="s">
        <v>167</v>
      </c>
      <c r="F637" s="95">
        <f>F638+F640+F642+F644+F646</f>
        <v>3808.5</v>
      </c>
      <c r="G637" s="95">
        <f>G638+G640+G642+G644+G646</f>
        <v>3807.5</v>
      </c>
      <c r="H637" s="58">
        <f t="shared" si="61"/>
        <v>100</v>
      </c>
    </row>
    <row r="638" spans="1:8" s="37" customFormat="1" ht="39.6" x14ac:dyDescent="0.3">
      <c r="A638" s="16" t="s">
        <v>127</v>
      </c>
      <c r="B638" s="16" t="s">
        <v>99</v>
      </c>
      <c r="C638" s="74" t="s">
        <v>314</v>
      </c>
      <c r="D638" s="16"/>
      <c r="E638" s="100" t="s">
        <v>370</v>
      </c>
      <c r="F638" s="41">
        <f>F639</f>
        <v>600</v>
      </c>
      <c r="G638" s="41">
        <f>G639</f>
        <v>600</v>
      </c>
      <c r="H638" s="96">
        <f t="shared" si="61"/>
        <v>100</v>
      </c>
    </row>
    <row r="639" spans="1:8" s="37" customFormat="1" ht="51" customHeight="1" x14ac:dyDescent="0.3">
      <c r="A639" s="16" t="s">
        <v>127</v>
      </c>
      <c r="B639" s="16" t="s">
        <v>99</v>
      </c>
      <c r="C639" s="74" t="s">
        <v>314</v>
      </c>
      <c r="D639" s="16" t="s">
        <v>23</v>
      </c>
      <c r="E639" s="102" t="s">
        <v>376</v>
      </c>
      <c r="F639" s="41">
        <f>300+300</f>
        <v>600</v>
      </c>
      <c r="G639" s="41">
        <f>300+300</f>
        <v>600</v>
      </c>
      <c r="H639" s="96">
        <f t="shared" si="61"/>
        <v>100</v>
      </c>
    </row>
    <row r="640" spans="1:8" s="37" customFormat="1" ht="53.4" x14ac:dyDescent="0.3">
      <c r="A640" s="16" t="s">
        <v>127</v>
      </c>
      <c r="B640" s="16" t="s">
        <v>99</v>
      </c>
      <c r="C640" s="74">
        <v>420123230</v>
      </c>
      <c r="D640" s="16"/>
      <c r="E640" s="102" t="s">
        <v>737</v>
      </c>
      <c r="F640" s="41">
        <f>F641</f>
        <v>1300</v>
      </c>
      <c r="G640" s="41">
        <f>G641</f>
        <v>1300</v>
      </c>
      <c r="H640" s="96">
        <f t="shared" si="61"/>
        <v>100</v>
      </c>
    </row>
    <row r="641" spans="1:8" s="37" customFormat="1" ht="39.6" x14ac:dyDescent="0.3">
      <c r="A641" s="16" t="s">
        <v>127</v>
      </c>
      <c r="B641" s="16" t="s">
        <v>99</v>
      </c>
      <c r="C641" s="74">
        <v>420123230</v>
      </c>
      <c r="D641" s="84" t="s">
        <v>212</v>
      </c>
      <c r="E641" s="100" t="s">
        <v>213</v>
      </c>
      <c r="F641" s="41">
        <f>1290+10</f>
        <v>1300</v>
      </c>
      <c r="G641" s="41">
        <f>1290+10</f>
        <v>1300</v>
      </c>
      <c r="H641" s="96">
        <f t="shared" si="61"/>
        <v>100</v>
      </c>
    </row>
    <row r="642" spans="1:8" s="37" customFormat="1" ht="40.200000000000003" x14ac:dyDescent="0.3">
      <c r="A642" s="16" t="s">
        <v>127</v>
      </c>
      <c r="B642" s="16" t="s">
        <v>99</v>
      </c>
      <c r="C642" s="74">
        <v>420110320</v>
      </c>
      <c r="D642" s="148"/>
      <c r="E642" s="191" t="s">
        <v>738</v>
      </c>
      <c r="F642" s="41">
        <f>F643</f>
        <v>896.4</v>
      </c>
      <c r="G642" s="41">
        <f>G643</f>
        <v>896.4</v>
      </c>
      <c r="H642" s="96">
        <f t="shared" si="61"/>
        <v>100</v>
      </c>
    </row>
    <row r="643" spans="1:8" s="37" customFormat="1" ht="50.25" customHeight="1" x14ac:dyDescent="0.3">
      <c r="A643" s="16" t="s">
        <v>127</v>
      </c>
      <c r="B643" s="16" t="s">
        <v>99</v>
      </c>
      <c r="C643" s="74">
        <v>420110320</v>
      </c>
      <c r="D643" s="16" t="s">
        <v>23</v>
      </c>
      <c r="E643" s="102" t="s">
        <v>376</v>
      </c>
      <c r="F643" s="41">
        <v>896.4</v>
      </c>
      <c r="G643" s="41">
        <v>896.4</v>
      </c>
      <c r="H643" s="96">
        <f t="shared" si="61"/>
        <v>100</v>
      </c>
    </row>
    <row r="644" spans="1:8" s="37" customFormat="1" ht="52.8" x14ac:dyDescent="0.3">
      <c r="A644" s="16" t="s">
        <v>127</v>
      </c>
      <c r="B644" s="16" t="s">
        <v>99</v>
      </c>
      <c r="C644" s="74">
        <v>420223235</v>
      </c>
      <c r="D644" s="30"/>
      <c r="E644" s="100" t="s">
        <v>739</v>
      </c>
      <c r="F644" s="41">
        <f>F645</f>
        <v>575.29999999999995</v>
      </c>
      <c r="G644" s="41">
        <f>G645</f>
        <v>575.29999999999995</v>
      </c>
      <c r="H644" s="96">
        <f t="shared" si="61"/>
        <v>100</v>
      </c>
    </row>
    <row r="645" spans="1:8" s="37" customFormat="1" ht="39.6" x14ac:dyDescent="0.3">
      <c r="A645" s="16" t="s">
        <v>127</v>
      </c>
      <c r="B645" s="16" t="s">
        <v>99</v>
      </c>
      <c r="C645" s="74">
        <v>420223235</v>
      </c>
      <c r="D645" s="84" t="s">
        <v>212</v>
      </c>
      <c r="E645" s="100" t="s">
        <v>213</v>
      </c>
      <c r="F645" s="41">
        <v>575.29999999999995</v>
      </c>
      <c r="G645" s="41">
        <v>575.29999999999995</v>
      </c>
      <c r="H645" s="96">
        <f t="shared" si="61"/>
        <v>100</v>
      </c>
    </row>
    <row r="646" spans="1:8" s="37" customFormat="1" ht="52.5" customHeight="1" x14ac:dyDescent="0.3">
      <c r="A646" s="16" t="s">
        <v>127</v>
      </c>
      <c r="B646" s="16" t="s">
        <v>99</v>
      </c>
      <c r="C646" s="74">
        <v>420223240</v>
      </c>
      <c r="D646" s="84"/>
      <c r="E646" s="100" t="s">
        <v>740</v>
      </c>
      <c r="F646" s="41">
        <f>F647</f>
        <v>436.8</v>
      </c>
      <c r="G646" s="41">
        <f>G647</f>
        <v>435.8</v>
      </c>
      <c r="H646" s="96">
        <f t="shared" si="61"/>
        <v>99.8</v>
      </c>
    </row>
    <row r="647" spans="1:8" s="37" customFormat="1" ht="39.6" x14ac:dyDescent="0.3">
      <c r="A647" s="16" t="s">
        <v>127</v>
      </c>
      <c r="B647" s="16" t="s">
        <v>99</v>
      </c>
      <c r="C647" s="74">
        <v>420223240</v>
      </c>
      <c r="D647" s="84" t="s">
        <v>212</v>
      </c>
      <c r="E647" s="100" t="s">
        <v>213</v>
      </c>
      <c r="F647" s="41">
        <v>436.8</v>
      </c>
      <c r="G647" s="101">
        <v>435.8</v>
      </c>
      <c r="H647" s="96">
        <f t="shared" si="61"/>
        <v>99.8</v>
      </c>
    </row>
    <row r="648" spans="1:8" s="37" customFormat="1" ht="30.75" customHeight="1" x14ac:dyDescent="0.3">
      <c r="A648" s="4" t="s">
        <v>9</v>
      </c>
      <c r="B648" s="5"/>
      <c r="C648" s="148"/>
      <c r="D648" s="148"/>
      <c r="E648" s="10" t="s">
        <v>741</v>
      </c>
      <c r="F648" s="98">
        <f t="shared" ref="F648:G651" si="73">F649</f>
        <v>3</v>
      </c>
      <c r="G648" s="98">
        <f t="shared" si="73"/>
        <v>3</v>
      </c>
      <c r="H648" s="160">
        <f t="shared" si="61"/>
        <v>100</v>
      </c>
    </row>
    <row r="649" spans="1:8" s="37" customFormat="1" ht="26.25" customHeight="1" x14ac:dyDescent="0.3">
      <c r="A649" s="47" t="s">
        <v>9</v>
      </c>
      <c r="B649" s="47" t="s">
        <v>93</v>
      </c>
      <c r="C649" s="23"/>
      <c r="D649" s="23"/>
      <c r="E649" s="48" t="s">
        <v>742</v>
      </c>
      <c r="F649" s="95">
        <f t="shared" si="73"/>
        <v>3</v>
      </c>
      <c r="G649" s="95">
        <f t="shared" si="73"/>
        <v>3</v>
      </c>
      <c r="H649" s="42">
        <f t="shared" si="61"/>
        <v>100</v>
      </c>
    </row>
    <row r="650" spans="1:8" s="37" customFormat="1" ht="29.25" customHeight="1" x14ac:dyDescent="0.3">
      <c r="A650" s="84" t="s">
        <v>9</v>
      </c>
      <c r="B650" s="84" t="s">
        <v>93</v>
      </c>
      <c r="C650" s="84" t="s">
        <v>29</v>
      </c>
      <c r="D650" s="84"/>
      <c r="E650" s="102" t="s">
        <v>43</v>
      </c>
      <c r="F650" s="39">
        <f t="shared" si="73"/>
        <v>3</v>
      </c>
      <c r="G650" s="39">
        <f t="shared" si="73"/>
        <v>3</v>
      </c>
      <c r="H650" s="96">
        <f t="shared" si="61"/>
        <v>100</v>
      </c>
    </row>
    <row r="651" spans="1:8" s="37" customFormat="1" ht="27" x14ac:dyDescent="0.3">
      <c r="A651" s="84" t="s">
        <v>9</v>
      </c>
      <c r="B651" s="84" t="s">
        <v>93</v>
      </c>
      <c r="C651" s="148">
        <v>9940026500</v>
      </c>
      <c r="D651" s="148"/>
      <c r="E651" s="190" t="s">
        <v>12</v>
      </c>
      <c r="F651" s="39">
        <f t="shared" si="73"/>
        <v>3</v>
      </c>
      <c r="G651" s="39">
        <f t="shared" si="73"/>
        <v>3</v>
      </c>
      <c r="H651" s="58">
        <f t="shared" si="61"/>
        <v>100</v>
      </c>
    </row>
    <row r="652" spans="1:8" s="37" customFormat="1" ht="14.4" x14ac:dyDescent="0.3">
      <c r="A652" s="84" t="s">
        <v>9</v>
      </c>
      <c r="B652" s="84" t="s">
        <v>93</v>
      </c>
      <c r="C652" s="148">
        <v>9940026500</v>
      </c>
      <c r="D652" s="84" t="s">
        <v>16</v>
      </c>
      <c r="E652" s="148" t="s">
        <v>17</v>
      </c>
      <c r="F652" s="39">
        <f>4.2-1.2</f>
        <v>3</v>
      </c>
      <c r="G652" s="96">
        <v>3</v>
      </c>
      <c r="H652" s="96">
        <f t="shared" si="61"/>
        <v>100</v>
      </c>
    </row>
    <row r="654" spans="1:8" x14ac:dyDescent="0.25">
      <c r="F654" s="106"/>
    </row>
  </sheetData>
  <mergeCells count="10">
    <mergeCell ref="A8:H8"/>
    <mergeCell ref="A11:A13"/>
    <mergeCell ref="B11:B13"/>
    <mergeCell ref="C11:C13"/>
    <mergeCell ref="D11:D13"/>
    <mergeCell ref="E11:E13"/>
    <mergeCell ref="F11:G11"/>
    <mergeCell ref="F12:F13"/>
    <mergeCell ref="G12:G13"/>
    <mergeCell ref="H11:H13"/>
  </mergeCells>
  <phoneticPr fontId="2" type="noConversion"/>
  <pageMargins left="0.27559055118110237" right="0.19685039370078741" top="0.3543307086614173" bottom="0.3543307086614173" header="0" footer="0"/>
  <pageSetup paperSize="9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1"/>
  <sheetViews>
    <sheetView topLeftCell="B1" workbookViewId="0">
      <selection activeCell="G17" sqref="G17"/>
    </sheetView>
  </sheetViews>
  <sheetFormatPr defaultColWidth="9.109375" defaultRowHeight="13.2" x14ac:dyDescent="0.25"/>
  <cols>
    <col min="1" max="1" width="2.33203125" style="92" hidden="1" customWidth="1"/>
    <col min="2" max="2" width="3.6640625" style="68" customWidth="1"/>
    <col min="3" max="3" width="2.88671875" style="92" customWidth="1"/>
    <col min="4" max="4" width="2.5546875" style="92" customWidth="1"/>
    <col min="5" max="5" width="11.5546875" style="92" customWidth="1"/>
    <col min="6" max="6" width="3.44140625" style="92" customWidth="1"/>
    <col min="7" max="7" width="36.44140625" style="92" customWidth="1"/>
    <col min="8" max="8" width="11.109375" style="92" customWidth="1"/>
    <col min="9" max="9" width="10.33203125" style="92" customWidth="1"/>
    <col min="10" max="10" width="7.33203125" style="92" customWidth="1"/>
    <col min="11" max="16384" width="9.109375" style="92"/>
  </cols>
  <sheetData>
    <row r="1" spans="1:10" x14ac:dyDescent="0.25">
      <c r="G1" s="89" t="s">
        <v>445</v>
      </c>
    </row>
    <row r="2" spans="1:10" x14ac:dyDescent="0.25">
      <c r="G2" s="89" t="s">
        <v>388</v>
      </c>
    </row>
    <row r="3" spans="1:10" x14ac:dyDescent="0.25">
      <c r="G3" s="89" t="s">
        <v>422</v>
      </c>
    </row>
    <row r="4" spans="1:10" x14ac:dyDescent="0.25">
      <c r="G4" s="89" t="s">
        <v>423</v>
      </c>
    </row>
    <row r="5" spans="1:10" x14ac:dyDescent="0.25">
      <c r="G5" s="89" t="s">
        <v>476</v>
      </c>
    </row>
    <row r="7" spans="1:10" ht="72.75" customHeight="1" x14ac:dyDescent="0.25">
      <c r="A7" s="235" t="s">
        <v>743</v>
      </c>
      <c r="B7" s="251"/>
      <c r="C7" s="251"/>
      <c r="D7" s="251"/>
      <c r="E7" s="251"/>
      <c r="F7" s="251"/>
      <c r="G7" s="251"/>
      <c r="H7" s="251"/>
      <c r="I7" s="252"/>
      <c r="J7" s="252"/>
    </row>
    <row r="8" spans="1:10" ht="15" x14ac:dyDescent="0.25">
      <c r="A8" s="164"/>
      <c r="B8" s="167"/>
      <c r="C8" s="167"/>
      <c r="D8" s="167"/>
      <c r="E8" s="167"/>
      <c r="F8" s="167"/>
      <c r="G8" s="167"/>
      <c r="H8" s="167"/>
    </row>
    <row r="9" spans="1:10" x14ac:dyDescent="0.25">
      <c r="B9" s="253" t="s">
        <v>132</v>
      </c>
      <c r="C9" s="246" t="s">
        <v>122</v>
      </c>
      <c r="D9" s="246" t="s">
        <v>123</v>
      </c>
      <c r="E9" s="246" t="s">
        <v>124</v>
      </c>
      <c r="F9" s="246" t="s">
        <v>118</v>
      </c>
      <c r="G9" s="246" t="s">
        <v>95</v>
      </c>
      <c r="H9" s="249" t="s">
        <v>32</v>
      </c>
      <c r="I9" s="250"/>
      <c r="J9" s="243" t="s">
        <v>421</v>
      </c>
    </row>
    <row r="10" spans="1:10" ht="12.75" customHeight="1" x14ac:dyDescent="0.25">
      <c r="A10" s="254" t="s">
        <v>92</v>
      </c>
      <c r="B10" s="234"/>
      <c r="C10" s="247"/>
      <c r="D10" s="247"/>
      <c r="E10" s="247"/>
      <c r="F10" s="247"/>
      <c r="G10" s="247"/>
      <c r="H10" s="243" t="s">
        <v>420</v>
      </c>
      <c r="I10" s="243" t="s">
        <v>474</v>
      </c>
      <c r="J10" s="247"/>
    </row>
    <row r="11" spans="1:10" ht="46.2" customHeight="1" x14ac:dyDescent="0.25">
      <c r="A11" s="255"/>
      <c r="B11" s="234"/>
      <c r="C11" s="248"/>
      <c r="D11" s="248"/>
      <c r="E11" s="248"/>
      <c r="F11" s="248"/>
      <c r="G11" s="248"/>
      <c r="H11" s="245"/>
      <c r="I11" s="245"/>
      <c r="J11" s="248"/>
    </row>
    <row r="12" spans="1:10" x14ac:dyDescent="0.25">
      <c r="A12" s="2">
        <v>1</v>
      </c>
      <c r="B12" s="69">
        <v>1</v>
      </c>
      <c r="C12" s="69">
        <v>2</v>
      </c>
      <c r="D12" s="69">
        <v>3</v>
      </c>
      <c r="E12" s="69">
        <v>4</v>
      </c>
      <c r="F12" s="69">
        <v>5</v>
      </c>
      <c r="G12" s="69">
        <v>6</v>
      </c>
      <c r="H12" s="69">
        <v>7</v>
      </c>
      <c r="I12" s="69">
        <v>8</v>
      </c>
      <c r="J12" s="69">
        <v>9</v>
      </c>
    </row>
    <row r="13" spans="1:10" ht="17.399999999999999" x14ac:dyDescent="0.3">
      <c r="A13" s="12"/>
      <c r="B13" s="25"/>
      <c r="C13" s="12"/>
      <c r="D13" s="12"/>
      <c r="E13" s="12"/>
      <c r="F13" s="12"/>
      <c r="G13" s="9" t="s">
        <v>97</v>
      </c>
      <c r="H13" s="59">
        <f>H14+H24+H31+H445+H604+H734</f>
        <v>1262150.0000000002</v>
      </c>
      <c r="I13" s="59">
        <f>I14+I24+I31+I445+I604+I734</f>
        <v>1212838.3</v>
      </c>
      <c r="J13" s="160">
        <f t="shared" ref="J13:J44" si="0">ROUND((I13/H13*100),1)</f>
        <v>96.1</v>
      </c>
    </row>
    <row r="14" spans="1:10" ht="34.799999999999997" x14ac:dyDescent="0.3">
      <c r="A14" s="3">
        <v>1</v>
      </c>
      <c r="B14" s="93">
        <v>936</v>
      </c>
      <c r="C14" s="13"/>
      <c r="D14" s="13"/>
      <c r="E14" s="13"/>
      <c r="F14" s="13"/>
      <c r="G14" s="14" t="s">
        <v>139</v>
      </c>
      <c r="H14" s="94">
        <f t="shared" ref="H14:I17" si="1">H15</f>
        <v>3590.5</v>
      </c>
      <c r="I14" s="94">
        <f t="shared" si="1"/>
        <v>3541.8</v>
      </c>
      <c r="J14" s="160">
        <f t="shared" si="0"/>
        <v>98.6</v>
      </c>
    </row>
    <row r="15" spans="1:10" ht="15.6" x14ac:dyDescent="0.3">
      <c r="A15" s="3"/>
      <c r="B15" s="93"/>
      <c r="C15" s="4" t="s">
        <v>93</v>
      </c>
      <c r="D15" s="11"/>
      <c r="E15" s="11"/>
      <c r="F15" s="11"/>
      <c r="G15" s="49" t="s">
        <v>96</v>
      </c>
      <c r="H15" s="94">
        <f t="shared" si="1"/>
        <v>3590.5</v>
      </c>
      <c r="I15" s="94">
        <f t="shared" si="1"/>
        <v>3541.8</v>
      </c>
      <c r="J15" s="160">
        <f t="shared" si="0"/>
        <v>98.6</v>
      </c>
    </row>
    <row r="16" spans="1:10" ht="66.599999999999994" x14ac:dyDescent="0.3">
      <c r="A16" s="29"/>
      <c r="B16" s="24"/>
      <c r="C16" s="30" t="s">
        <v>93</v>
      </c>
      <c r="D16" s="30" t="s">
        <v>98</v>
      </c>
      <c r="E16" s="31"/>
      <c r="F16" s="31"/>
      <c r="G16" s="48" t="s">
        <v>131</v>
      </c>
      <c r="H16" s="43">
        <f t="shared" si="1"/>
        <v>3590.5</v>
      </c>
      <c r="I16" s="43">
        <f t="shared" si="1"/>
        <v>3541.8</v>
      </c>
      <c r="J16" s="42">
        <f t="shared" si="0"/>
        <v>98.6</v>
      </c>
    </row>
    <row r="17" spans="1:10" ht="26.4" x14ac:dyDescent="0.25">
      <c r="A17" s="148"/>
      <c r="B17" s="25"/>
      <c r="C17" s="16" t="s">
        <v>93</v>
      </c>
      <c r="D17" s="16" t="s">
        <v>98</v>
      </c>
      <c r="E17" s="80">
        <v>9900000000</v>
      </c>
      <c r="F17" s="21"/>
      <c r="G17" s="55" t="s">
        <v>145</v>
      </c>
      <c r="H17" s="41">
        <f t="shared" si="1"/>
        <v>3590.5</v>
      </c>
      <c r="I17" s="41">
        <f t="shared" si="1"/>
        <v>3541.8</v>
      </c>
      <c r="J17" s="96">
        <f t="shared" si="0"/>
        <v>98.6</v>
      </c>
    </row>
    <row r="18" spans="1:10" ht="39.6" x14ac:dyDescent="0.25">
      <c r="A18" s="148"/>
      <c r="B18" s="25"/>
      <c r="C18" s="16" t="s">
        <v>93</v>
      </c>
      <c r="D18" s="16" t="s">
        <v>98</v>
      </c>
      <c r="E18" s="80">
        <v>9990000000</v>
      </c>
      <c r="F18" s="16"/>
      <c r="G18" s="54" t="s">
        <v>33</v>
      </c>
      <c r="H18" s="41">
        <f t="shared" ref="H18:I18" si="2">H19+H21</f>
        <v>3590.5</v>
      </c>
      <c r="I18" s="41">
        <f t="shared" si="2"/>
        <v>3541.8</v>
      </c>
      <c r="J18" s="96">
        <f t="shared" si="0"/>
        <v>98.6</v>
      </c>
    </row>
    <row r="19" spans="1:10" x14ac:dyDescent="0.25">
      <c r="A19" s="148"/>
      <c r="B19" s="25"/>
      <c r="C19" s="16" t="s">
        <v>93</v>
      </c>
      <c r="D19" s="16" t="s">
        <v>98</v>
      </c>
      <c r="E19" s="80">
        <v>9990022400</v>
      </c>
      <c r="F19" s="16"/>
      <c r="G19" s="100" t="s">
        <v>140</v>
      </c>
      <c r="H19" s="41">
        <f t="shared" ref="H19:I19" si="3">H20</f>
        <v>1270.5</v>
      </c>
      <c r="I19" s="41">
        <f t="shared" si="3"/>
        <v>1255</v>
      </c>
      <c r="J19" s="96">
        <f t="shared" si="0"/>
        <v>98.8</v>
      </c>
    </row>
    <row r="20" spans="1:10" ht="39.6" x14ac:dyDescent="0.25">
      <c r="A20" s="148"/>
      <c r="B20" s="25"/>
      <c r="C20" s="16" t="s">
        <v>93</v>
      </c>
      <c r="D20" s="16" t="s">
        <v>98</v>
      </c>
      <c r="E20" s="80">
        <v>9990022400</v>
      </c>
      <c r="F20" s="16" t="s">
        <v>68</v>
      </c>
      <c r="G20" s="55" t="s">
        <v>69</v>
      </c>
      <c r="H20" s="39">
        <v>1270.5</v>
      </c>
      <c r="I20" s="39">
        <v>1255</v>
      </c>
      <c r="J20" s="96">
        <f t="shared" si="0"/>
        <v>98.8</v>
      </c>
    </row>
    <row r="21" spans="1:10" ht="26.4" x14ac:dyDescent="0.25">
      <c r="A21" s="148"/>
      <c r="B21" s="25"/>
      <c r="C21" s="16" t="s">
        <v>93</v>
      </c>
      <c r="D21" s="16" t="s">
        <v>98</v>
      </c>
      <c r="E21" s="80">
        <v>9990022500</v>
      </c>
      <c r="F21" s="21"/>
      <c r="G21" s="102" t="s">
        <v>483</v>
      </c>
      <c r="H21" s="41">
        <f>SUM(H22:H23)</f>
        <v>2320</v>
      </c>
      <c r="I21" s="41">
        <f>SUM(I22:I23)</f>
        <v>2286.8000000000002</v>
      </c>
      <c r="J21" s="96">
        <f t="shared" si="0"/>
        <v>98.6</v>
      </c>
    </row>
    <row r="22" spans="1:10" ht="39.6" x14ac:dyDescent="0.25">
      <c r="A22" s="148"/>
      <c r="B22" s="25"/>
      <c r="C22" s="16" t="s">
        <v>93</v>
      </c>
      <c r="D22" s="16" t="s">
        <v>98</v>
      </c>
      <c r="E22" s="80">
        <v>9990022500</v>
      </c>
      <c r="F22" s="16" t="s">
        <v>68</v>
      </c>
      <c r="G22" s="55" t="s">
        <v>69</v>
      </c>
      <c r="H22" s="39">
        <f>2168.1-18.2+48.6</f>
        <v>2198.5</v>
      </c>
      <c r="I22" s="39">
        <v>2167.3000000000002</v>
      </c>
      <c r="J22" s="96">
        <f t="shared" si="0"/>
        <v>98.6</v>
      </c>
    </row>
    <row r="23" spans="1:10" ht="39.6" x14ac:dyDescent="0.25">
      <c r="A23" s="148"/>
      <c r="B23" s="25"/>
      <c r="C23" s="16" t="s">
        <v>93</v>
      </c>
      <c r="D23" s="16" t="s">
        <v>98</v>
      </c>
      <c r="E23" s="80">
        <v>9990022500</v>
      </c>
      <c r="F23" s="84" t="s">
        <v>212</v>
      </c>
      <c r="G23" s="100" t="s">
        <v>213</v>
      </c>
      <c r="H23" s="39">
        <f>103.3+18.2</f>
        <v>121.5</v>
      </c>
      <c r="I23" s="39">
        <v>119.5</v>
      </c>
      <c r="J23" s="96">
        <f t="shared" si="0"/>
        <v>98.4</v>
      </c>
    </row>
    <row r="24" spans="1:10" ht="46.8" x14ac:dyDescent="0.3">
      <c r="A24" s="148"/>
      <c r="B24" s="93">
        <v>939</v>
      </c>
      <c r="C24" s="13"/>
      <c r="D24" s="13"/>
      <c r="E24" s="13"/>
      <c r="F24" s="13"/>
      <c r="G24" s="10" t="s">
        <v>201</v>
      </c>
      <c r="H24" s="94">
        <f t="shared" ref="H24:H27" si="4">H25</f>
        <v>1574.3999999999999</v>
      </c>
      <c r="I24" s="94">
        <f t="shared" ref="I24:I27" si="5">I25</f>
        <v>1557.5</v>
      </c>
      <c r="J24" s="160">
        <f t="shared" si="0"/>
        <v>98.9</v>
      </c>
    </row>
    <row r="25" spans="1:10" ht="15.6" x14ac:dyDescent="0.3">
      <c r="A25" s="148"/>
      <c r="B25" s="93"/>
      <c r="C25" s="4" t="s">
        <v>93</v>
      </c>
      <c r="D25" s="11"/>
      <c r="E25" s="11"/>
      <c r="F25" s="11"/>
      <c r="G25" s="49" t="s">
        <v>96</v>
      </c>
      <c r="H25" s="94">
        <f t="shared" si="4"/>
        <v>1574.3999999999999</v>
      </c>
      <c r="I25" s="94">
        <f t="shared" si="5"/>
        <v>1557.5</v>
      </c>
      <c r="J25" s="160">
        <f t="shared" si="0"/>
        <v>98.9</v>
      </c>
    </row>
    <row r="26" spans="1:10" ht="53.25" customHeight="1" x14ac:dyDescent="0.3">
      <c r="A26" s="148"/>
      <c r="B26" s="24"/>
      <c r="C26" s="30" t="s">
        <v>93</v>
      </c>
      <c r="D26" s="30" t="s">
        <v>101</v>
      </c>
      <c r="E26" s="31"/>
      <c r="F26" s="31"/>
      <c r="G26" s="46" t="s">
        <v>130</v>
      </c>
      <c r="H26" s="95">
        <f t="shared" si="4"/>
        <v>1574.3999999999999</v>
      </c>
      <c r="I26" s="95">
        <f t="shared" si="5"/>
        <v>1557.5</v>
      </c>
      <c r="J26" s="42">
        <f t="shared" si="0"/>
        <v>98.9</v>
      </c>
    </row>
    <row r="27" spans="1:10" ht="39.6" x14ac:dyDescent="0.25">
      <c r="A27" s="148"/>
      <c r="B27" s="24"/>
      <c r="C27" s="16" t="s">
        <v>93</v>
      </c>
      <c r="D27" s="84" t="s">
        <v>101</v>
      </c>
      <c r="E27" s="80">
        <v>9990000000</v>
      </c>
      <c r="F27" s="16"/>
      <c r="G27" s="54" t="s">
        <v>33</v>
      </c>
      <c r="H27" s="39">
        <f t="shared" si="4"/>
        <v>1574.3999999999999</v>
      </c>
      <c r="I27" s="39">
        <f t="shared" si="5"/>
        <v>1557.5</v>
      </c>
      <c r="J27" s="96">
        <f t="shared" si="0"/>
        <v>98.9</v>
      </c>
    </row>
    <row r="28" spans="1:10" ht="26.4" x14ac:dyDescent="0.25">
      <c r="A28" s="148"/>
      <c r="B28" s="25"/>
      <c r="C28" s="16" t="s">
        <v>93</v>
      </c>
      <c r="D28" s="84" t="s">
        <v>101</v>
      </c>
      <c r="E28" s="80">
        <v>9990022300</v>
      </c>
      <c r="F28" s="21"/>
      <c r="G28" s="190" t="s">
        <v>201</v>
      </c>
      <c r="H28" s="41">
        <f>H29+H30</f>
        <v>1574.3999999999999</v>
      </c>
      <c r="I28" s="41">
        <f>I29+I30</f>
        <v>1557.5</v>
      </c>
      <c r="J28" s="96">
        <f t="shared" si="0"/>
        <v>98.9</v>
      </c>
    </row>
    <row r="29" spans="1:10" ht="39.6" x14ac:dyDescent="0.25">
      <c r="A29" s="148"/>
      <c r="B29" s="25"/>
      <c r="C29" s="16" t="s">
        <v>93</v>
      </c>
      <c r="D29" s="84" t="s">
        <v>101</v>
      </c>
      <c r="E29" s="80">
        <v>9990022300</v>
      </c>
      <c r="F29" s="16" t="s">
        <v>68</v>
      </c>
      <c r="G29" s="190" t="s">
        <v>84</v>
      </c>
      <c r="H29" s="39">
        <f>1554.1-3.1-14.7+16.8</f>
        <v>1553.1</v>
      </c>
      <c r="I29" s="39">
        <v>1536.2</v>
      </c>
      <c r="J29" s="96">
        <f t="shared" si="0"/>
        <v>98.9</v>
      </c>
    </row>
    <row r="30" spans="1:10" ht="39.6" x14ac:dyDescent="0.25">
      <c r="A30" s="148"/>
      <c r="B30" s="25"/>
      <c r="C30" s="16" t="s">
        <v>93</v>
      </c>
      <c r="D30" s="84" t="s">
        <v>101</v>
      </c>
      <c r="E30" s="80">
        <v>9990022300</v>
      </c>
      <c r="F30" s="84" t="s">
        <v>212</v>
      </c>
      <c r="G30" s="100" t="s">
        <v>213</v>
      </c>
      <c r="H30" s="39">
        <f>3.5+3.1+14.7</f>
        <v>21.299999999999997</v>
      </c>
      <c r="I30" s="39">
        <f>3.5+3.1+14.7</f>
        <v>21.299999999999997</v>
      </c>
      <c r="J30" s="96">
        <f t="shared" si="0"/>
        <v>100</v>
      </c>
    </row>
    <row r="31" spans="1:10" s="8" customFormat="1" ht="52.2" x14ac:dyDescent="0.3">
      <c r="A31" s="3">
        <v>2</v>
      </c>
      <c r="B31" s="93">
        <v>937</v>
      </c>
      <c r="C31" s="13"/>
      <c r="D31" s="13"/>
      <c r="E31" s="13"/>
      <c r="F31" s="13"/>
      <c r="G31" s="14" t="s">
        <v>197</v>
      </c>
      <c r="H31" s="59">
        <f>H32+H90+H127+H227+H396+H429</f>
        <v>475456.3</v>
      </c>
      <c r="I31" s="59">
        <f>I32+I90+I127+I227+I396+I429</f>
        <v>436112.4</v>
      </c>
      <c r="J31" s="160">
        <f t="shared" si="0"/>
        <v>91.7</v>
      </c>
    </row>
    <row r="32" spans="1:10" ht="15.6" x14ac:dyDescent="0.3">
      <c r="A32" s="3"/>
      <c r="B32" s="93"/>
      <c r="C32" s="4" t="s">
        <v>93</v>
      </c>
      <c r="D32" s="11"/>
      <c r="E32" s="11"/>
      <c r="F32" s="11"/>
      <c r="G32" s="15" t="s">
        <v>96</v>
      </c>
      <c r="H32" s="94">
        <f>H33+H38+H49+H54</f>
        <v>118251</v>
      </c>
      <c r="I32" s="94">
        <f>I33+I38+I49+I54</f>
        <v>99819.3</v>
      </c>
      <c r="J32" s="160">
        <f t="shared" si="0"/>
        <v>84.4</v>
      </c>
    </row>
    <row r="33" spans="1:10" ht="53.4" x14ac:dyDescent="0.3">
      <c r="A33" s="3"/>
      <c r="B33" s="93"/>
      <c r="C33" s="30" t="s">
        <v>93</v>
      </c>
      <c r="D33" s="30" t="s">
        <v>94</v>
      </c>
      <c r="E33" s="30"/>
      <c r="F33" s="30"/>
      <c r="G33" s="46" t="s">
        <v>21</v>
      </c>
      <c r="H33" s="40">
        <f t="shared" ref="H33:I33" si="6">H34</f>
        <v>1580</v>
      </c>
      <c r="I33" s="40">
        <f t="shared" si="6"/>
        <v>1580</v>
      </c>
      <c r="J33" s="42">
        <f t="shared" si="0"/>
        <v>100</v>
      </c>
    </row>
    <row r="34" spans="1:10" ht="26.4" x14ac:dyDescent="0.3">
      <c r="A34" s="3"/>
      <c r="B34" s="93"/>
      <c r="C34" s="16" t="s">
        <v>93</v>
      </c>
      <c r="D34" s="16" t="s">
        <v>94</v>
      </c>
      <c r="E34" s="80">
        <v>9900000000</v>
      </c>
      <c r="F34" s="16"/>
      <c r="G34" s="55" t="s">
        <v>144</v>
      </c>
      <c r="H34" s="41">
        <f t="shared" ref="H34:I34" si="7">H36</f>
        <v>1580</v>
      </c>
      <c r="I34" s="41">
        <f t="shared" si="7"/>
        <v>1580</v>
      </c>
      <c r="J34" s="96">
        <f t="shared" si="0"/>
        <v>100</v>
      </c>
    </row>
    <row r="35" spans="1:10" ht="39.6" x14ac:dyDescent="0.3">
      <c r="A35" s="3"/>
      <c r="B35" s="93"/>
      <c r="C35" s="16" t="s">
        <v>93</v>
      </c>
      <c r="D35" s="16" t="s">
        <v>94</v>
      </c>
      <c r="E35" s="80">
        <v>9980000000</v>
      </c>
      <c r="F35" s="16"/>
      <c r="G35" s="54" t="s">
        <v>34</v>
      </c>
      <c r="H35" s="41">
        <f t="shared" ref="H35:H36" si="8">H36</f>
        <v>1580</v>
      </c>
      <c r="I35" s="41">
        <f t="shared" ref="I35:I36" si="9">I36</f>
        <v>1580</v>
      </c>
      <c r="J35" s="96">
        <f t="shared" si="0"/>
        <v>100</v>
      </c>
    </row>
    <row r="36" spans="1:10" ht="15.6" x14ac:dyDescent="0.3">
      <c r="A36" s="3"/>
      <c r="B36" s="93"/>
      <c r="C36" s="16" t="s">
        <v>93</v>
      </c>
      <c r="D36" s="16" t="s">
        <v>94</v>
      </c>
      <c r="E36" s="80">
        <v>9980022100</v>
      </c>
      <c r="F36" s="16"/>
      <c r="G36" s="102" t="s">
        <v>119</v>
      </c>
      <c r="H36" s="39">
        <f t="shared" si="8"/>
        <v>1580</v>
      </c>
      <c r="I36" s="39">
        <f t="shared" si="9"/>
        <v>1580</v>
      </c>
      <c r="J36" s="96">
        <f t="shared" si="0"/>
        <v>100</v>
      </c>
    </row>
    <row r="37" spans="1:10" ht="40.200000000000003" x14ac:dyDescent="0.3">
      <c r="A37" s="3"/>
      <c r="B37" s="93"/>
      <c r="C37" s="16" t="s">
        <v>93</v>
      </c>
      <c r="D37" s="16" t="s">
        <v>94</v>
      </c>
      <c r="E37" s="80">
        <v>9980022100</v>
      </c>
      <c r="F37" s="16" t="s">
        <v>68</v>
      </c>
      <c r="G37" s="190" t="s">
        <v>84</v>
      </c>
      <c r="H37" s="39">
        <v>1580</v>
      </c>
      <c r="I37" s="39">
        <v>1580</v>
      </c>
      <c r="J37" s="96">
        <f t="shared" si="0"/>
        <v>100</v>
      </c>
    </row>
    <row r="38" spans="1:10" s="26" customFormat="1" ht="79.8" x14ac:dyDescent="0.3">
      <c r="A38" s="23"/>
      <c r="B38" s="24"/>
      <c r="C38" s="30" t="s">
        <v>93</v>
      </c>
      <c r="D38" s="30" t="s">
        <v>99</v>
      </c>
      <c r="E38" s="30"/>
      <c r="F38" s="30"/>
      <c r="G38" s="46" t="s">
        <v>129</v>
      </c>
      <c r="H38" s="40">
        <f t="shared" ref="H38:I38" si="10">H39</f>
        <v>46735.7</v>
      </c>
      <c r="I38" s="40">
        <f t="shared" si="10"/>
        <v>46427.7</v>
      </c>
      <c r="J38" s="42">
        <f t="shared" si="0"/>
        <v>99.3</v>
      </c>
    </row>
    <row r="39" spans="1:10" ht="26.4" x14ac:dyDescent="0.25">
      <c r="A39" s="148"/>
      <c r="B39" s="25"/>
      <c r="C39" s="16" t="s">
        <v>93</v>
      </c>
      <c r="D39" s="16" t="s">
        <v>99</v>
      </c>
      <c r="E39" s="80">
        <v>9900000000</v>
      </c>
      <c r="F39" s="16"/>
      <c r="G39" s="55" t="s">
        <v>144</v>
      </c>
      <c r="H39" s="39">
        <f>H40+H44</f>
        <v>46735.7</v>
      </c>
      <c r="I39" s="39">
        <f>I40+I44</f>
        <v>46427.7</v>
      </c>
      <c r="J39" s="96">
        <f t="shared" si="0"/>
        <v>99.3</v>
      </c>
    </row>
    <row r="40" spans="1:10" ht="26.4" x14ac:dyDescent="0.25">
      <c r="A40" s="148"/>
      <c r="B40" s="25"/>
      <c r="C40" s="16" t="s">
        <v>93</v>
      </c>
      <c r="D40" s="16" t="s">
        <v>99</v>
      </c>
      <c r="E40" s="80">
        <v>9930000000</v>
      </c>
      <c r="F40" s="16"/>
      <c r="G40" s="22" t="s">
        <v>45</v>
      </c>
      <c r="H40" s="39">
        <f t="shared" ref="H40:I40" si="11">H41</f>
        <v>398</v>
      </c>
      <c r="I40" s="39">
        <f t="shared" si="11"/>
        <v>398</v>
      </c>
      <c r="J40" s="96">
        <f t="shared" si="0"/>
        <v>100</v>
      </c>
    </row>
    <row r="41" spans="1:10" ht="66" x14ac:dyDescent="0.25">
      <c r="A41" s="148"/>
      <c r="B41" s="25"/>
      <c r="C41" s="16" t="s">
        <v>93</v>
      </c>
      <c r="D41" s="16" t="s">
        <v>99</v>
      </c>
      <c r="E41" s="80">
        <v>9930010510</v>
      </c>
      <c r="F41" s="16"/>
      <c r="G41" s="22" t="s">
        <v>19</v>
      </c>
      <c r="H41" s="39">
        <f>H42+H43</f>
        <v>398</v>
      </c>
      <c r="I41" s="39">
        <f>I42+I43</f>
        <v>398</v>
      </c>
      <c r="J41" s="96">
        <f t="shared" si="0"/>
        <v>100</v>
      </c>
    </row>
    <row r="42" spans="1:10" ht="39.6" x14ac:dyDescent="0.25">
      <c r="A42" s="148"/>
      <c r="B42" s="25"/>
      <c r="C42" s="16" t="s">
        <v>93</v>
      </c>
      <c r="D42" s="16" t="s">
        <v>99</v>
      </c>
      <c r="E42" s="80">
        <v>9930010510</v>
      </c>
      <c r="F42" s="16" t="s">
        <v>68</v>
      </c>
      <c r="G42" s="105" t="s">
        <v>69</v>
      </c>
      <c r="H42" s="39">
        <v>357.6</v>
      </c>
      <c r="I42" s="39">
        <v>357.6</v>
      </c>
      <c r="J42" s="96">
        <f t="shared" si="0"/>
        <v>100</v>
      </c>
    </row>
    <row r="43" spans="1:10" ht="39.6" x14ac:dyDescent="0.25">
      <c r="A43" s="148"/>
      <c r="B43" s="25"/>
      <c r="C43" s="16" t="s">
        <v>93</v>
      </c>
      <c r="D43" s="16" t="s">
        <v>99</v>
      </c>
      <c r="E43" s="80">
        <v>9930010510</v>
      </c>
      <c r="F43" s="84" t="s">
        <v>212</v>
      </c>
      <c r="G43" s="100" t="s">
        <v>213</v>
      </c>
      <c r="H43" s="39">
        <v>40.4</v>
      </c>
      <c r="I43" s="39">
        <v>40.4</v>
      </c>
      <c r="J43" s="96">
        <f t="shared" si="0"/>
        <v>100</v>
      </c>
    </row>
    <row r="44" spans="1:10" ht="39.6" x14ac:dyDescent="0.25">
      <c r="A44" s="148"/>
      <c r="B44" s="25"/>
      <c r="C44" s="16" t="s">
        <v>93</v>
      </c>
      <c r="D44" s="16" t="s">
        <v>99</v>
      </c>
      <c r="E44" s="80">
        <v>9980000000</v>
      </c>
      <c r="F44" s="16"/>
      <c r="G44" s="54" t="s">
        <v>34</v>
      </c>
      <c r="H44" s="39">
        <f t="shared" ref="H44" si="12">H45</f>
        <v>46337.7</v>
      </c>
      <c r="I44" s="39">
        <f t="shared" ref="I44" si="13">I45</f>
        <v>46029.7</v>
      </c>
      <c r="J44" s="96">
        <f t="shared" si="0"/>
        <v>99.3</v>
      </c>
    </row>
    <row r="45" spans="1:10" x14ac:dyDescent="0.25">
      <c r="A45" s="148"/>
      <c r="B45" s="25"/>
      <c r="C45" s="16" t="s">
        <v>93</v>
      </c>
      <c r="D45" s="16" t="s">
        <v>99</v>
      </c>
      <c r="E45" s="192">
        <v>9980022200</v>
      </c>
      <c r="F45" s="21"/>
      <c r="G45" s="102" t="s">
        <v>120</v>
      </c>
      <c r="H45" s="39">
        <f>SUM(H46:H48)</f>
        <v>46337.7</v>
      </c>
      <c r="I45" s="39">
        <f>SUM(I46:I48)</f>
        <v>46029.7</v>
      </c>
      <c r="J45" s="96">
        <f t="shared" ref="J45:J65" si="14">ROUND((I45/H45*100),1)</f>
        <v>99.3</v>
      </c>
    </row>
    <row r="46" spans="1:10" ht="39.6" x14ac:dyDescent="0.25">
      <c r="A46" s="148"/>
      <c r="B46" s="25"/>
      <c r="C46" s="16" t="s">
        <v>93</v>
      </c>
      <c r="D46" s="16" t="s">
        <v>99</v>
      </c>
      <c r="E46" s="192">
        <v>9980022200</v>
      </c>
      <c r="F46" s="16" t="s">
        <v>68</v>
      </c>
      <c r="G46" s="55" t="s">
        <v>69</v>
      </c>
      <c r="H46" s="39">
        <f>42052.6-96.1-206.9+1453.1+0.1</f>
        <v>43202.799999999996</v>
      </c>
      <c r="I46" s="39">
        <v>43012.9</v>
      </c>
      <c r="J46" s="96">
        <f t="shared" si="14"/>
        <v>99.6</v>
      </c>
    </row>
    <row r="47" spans="1:10" ht="39.6" x14ac:dyDescent="0.25">
      <c r="A47" s="148"/>
      <c r="B47" s="25"/>
      <c r="C47" s="16" t="s">
        <v>93</v>
      </c>
      <c r="D47" s="16" t="s">
        <v>99</v>
      </c>
      <c r="E47" s="192">
        <v>9980022200</v>
      </c>
      <c r="F47" s="84" t="s">
        <v>212</v>
      </c>
      <c r="G47" s="100" t="s">
        <v>213</v>
      </c>
      <c r="H47" s="39">
        <f>2743+44.5+96.1+211.7</f>
        <v>3095.2999999999997</v>
      </c>
      <c r="I47" s="39">
        <v>2977.2</v>
      </c>
      <c r="J47" s="96">
        <f t="shared" si="14"/>
        <v>96.2</v>
      </c>
    </row>
    <row r="48" spans="1:10" ht="20.25" customHeight="1" x14ac:dyDescent="0.25">
      <c r="A48" s="148"/>
      <c r="B48" s="25"/>
      <c r="C48" s="16" t="s">
        <v>93</v>
      </c>
      <c r="D48" s="16" t="s">
        <v>99</v>
      </c>
      <c r="E48" s="192">
        <v>9980022200</v>
      </c>
      <c r="F48" s="84" t="s">
        <v>134</v>
      </c>
      <c r="G48" s="100" t="s">
        <v>135</v>
      </c>
      <c r="H48" s="41">
        <f>44.4-4.8</f>
        <v>39.6</v>
      </c>
      <c r="I48" s="41">
        <v>39.6</v>
      </c>
      <c r="J48" s="96">
        <f t="shared" si="14"/>
        <v>100</v>
      </c>
    </row>
    <row r="49" spans="1:10" ht="14.4" x14ac:dyDescent="0.3">
      <c r="A49" s="148"/>
      <c r="B49" s="25"/>
      <c r="C49" s="35" t="s">
        <v>93</v>
      </c>
      <c r="D49" s="35" t="s">
        <v>100</v>
      </c>
      <c r="E49" s="35"/>
      <c r="F49" s="35"/>
      <c r="G49" s="46" t="s">
        <v>293</v>
      </c>
      <c r="H49" s="42">
        <f t="shared" ref="H49" si="15">SUM(H50)</f>
        <v>96.3</v>
      </c>
      <c r="I49" s="42">
        <f t="shared" ref="I49" si="16">SUM(I50)</f>
        <v>96.3</v>
      </c>
      <c r="J49" s="42">
        <f t="shared" si="14"/>
        <v>100</v>
      </c>
    </row>
    <row r="50" spans="1:10" ht="26.4" x14ac:dyDescent="0.25">
      <c r="A50" s="148"/>
      <c r="B50" s="25"/>
      <c r="C50" s="16" t="s">
        <v>93</v>
      </c>
      <c r="D50" s="84" t="s">
        <v>100</v>
      </c>
      <c r="E50" s="80">
        <v>9900000000</v>
      </c>
      <c r="F50" s="16"/>
      <c r="G50" s="55" t="s">
        <v>145</v>
      </c>
      <c r="H50" s="39">
        <f t="shared" ref="H50:H52" si="17">H51</f>
        <v>96.3</v>
      </c>
      <c r="I50" s="39">
        <f t="shared" ref="I50:I52" si="18">I51</f>
        <v>96.3</v>
      </c>
      <c r="J50" s="96">
        <f t="shared" si="14"/>
        <v>100</v>
      </c>
    </row>
    <row r="51" spans="1:10" ht="26.4" x14ac:dyDescent="0.25">
      <c r="A51" s="148"/>
      <c r="B51" s="25"/>
      <c r="C51" s="16" t="s">
        <v>93</v>
      </c>
      <c r="D51" s="84" t="s">
        <v>100</v>
      </c>
      <c r="E51" s="80">
        <v>9930000000</v>
      </c>
      <c r="F51" s="16"/>
      <c r="G51" s="22" t="s">
        <v>45</v>
      </c>
      <c r="H51" s="39">
        <f t="shared" si="17"/>
        <v>96.3</v>
      </c>
      <c r="I51" s="39">
        <f t="shared" si="18"/>
        <v>96.3</v>
      </c>
      <c r="J51" s="96">
        <f t="shared" si="14"/>
        <v>100</v>
      </c>
    </row>
    <row r="52" spans="1:10" ht="66" x14ac:dyDescent="0.25">
      <c r="A52" s="148"/>
      <c r="B52" s="25"/>
      <c r="C52" s="16" t="s">
        <v>93</v>
      </c>
      <c r="D52" s="84" t="s">
        <v>100</v>
      </c>
      <c r="E52" s="80">
        <v>9930051200</v>
      </c>
      <c r="F52" s="16"/>
      <c r="G52" s="54" t="s">
        <v>286</v>
      </c>
      <c r="H52" s="39">
        <f t="shared" si="17"/>
        <v>96.3</v>
      </c>
      <c r="I52" s="39">
        <f t="shared" si="18"/>
        <v>96.3</v>
      </c>
      <c r="J52" s="96">
        <f t="shared" si="14"/>
        <v>100</v>
      </c>
    </row>
    <row r="53" spans="1:10" ht="39.6" x14ac:dyDescent="0.25">
      <c r="A53" s="148"/>
      <c r="B53" s="25"/>
      <c r="C53" s="16" t="s">
        <v>93</v>
      </c>
      <c r="D53" s="84" t="s">
        <v>100</v>
      </c>
      <c r="E53" s="80">
        <v>9930051200</v>
      </c>
      <c r="F53" s="84" t="s">
        <v>212</v>
      </c>
      <c r="G53" s="100" t="s">
        <v>213</v>
      </c>
      <c r="H53" s="115">
        <v>96.3</v>
      </c>
      <c r="I53" s="115">
        <v>96.3</v>
      </c>
      <c r="J53" s="96">
        <f t="shared" si="14"/>
        <v>100</v>
      </c>
    </row>
    <row r="54" spans="1:10" ht="18" customHeight="1" x14ac:dyDescent="0.3">
      <c r="A54" s="148"/>
      <c r="B54" s="24"/>
      <c r="C54" s="30" t="s">
        <v>93</v>
      </c>
      <c r="D54" s="30" t="s">
        <v>9</v>
      </c>
      <c r="E54" s="33"/>
      <c r="F54" s="33"/>
      <c r="G54" s="46" t="s">
        <v>102</v>
      </c>
      <c r="H54" s="40">
        <f>H55+H71</f>
        <v>69839</v>
      </c>
      <c r="I54" s="40">
        <f>I55+I71</f>
        <v>51715.3</v>
      </c>
      <c r="J54" s="42">
        <f t="shared" si="14"/>
        <v>74</v>
      </c>
    </row>
    <row r="55" spans="1:10" ht="24.75" customHeight="1" x14ac:dyDescent="0.25">
      <c r="A55" s="148"/>
      <c r="B55" s="25"/>
      <c r="C55" s="16" t="s">
        <v>93</v>
      </c>
      <c r="D55" s="16" t="s">
        <v>9</v>
      </c>
      <c r="E55" s="73" t="s">
        <v>75</v>
      </c>
      <c r="F55" s="16"/>
      <c r="G55" s="194" t="s">
        <v>484</v>
      </c>
      <c r="H55" s="98">
        <f t="shared" ref="H55:I55" si="19">H56</f>
        <v>32080.899999999998</v>
      </c>
      <c r="I55" s="98">
        <f t="shared" si="19"/>
        <v>15131.3</v>
      </c>
      <c r="J55" s="62">
        <f t="shared" si="14"/>
        <v>47.2</v>
      </c>
    </row>
    <row r="56" spans="1:10" ht="39.6" x14ac:dyDescent="0.25">
      <c r="A56" s="148"/>
      <c r="B56" s="25"/>
      <c r="C56" s="16" t="s">
        <v>93</v>
      </c>
      <c r="D56" s="16" t="s">
        <v>9</v>
      </c>
      <c r="E56" s="52" t="s">
        <v>76</v>
      </c>
      <c r="F56" s="16"/>
      <c r="G56" s="48" t="s">
        <v>158</v>
      </c>
      <c r="H56" s="95">
        <f>H57+H60</f>
        <v>32080.899999999998</v>
      </c>
      <c r="I56" s="95">
        <f>I57+I60</f>
        <v>15131.3</v>
      </c>
      <c r="J56" s="58">
        <f t="shared" si="14"/>
        <v>47.2</v>
      </c>
    </row>
    <row r="57" spans="1:10" ht="39.6" x14ac:dyDescent="0.25">
      <c r="A57" s="148"/>
      <c r="B57" s="25"/>
      <c r="C57" s="16" t="s">
        <v>93</v>
      </c>
      <c r="D57" s="16" t="s">
        <v>9</v>
      </c>
      <c r="E57" s="21" t="s">
        <v>246</v>
      </c>
      <c r="F57" s="16"/>
      <c r="G57" s="102" t="s">
        <v>247</v>
      </c>
      <c r="H57" s="101">
        <f t="shared" ref="H57:I58" si="20">H58</f>
        <v>349</v>
      </c>
      <c r="I57" s="101">
        <f t="shared" si="20"/>
        <v>309</v>
      </c>
      <c r="J57" s="96">
        <f t="shared" si="14"/>
        <v>88.5</v>
      </c>
    </row>
    <row r="58" spans="1:10" s="26" customFormat="1" ht="37.5" customHeight="1" x14ac:dyDescent="0.25">
      <c r="A58" s="23"/>
      <c r="B58" s="25"/>
      <c r="C58" s="16" t="s">
        <v>93</v>
      </c>
      <c r="D58" s="16" t="s">
        <v>9</v>
      </c>
      <c r="E58" s="84" t="s">
        <v>485</v>
      </c>
      <c r="F58" s="16"/>
      <c r="G58" s="99" t="s">
        <v>159</v>
      </c>
      <c r="H58" s="41">
        <f t="shared" si="20"/>
        <v>349</v>
      </c>
      <c r="I58" s="41">
        <f t="shared" si="20"/>
        <v>309</v>
      </c>
      <c r="J58" s="96">
        <f t="shared" si="14"/>
        <v>88.5</v>
      </c>
    </row>
    <row r="59" spans="1:10" ht="39.6" x14ac:dyDescent="0.25">
      <c r="A59" s="148"/>
      <c r="B59" s="25"/>
      <c r="C59" s="16" t="s">
        <v>93</v>
      </c>
      <c r="D59" s="16" t="s">
        <v>9</v>
      </c>
      <c r="E59" s="84" t="s">
        <v>485</v>
      </c>
      <c r="F59" s="84" t="s">
        <v>212</v>
      </c>
      <c r="G59" s="100" t="s">
        <v>213</v>
      </c>
      <c r="H59" s="41">
        <f>250+100-1</f>
        <v>349</v>
      </c>
      <c r="I59" s="41">
        <v>309</v>
      </c>
      <c r="J59" s="96">
        <f t="shared" si="14"/>
        <v>88.5</v>
      </c>
    </row>
    <row r="60" spans="1:10" ht="66" x14ac:dyDescent="0.25">
      <c r="A60" s="148"/>
      <c r="B60" s="25"/>
      <c r="C60" s="16" t="s">
        <v>93</v>
      </c>
      <c r="D60" s="16" t="s">
        <v>9</v>
      </c>
      <c r="E60" s="21" t="s">
        <v>248</v>
      </c>
      <c r="F60" s="84"/>
      <c r="G60" s="102" t="s">
        <v>249</v>
      </c>
      <c r="H60" s="41">
        <f>H61+H63+H65+H69</f>
        <v>31731.899999999998</v>
      </c>
      <c r="I60" s="41">
        <f>I61+I63+I65+I69</f>
        <v>14822.3</v>
      </c>
      <c r="J60" s="96">
        <f t="shared" si="14"/>
        <v>46.7</v>
      </c>
    </row>
    <row r="61" spans="1:10" ht="52.8" x14ac:dyDescent="0.25">
      <c r="A61" s="148"/>
      <c r="B61" s="25"/>
      <c r="C61" s="16" t="s">
        <v>93</v>
      </c>
      <c r="D61" s="16" t="s">
        <v>9</v>
      </c>
      <c r="E61" s="195" t="s">
        <v>486</v>
      </c>
      <c r="F61" s="16"/>
      <c r="G61" s="99" t="s">
        <v>160</v>
      </c>
      <c r="H61" s="41">
        <f>H62</f>
        <v>237</v>
      </c>
      <c r="I61" s="41">
        <f>I62</f>
        <v>237</v>
      </c>
      <c r="J61" s="96">
        <f t="shared" si="14"/>
        <v>100</v>
      </c>
    </row>
    <row r="62" spans="1:10" ht="39.6" x14ac:dyDescent="0.25">
      <c r="A62" s="148"/>
      <c r="B62" s="25"/>
      <c r="C62" s="16" t="s">
        <v>93</v>
      </c>
      <c r="D62" s="16" t="s">
        <v>9</v>
      </c>
      <c r="E62" s="195" t="s">
        <v>486</v>
      </c>
      <c r="F62" s="84" t="s">
        <v>212</v>
      </c>
      <c r="G62" s="100" t="s">
        <v>213</v>
      </c>
      <c r="H62" s="41">
        <f>100+50+50+36+1</f>
        <v>237</v>
      </c>
      <c r="I62" s="41">
        <f>100+50+50+36+1</f>
        <v>237</v>
      </c>
      <c r="J62" s="96">
        <f t="shared" si="14"/>
        <v>100</v>
      </c>
    </row>
    <row r="63" spans="1:10" ht="79.2" x14ac:dyDescent="0.25">
      <c r="A63" s="148"/>
      <c r="B63" s="25"/>
      <c r="C63" s="16" t="s">
        <v>93</v>
      </c>
      <c r="D63" s="16" t="s">
        <v>9</v>
      </c>
      <c r="E63" s="195" t="s">
        <v>487</v>
      </c>
      <c r="F63" s="16"/>
      <c r="G63" s="99" t="s">
        <v>161</v>
      </c>
      <c r="H63" s="41">
        <f>H64</f>
        <v>209</v>
      </c>
      <c r="I63" s="41">
        <f>I64</f>
        <v>209</v>
      </c>
      <c r="J63" s="96">
        <f t="shared" si="14"/>
        <v>100</v>
      </c>
    </row>
    <row r="64" spans="1:10" ht="39.6" x14ac:dyDescent="0.25">
      <c r="A64" s="148"/>
      <c r="B64" s="25"/>
      <c r="C64" s="16" t="s">
        <v>93</v>
      </c>
      <c r="D64" s="16" t="s">
        <v>9</v>
      </c>
      <c r="E64" s="195" t="s">
        <v>487</v>
      </c>
      <c r="F64" s="84" t="s">
        <v>212</v>
      </c>
      <c r="G64" s="100" t="s">
        <v>213</v>
      </c>
      <c r="H64" s="41">
        <f>110+99</f>
        <v>209</v>
      </c>
      <c r="I64" s="41">
        <f>110+99</f>
        <v>209</v>
      </c>
      <c r="J64" s="96">
        <f t="shared" si="14"/>
        <v>100</v>
      </c>
    </row>
    <row r="65" spans="1:10" ht="39.6" x14ac:dyDescent="0.25">
      <c r="A65" s="148"/>
      <c r="B65" s="25"/>
      <c r="C65" s="16" t="s">
        <v>93</v>
      </c>
      <c r="D65" s="16" t="s">
        <v>9</v>
      </c>
      <c r="E65" s="195" t="s">
        <v>488</v>
      </c>
      <c r="F65" s="16"/>
      <c r="G65" s="99" t="s">
        <v>162</v>
      </c>
      <c r="H65" s="41">
        <f>SUM(H66:H68)</f>
        <v>29285.899999999998</v>
      </c>
      <c r="I65" s="41">
        <f>SUM(I66:I68)</f>
        <v>12376.3</v>
      </c>
      <c r="J65" s="96">
        <f t="shared" si="14"/>
        <v>42.3</v>
      </c>
    </row>
    <row r="66" spans="1:10" ht="39.6" x14ac:dyDescent="0.25">
      <c r="A66" s="148"/>
      <c r="B66" s="25"/>
      <c r="C66" s="16" t="s">
        <v>93</v>
      </c>
      <c r="D66" s="16" t="s">
        <v>9</v>
      </c>
      <c r="E66" s="195" t="s">
        <v>488</v>
      </c>
      <c r="F66" s="84" t="s">
        <v>212</v>
      </c>
      <c r="G66" s="100" t="s">
        <v>213</v>
      </c>
      <c r="H66" s="109">
        <f>7420.6+1496+2743.1+363.3-50-100-692.1+200+1800-50-36+180+1497.8+15650+13.8-1497.8</f>
        <v>28938.699999999997</v>
      </c>
      <c r="I66" s="41">
        <v>12029.1</v>
      </c>
      <c r="J66" s="96">
        <f>ROUND((прил.6!E233/H66*100),1)</f>
        <v>41.6</v>
      </c>
    </row>
    <row r="67" spans="1:10" x14ac:dyDescent="0.25">
      <c r="A67" s="148"/>
      <c r="B67" s="25"/>
      <c r="C67" s="16" t="s">
        <v>93</v>
      </c>
      <c r="D67" s="16" t="s">
        <v>9</v>
      </c>
      <c r="E67" s="195" t="s">
        <v>488</v>
      </c>
      <c r="F67" s="84" t="s">
        <v>308</v>
      </c>
      <c r="G67" s="54" t="s">
        <v>309</v>
      </c>
      <c r="H67" s="41">
        <f>0.2+286.2</f>
        <v>286.39999999999998</v>
      </c>
      <c r="I67" s="41">
        <v>286.39999999999998</v>
      </c>
      <c r="J67" s="96">
        <f>ROUND((прил.6!E234/H67*100),1)</f>
        <v>100</v>
      </c>
    </row>
    <row r="68" spans="1:10" ht="17.25" customHeight="1" x14ac:dyDescent="0.25">
      <c r="A68" s="148"/>
      <c r="B68" s="25"/>
      <c r="C68" s="16" t="s">
        <v>93</v>
      </c>
      <c r="D68" s="16" t="s">
        <v>9</v>
      </c>
      <c r="E68" s="195" t="s">
        <v>488</v>
      </c>
      <c r="F68" s="84" t="s">
        <v>134</v>
      </c>
      <c r="G68" s="100" t="s">
        <v>135</v>
      </c>
      <c r="H68" s="41">
        <v>60.8</v>
      </c>
      <c r="I68" s="158">
        <v>60.8</v>
      </c>
      <c r="J68" s="96">
        <f>ROUND((прил.6!E235/H68*100),1)</f>
        <v>100</v>
      </c>
    </row>
    <row r="69" spans="1:10" ht="39.6" x14ac:dyDescent="0.25">
      <c r="A69" s="148"/>
      <c r="B69" s="25"/>
      <c r="C69" s="16" t="s">
        <v>93</v>
      </c>
      <c r="D69" s="16" t="s">
        <v>9</v>
      </c>
      <c r="E69" s="195" t="s">
        <v>489</v>
      </c>
      <c r="F69" s="84"/>
      <c r="G69" s="100" t="s">
        <v>490</v>
      </c>
      <c r="H69" s="41">
        <f>H70</f>
        <v>2000</v>
      </c>
      <c r="I69" s="41">
        <f>I70</f>
        <v>2000</v>
      </c>
      <c r="J69" s="96">
        <f t="shared" ref="J69:J77" si="21">ROUND((I69/H69*100),1)</f>
        <v>100</v>
      </c>
    </row>
    <row r="70" spans="1:10" ht="66" x14ac:dyDescent="0.25">
      <c r="A70" s="148"/>
      <c r="B70" s="25"/>
      <c r="C70" s="16" t="s">
        <v>93</v>
      </c>
      <c r="D70" s="16" t="s">
        <v>9</v>
      </c>
      <c r="E70" s="195" t="s">
        <v>489</v>
      </c>
      <c r="F70" s="83" t="s">
        <v>14</v>
      </c>
      <c r="G70" s="100" t="s">
        <v>380</v>
      </c>
      <c r="H70" s="41">
        <v>2000</v>
      </c>
      <c r="I70" s="41">
        <v>2000</v>
      </c>
      <c r="J70" s="96">
        <f t="shared" si="21"/>
        <v>100</v>
      </c>
    </row>
    <row r="71" spans="1:10" ht="33" customHeight="1" x14ac:dyDescent="0.25">
      <c r="A71" s="148"/>
      <c r="B71" s="25"/>
      <c r="C71" s="5" t="s">
        <v>93</v>
      </c>
      <c r="D71" s="5" t="s">
        <v>9</v>
      </c>
      <c r="E71" s="85">
        <v>9900000000</v>
      </c>
      <c r="F71" s="5"/>
      <c r="G71" s="86" t="s">
        <v>144</v>
      </c>
      <c r="H71" s="98">
        <f>H72+H76+H81</f>
        <v>37758.1</v>
      </c>
      <c r="I71" s="98">
        <f>I72+I76+I81</f>
        <v>36584</v>
      </c>
      <c r="J71" s="62">
        <f t="shared" si="21"/>
        <v>96.9</v>
      </c>
    </row>
    <row r="72" spans="1:10" ht="26.4" x14ac:dyDescent="0.25">
      <c r="A72" s="148"/>
      <c r="B72" s="25"/>
      <c r="C72" s="16" t="s">
        <v>93</v>
      </c>
      <c r="D72" s="16" t="s">
        <v>9</v>
      </c>
      <c r="E72" s="80">
        <v>9930000000</v>
      </c>
      <c r="F72" s="16"/>
      <c r="G72" s="22" t="s">
        <v>45</v>
      </c>
      <c r="H72" s="39">
        <f>H73</f>
        <v>217</v>
      </c>
      <c r="I72" s="39">
        <f>I73</f>
        <v>212</v>
      </c>
      <c r="J72" s="96">
        <f t="shared" si="21"/>
        <v>97.7</v>
      </c>
    </row>
    <row r="73" spans="1:10" ht="39.6" x14ac:dyDescent="0.25">
      <c r="A73" s="148"/>
      <c r="B73" s="25"/>
      <c r="C73" s="16" t="s">
        <v>93</v>
      </c>
      <c r="D73" s="16" t="s">
        <v>9</v>
      </c>
      <c r="E73" s="80">
        <v>9930010540</v>
      </c>
      <c r="F73" s="16"/>
      <c r="G73" s="22" t="s">
        <v>20</v>
      </c>
      <c r="H73" s="39">
        <f>H74+H75</f>
        <v>217</v>
      </c>
      <c r="I73" s="39">
        <f>I74+I75</f>
        <v>212</v>
      </c>
      <c r="J73" s="96">
        <f t="shared" si="21"/>
        <v>97.7</v>
      </c>
    </row>
    <row r="74" spans="1:10" ht="42.75" customHeight="1" x14ac:dyDescent="0.25">
      <c r="A74" s="148"/>
      <c r="B74" s="25"/>
      <c r="C74" s="16" t="s">
        <v>93</v>
      </c>
      <c r="D74" s="16" t="s">
        <v>9</v>
      </c>
      <c r="E74" s="80">
        <v>9930010540</v>
      </c>
      <c r="F74" s="16" t="s">
        <v>68</v>
      </c>
      <c r="G74" s="105" t="s">
        <v>69</v>
      </c>
      <c r="H74" s="39">
        <v>191.9</v>
      </c>
      <c r="I74" s="41">
        <v>191.9</v>
      </c>
      <c r="J74" s="96">
        <f t="shared" si="21"/>
        <v>100</v>
      </c>
    </row>
    <row r="75" spans="1:10" ht="41.25" customHeight="1" x14ac:dyDescent="0.25">
      <c r="A75" s="148"/>
      <c r="B75" s="25"/>
      <c r="C75" s="16" t="s">
        <v>93</v>
      </c>
      <c r="D75" s="16" t="s">
        <v>9</v>
      </c>
      <c r="E75" s="80">
        <v>9930010540</v>
      </c>
      <c r="F75" s="84" t="s">
        <v>212</v>
      </c>
      <c r="G75" s="100" t="s">
        <v>213</v>
      </c>
      <c r="H75" s="39">
        <v>25.1</v>
      </c>
      <c r="I75" s="41">
        <v>20.100000000000001</v>
      </c>
      <c r="J75" s="96">
        <f t="shared" si="21"/>
        <v>80.099999999999994</v>
      </c>
    </row>
    <row r="76" spans="1:10" ht="27.75" customHeight="1" x14ac:dyDescent="0.25">
      <c r="A76" s="148"/>
      <c r="B76" s="25"/>
      <c r="C76" s="16" t="s">
        <v>93</v>
      </c>
      <c r="D76" s="16" t="s">
        <v>9</v>
      </c>
      <c r="E76" s="16" t="s">
        <v>29</v>
      </c>
      <c r="F76" s="16"/>
      <c r="G76" s="102" t="s">
        <v>43</v>
      </c>
      <c r="H76" s="39">
        <f>H77</f>
        <v>5596.8</v>
      </c>
      <c r="I76" s="39">
        <f>I77</f>
        <v>5593.8</v>
      </c>
      <c r="J76" s="96">
        <f t="shared" si="21"/>
        <v>99.9</v>
      </c>
    </row>
    <row r="77" spans="1:10" ht="26.4" x14ac:dyDescent="0.25">
      <c r="A77" s="148"/>
      <c r="B77" s="25"/>
      <c r="C77" s="16" t="s">
        <v>93</v>
      </c>
      <c r="D77" s="16" t="s">
        <v>9</v>
      </c>
      <c r="E77" s="83" t="s">
        <v>491</v>
      </c>
      <c r="F77" s="16"/>
      <c r="G77" s="102" t="s">
        <v>44</v>
      </c>
      <c r="H77" s="39">
        <f>SUM(H78:H80)</f>
        <v>5596.8</v>
      </c>
      <c r="I77" s="39">
        <f>SUM(I78:I80)</f>
        <v>5593.8</v>
      </c>
      <c r="J77" s="96">
        <f t="shared" si="21"/>
        <v>99.9</v>
      </c>
    </row>
    <row r="78" spans="1:10" ht="39.6" x14ac:dyDescent="0.25">
      <c r="A78" s="148"/>
      <c r="B78" s="25"/>
      <c r="C78" s="16" t="s">
        <v>93</v>
      </c>
      <c r="D78" s="16" t="s">
        <v>9</v>
      </c>
      <c r="E78" s="83" t="s">
        <v>491</v>
      </c>
      <c r="F78" s="84" t="s">
        <v>212</v>
      </c>
      <c r="G78" s="100" t="s">
        <v>213</v>
      </c>
      <c r="H78" s="39">
        <f>242-7.7</f>
        <v>234.3</v>
      </c>
      <c r="I78" s="39">
        <v>231.3</v>
      </c>
      <c r="J78" s="96">
        <f t="shared" ref="J78:J133" si="22">ROUND((I78/H78*100),1)</f>
        <v>98.7</v>
      </c>
    </row>
    <row r="79" spans="1:10" x14ac:dyDescent="0.25">
      <c r="A79" s="148"/>
      <c r="B79" s="25"/>
      <c r="C79" s="16" t="s">
        <v>93</v>
      </c>
      <c r="D79" s="16" t="s">
        <v>9</v>
      </c>
      <c r="E79" s="83" t="s">
        <v>491</v>
      </c>
      <c r="F79" s="16" t="s">
        <v>87</v>
      </c>
      <c r="G79" s="100" t="s">
        <v>88</v>
      </c>
      <c r="H79" s="39">
        <f>426-196.1</f>
        <v>229.9</v>
      </c>
      <c r="I79" s="39">
        <v>229.9</v>
      </c>
      <c r="J79" s="96">
        <f t="shared" si="22"/>
        <v>100</v>
      </c>
    </row>
    <row r="80" spans="1:10" ht="18" customHeight="1" x14ac:dyDescent="0.25">
      <c r="A80" s="148"/>
      <c r="B80" s="25"/>
      <c r="C80" s="16" t="s">
        <v>93</v>
      </c>
      <c r="D80" s="16" t="s">
        <v>9</v>
      </c>
      <c r="E80" s="83" t="s">
        <v>491</v>
      </c>
      <c r="F80" s="83" t="s">
        <v>134</v>
      </c>
      <c r="G80" s="100" t="s">
        <v>135</v>
      </c>
      <c r="H80" s="39">
        <f>602-1+1000+2886+441.8+203.8</f>
        <v>5132.6000000000004</v>
      </c>
      <c r="I80" s="39">
        <v>5132.6000000000004</v>
      </c>
      <c r="J80" s="96">
        <f t="shared" si="22"/>
        <v>100</v>
      </c>
    </row>
    <row r="81" spans="1:10" ht="26.4" x14ac:dyDescent="0.25">
      <c r="A81" s="148"/>
      <c r="B81" s="25"/>
      <c r="C81" s="16" t="s">
        <v>93</v>
      </c>
      <c r="D81" s="16" t="s">
        <v>9</v>
      </c>
      <c r="E81" s="84" t="s">
        <v>194</v>
      </c>
      <c r="F81" s="16"/>
      <c r="G81" s="102" t="s">
        <v>195</v>
      </c>
      <c r="H81" s="39">
        <f>H82+H85</f>
        <v>31944.299999999996</v>
      </c>
      <c r="I81" s="39">
        <f>I82+I85</f>
        <v>30778.199999999997</v>
      </c>
      <c r="J81" s="96">
        <f t="shared" si="22"/>
        <v>96.3</v>
      </c>
    </row>
    <row r="82" spans="1:10" ht="39.6" x14ac:dyDescent="0.25">
      <c r="A82" s="148"/>
      <c r="B82" s="25"/>
      <c r="C82" s="16" t="s">
        <v>93</v>
      </c>
      <c r="D82" s="16" t="s">
        <v>9</v>
      </c>
      <c r="E82" s="21" t="s">
        <v>492</v>
      </c>
      <c r="F82" s="47"/>
      <c r="G82" s="54" t="s">
        <v>289</v>
      </c>
      <c r="H82" s="41">
        <f>SUM(H83:H84)</f>
        <v>8859.7999999999993</v>
      </c>
      <c r="I82" s="41">
        <f>SUM(I83:I84)</f>
        <v>8848.1999999999989</v>
      </c>
      <c r="J82" s="96">
        <f t="shared" si="22"/>
        <v>99.9</v>
      </c>
    </row>
    <row r="83" spans="1:10" ht="26.4" x14ac:dyDescent="0.25">
      <c r="A83" s="148"/>
      <c r="B83" s="25"/>
      <c r="C83" s="16" t="s">
        <v>93</v>
      </c>
      <c r="D83" s="16" t="s">
        <v>9</v>
      </c>
      <c r="E83" s="21" t="s">
        <v>492</v>
      </c>
      <c r="F83" s="16" t="s">
        <v>70</v>
      </c>
      <c r="G83" s="105" t="s">
        <v>133</v>
      </c>
      <c r="H83" s="41">
        <f>8093.2+15.4-175.2+145.4</f>
        <v>8078.7999999999993</v>
      </c>
      <c r="I83" s="39">
        <v>8072.4</v>
      </c>
      <c r="J83" s="96">
        <f t="shared" si="22"/>
        <v>99.9</v>
      </c>
    </row>
    <row r="84" spans="1:10" ht="39.6" x14ac:dyDescent="0.25">
      <c r="A84" s="148"/>
      <c r="B84" s="25"/>
      <c r="C84" s="16" t="s">
        <v>93</v>
      </c>
      <c r="D84" s="16" t="s">
        <v>9</v>
      </c>
      <c r="E84" s="21" t="s">
        <v>492</v>
      </c>
      <c r="F84" s="84" t="s">
        <v>212</v>
      </c>
      <c r="G84" s="100" t="s">
        <v>213</v>
      </c>
      <c r="H84" s="41">
        <f>796.4-15.4</f>
        <v>781</v>
      </c>
      <c r="I84" s="39">
        <v>775.8</v>
      </c>
      <c r="J84" s="96">
        <f t="shared" si="22"/>
        <v>99.3</v>
      </c>
    </row>
    <row r="85" spans="1:10" ht="52.8" x14ac:dyDescent="0.25">
      <c r="A85" s="148"/>
      <c r="B85" s="25"/>
      <c r="C85" s="16" t="s">
        <v>93</v>
      </c>
      <c r="D85" s="16" t="s">
        <v>9</v>
      </c>
      <c r="E85" s="21" t="s">
        <v>493</v>
      </c>
      <c r="F85" s="47"/>
      <c r="G85" s="54" t="s">
        <v>494</v>
      </c>
      <c r="H85" s="41">
        <f>SUM(H86:H89)</f>
        <v>23084.499999999996</v>
      </c>
      <c r="I85" s="41">
        <f>SUM(I86:I89)</f>
        <v>21930</v>
      </c>
      <c r="J85" s="96">
        <f t="shared" si="22"/>
        <v>95</v>
      </c>
    </row>
    <row r="86" spans="1:10" ht="26.4" x14ac:dyDescent="0.25">
      <c r="A86" s="148"/>
      <c r="B86" s="25"/>
      <c r="C86" s="16" t="s">
        <v>93</v>
      </c>
      <c r="D86" s="16" t="s">
        <v>9</v>
      </c>
      <c r="E86" s="21" t="s">
        <v>493</v>
      </c>
      <c r="F86" s="16" t="s">
        <v>70</v>
      </c>
      <c r="G86" s="105" t="s">
        <v>133</v>
      </c>
      <c r="H86" s="41">
        <f>9083.3+429.9+366.5</f>
        <v>9879.6999999999989</v>
      </c>
      <c r="I86" s="39">
        <v>9433.9</v>
      </c>
      <c r="J86" s="96">
        <f t="shared" si="22"/>
        <v>95.5</v>
      </c>
    </row>
    <row r="87" spans="1:10" ht="39.75" customHeight="1" x14ac:dyDescent="0.25">
      <c r="A87" s="148"/>
      <c r="B87" s="25"/>
      <c r="C87" s="16" t="s">
        <v>93</v>
      </c>
      <c r="D87" s="16" t="s">
        <v>9</v>
      </c>
      <c r="E87" s="21" t="s">
        <v>493</v>
      </c>
      <c r="F87" s="84" t="s">
        <v>212</v>
      </c>
      <c r="G87" s="100" t="s">
        <v>213</v>
      </c>
      <c r="H87" s="41">
        <f>13621.8-110.7-429.9</f>
        <v>13081.199999999999</v>
      </c>
      <c r="I87" s="39">
        <v>12428.2</v>
      </c>
      <c r="J87" s="96">
        <f t="shared" si="22"/>
        <v>95</v>
      </c>
    </row>
    <row r="88" spans="1:10" x14ac:dyDescent="0.25">
      <c r="A88" s="148"/>
      <c r="B88" s="25"/>
      <c r="C88" s="16" t="s">
        <v>93</v>
      </c>
      <c r="D88" s="16" t="s">
        <v>9</v>
      </c>
      <c r="E88" s="21" t="s">
        <v>493</v>
      </c>
      <c r="F88" s="84" t="s">
        <v>308</v>
      </c>
      <c r="G88" s="100" t="s">
        <v>309</v>
      </c>
      <c r="H88" s="115">
        <v>0.1</v>
      </c>
      <c r="I88" s="41">
        <v>0</v>
      </c>
      <c r="J88" s="96">
        <f t="shared" si="22"/>
        <v>0</v>
      </c>
    </row>
    <row r="89" spans="1:10" ht="16.5" customHeight="1" x14ac:dyDescent="0.25">
      <c r="A89" s="148"/>
      <c r="B89" s="25"/>
      <c r="C89" s="16" t="s">
        <v>93</v>
      </c>
      <c r="D89" s="16" t="s">
        <v>9</v>
      </c>
      <c r="E89" s="21" t="s">
        <v>493</v>
      </c>
      <c r="F89" s="84" t="s">
        <v>134</v>
      </c>
      <c r="G89" s="100" t="s">
        <v>135</v>
      </c>
      <c r="H89" s="115">
        <f>123.6-0.1</f>
        <v>123.5</v>
      </c>
      <c r="I89" s="41">
        <v>67.900000000000006</v>
      </c>
      <c r="J89" s="96">
        <f t="shared" si="22"/>
        <v>55</v>
      </c>
    </row>
    <row r="90" spans="1:10" ht="42" x14ac:dyDescent="0.3">
      <c r="A90" s="148"/>
      <c r="B90" s="93"/>
      <c r="C90" s="4" t="s">
        <v>98</v>
      </c>
      <c r="D90" s="3"/>
      <c r="E90" s="3"/>
      <c r="F90" s="3"/>
      <c r="G90" s="49" t="s">
        <v>103</v>
      </c>
      <c r="H90" s="94">
        <f>H91+H97</f>
        <v>8993.2000000000007</v>
      </c>
      <c r="I90" s="94">
        <f>I91+I97</f>
        <v>8972.3000000000011</v>
      </c>
      <c r="J90" s="160">
        <f t="shared" si="22"/>
        <v>99.8</v>
      </c>
    </row>
    <row r="91" spans="1:10" ht="14.4" x14ac:dyDescent="0.3">
      <c r="A91" s="148"/>
      <c r="B91" s="93"/>
      <c r="C91" s="28" t="s">
        <v>98</v>
      </c>
      <c r="D91" s="28" t="s">
        <v>99</v>
      </c>
      <c r="E91" s="28"/>
      <c r="F91" s="34"/>
      <c r="G91" s="46" t="s">
        <v>22</v>
      </c>
      <c r="H91" s="40">
        <f t="shared" ref="H91:I91" si="23">H94</f>
        <v>1196.7</v>
      </c>
      <c r="I91" s="40">
        <f t="shared" si="23"/>
        <v>1196.7</v>
      </c>
      <c r="J91" s="42">
        <f t="shared" si="22"/>
        <v>100</v>
      </c>
    </row>
    <row r="92" spans="1:10" ht="26.4" x14ac:dyDescent="0.25">
      <c r="A92" s="148"/>
      <c r="B92" s="93"/>
      <c r="C92" s="16" t="s">
        <v>98</v>
      </c>
      <c r="D92" s="16" t="s">
        <v>99</v>
      </c>
      <c r="E92" s="80">
        <v>9900000000</v>
      </c>
      <c r="F92" s="34"/>
      <c r="G92" s="55" t="s">
        <v>144</v>
      </c>
      <c r="H92" s="41">
        <f t="shared" ref="H92:I93" si="24">H93</f>
        <v>1196.7</v>
      </c>
      <c r="I92" s="41">
        <f t="shared" si="24"/>
        <v>1196.7</v>
      </c>
      <c r="J92" s="96">
        <f t="shared" si="22"/>
        <v>100</v>
      </c>
    </row>
    <row r="93" spans="1:10" ht="26.25" customHeight="1" x14ac:dyDescent="0.25">
      <c r="A93" s="148"/>
      <c r="B93" s="93"/>
      <c r="C93" s="16" t="s">
        <v>98</v>
      </c>
      <c r="D93" s="16" t="s">
        <v>99</v>
      </c>
      <c r="E93" s="80">
        <v>9930000000</v>
      </c>
      <c r="F93" s="16"/>
      <c r="G93" s="22" t="s">
        <v>45</v>
      </c>
      <c r="H93" s="41">
        <f t="shared" si="24"/>
        <v>1196.7</v>
      </c>
      <c r="I93" s="41">
        <f t="shared" si="24"/>
        <v>1196.7</v>
      </c>
      <c r="J93" s="96">
        <f t="shared" si="22"/>
        <v>100</v>
      </c>
    </row>
    <row r="94" spans="1:10" ht="52.8" x14ac:dyDescent="0.25">
      <c r="A94" s="148"/>
      <c r="B94" s="93"/>
      <c r="C94" s="16" t="s">
        <v>98</v>
      </c>
      <c r="D94" s="16" t="s">
        <v>99</v>
      </c>
      <c r="E94" s="80">
        <v>9930059302</v>
      </c>
      <c r="F94" s="16"/>
      <c r="G94" s="190" t="s">
        <v>379</v>
      </c>
      <c r="H94" s="39">
        <f t="shared" ref="H94:I94" si="25">SUM(H95:H96)</f>
        <v>1196.7</v>
      </c>
      <c r="I94" s="39">
        <f t="shared" si="25"/>
        <v>1196.7</v>
      </c>
      <c r="J94" s="96">
        <f t="shared" si="22"/>
        <v>100</v>
      </c>
    </row>
    <row r="95" spans="1:10" ht="39.6" x14ac:dyDescent="0.25">
      <c r="A95" s="148"/>
      <c r="B95" s="93"/>
      <c r="C95" s="16" t="s">
        <v>98</v>
      </c>
      <c r="D95" s="16" t="s">
        <v>99</v>
      </c>
      <c r="E95" s="80">
        <v>9930059302</v>
      </c>
      <c r="F95" s="16" t="s">
        <v>68</v>
      </c>
      <c r="G95" s="55" t="s">
        <v>69</v>
      </c>
      <c r="H95" s="39">
        <v>1057.4000000000001</v>
      </c>
      <c r="I95" s="39">
        <v>1057.4000000000001</v>
      </c>
      <c r="J95" s="96">
        <f t="shared" si="22"/>
        <v>100</v>
      </c>
    </row>
    <row r="96" spans="1:10" ht="39.6" x14ac:dyDescent="0.25">
      <c r="A96" s="148"/>
      <c r="B96" s="93"/>
      <c r="C96" s="16" t="s">
        <v>98</v>
      </c>
      <c r="D96" s="16" t="s">
        <v>99</v>
      </c>
      <c r="E96" s="80">
        <v>9930059302</v>
      </c>
      <c r="F96" s="84" t="s">
        <v>212</v>
      </c>
      <c r="G96" s="100" t="s">
        <v>213</v>
      </c>
      <c r="H96" s="39">
        <v>139.30000000000001</v>
      </c>
      <c r="I96" s="39">
        <v>139.30000000000001</v>
      </c>
      <c r="J96" s="96">
        <f t="shared" si="22"/>
        <v>100</v>
      </c>
    </row>
    <row r="97" spans="1:10" ht="53.4" x14ac:dyDescent="0.3">
      <c r="A97" s="148"/>
      <c r="B97" s="93"/>
      <c r="C97" s="28" t="s">
        <v>98</v>
      </c>
      <c r="D97" s="28" t="s">
        <v>115</v>
      </c>
      <c r="E97" s="28"/>
      <c r="F97" s="34"/>
      <c r="G97" s="46" t="s">
        <v>744</v>
      </c>
      <c r="H97" s="40">
        <f>H98+H122</f>
        <v>7796.5000000000009</v>
      </c>
      <c r="I97" s="40">
        <f>I98+I122</f>
        <v>7775.6000000000013</v>
      </c>
      <c r="J97" s="42">
        <f t="shared" si="22"/>
        <v>99.7</v>
      </c>
    </row>
    <row r="98" spans="1:10" ht="90" customHeight="1" x14ac:dyDescent="0.25">
      <c r="A98" s="148"/>
      <c r="B98" s="93"/>
      <c r="C98" s="21" t="s">
        <v>98</v>
      </c>
      <c r="D98" s="21" t="s">
        <v>115</v>
      </c>
      <c r="E98" s="73" t="s">
        <v>55</v>
      </c>
      <c r="F98" s="16"/>
      <c r="G98" s="64" t="s">
        <v>495</v>
      </c>
      <c r="H98" s="59">
        <f>H99+H105+H110+H116</f>
        <v>2599.8000000000002</v>
      </c>
      <c r="I98" s="59">
        <f>I99+I105+I110+I116</f>
        <v>2595.3000000000002</v>
      </c>
      <c r="J98" s="65">
        <f t="shared" si="22"/>
        <v>99.8</v>
      </c>
    </row>
    <row r="99" spans="1:10" ht="49.5" customHeight="1" x14ac:dyDescent="0.25">
      <c r="A99" s="148"/>
      <c r="B99" s="93"/>
      <c r="C99" s="21" t="s">
        <v>98</v>
      </c>
      <c r="D99" s="21" t="s">
        <v>115</v>
      </c>
      <c r="E99" s="52" t="s">
        <v>56</v>
      </c>
      <c r="F99" s="16"/>
      <c r="G99" s="48" t="s">
        <v>204</v>
      </c>
      <c r="H99" s="95">
        <f>H101+H103</f>
        <v>85</v>
      </c>
      <c r="I99" s="95">
        <f>I101+I103</f>
        <v>85</v>
      </c>
      <c r="J99" s="58">
        <f t="shared" si="22"/>
        <v>100</v>
      </c>
    </row>
    <row r="100" spans="1:10" ht="66" x14ac:dyDescent="0.25">
      <c r="A100" s="148"/>
      <c r="B100" s="93"/>
      <c r="C100" s="21" t="s">
        <v>98</v>
      </c>
      <c r="D100" s="21" t="s">
        <v>115</v>
      </c>
      <c r="E100" s="21" t="s">
        <v>219</v>
      </c>
      <c r="F100" s="16"/>
      <c r="G100" s="102" t="s">
        <v>297</v>
      </c>
      <c r="H100" s="101">
        <f>H101+H103</f>
        <v>85</v>
      </c>
      <c r="I100" s="101">
        <f>I101+I103</f>
        <v>85</v>
      </c>
      <c r="J100" s="96">
        <f t="shared" si="22"/>
        <v>100</v>
      </c>
    </row>
    <row r="101" spans="1:10" ht="39.6" x14ac:dyDescent="0.25">
      <c r="A101" s="148"/>
      <c r="B101" s="93"/>
      <c r="C101" s="21" t="s">
        <v>98</v>
      </c>
      <c r="D101" s="21" t="s">
        <v>115</v>
      </c>
      <c r="E101" s="74">
        <v>1110123305</v>
      </c>
      <c r="F101" s="16"/>
      <c r="G101" s="102" t="s">
        <v>218</v>
      </c>
      <c r="H101" s="39">
        <f>H102</f>
        <v>60</v>
      </c>
      <c r="I101" s="39">
        <f>I102</f>
        <v>60</v>
      </c>
      <c r="J101" s="96">
        <f t="shared" si="22"/>
        <v>100</v>
      </c>
    </row>
    <row r="102" spans="1:10" ht="38.25" customHeight="1" x14ac:dyDescent="0.25">
      <c r="A102" s="148"/>
      <c r="B102" s="93"/>
      <c r="C102" s="21" t="s">
        <v>98</v>
      </c>
      <c r="D102" s="21" t="s">
        <v>115</v>
      </c>
      <c r="E102" s="74">
        <v>1110123305</v>
      </c>
      <c r="F102" s="84" t="s">
        <v>212</v>
      </c>
      <c r="G102" s="100" t="s">
        <v>213</v>
      </c>
      <c r="H102" s="39">
        <v>60</v>
      </c>
      <c r="I102" s="39">
        <v>60</v>
      </c>
      <c r="J102" s="96">
        <f t="shared" si="22"/>
        <v>100</v>
      </c>
    </row>
    <row r="103" spans="1:10" ht="52.8" x14ac:dyDescent="0.25">
      <c r="A103" s="148"/>
      <c r="B103" s="93"/>
      <c r="C103" s="21" t="s">
        <v>98</v>
      </c>
      <c r="D103" s="21" t="s">
        <v>115</v>
      </c>
      <c r="E103" s="74">
        <v>1110123310</v>
      </c>
      <c r="F103" s="16"/>
      <c r="G103" s="102" t="s">
        <v>206</v>
      </c>
      <c r="H103" s="41">
        <f>H104</f>
        <v>25</v>
      </c>
      <c r="I103" s="39">
        <f t="shared" ref="I103" si="26">I104</f>
        <v>25</v>
      </c>
      <c r="J103" s="96">
        <f t="shared" si="22"/>
        <v>100</v>
      </c>
    </row>
    <row r="104" spans="1:10" ht="39.6" x14ac:dyDescent="0.25">
      <c r="A104" s="148"/>
      <c r="B104" s="93"/>
      <c r="C104" s="21" t="s">
        <v>98</v>
      </c>
      <c r="D104" s="21" t="s">
        <v>115</v>
      </c>
      <c r="E104" s="74">
        <v>1110123310</v>
      </c>
      <c r="F104" s="84" t="s">
        <v>212</v>
      </c>
      <c r="G104" s="100" t="s">
        <v>213</v>
      </c>
      <c r="H104" s="41">
        <v>25</v>
      </c>
      <c r="I104" s="41">
        <v>25</v>
      </c>
      <c r="J104" s="96">
        <f t="shared" si="22"/>
        <v>100</v>
      </c>
    </row>
    <row r="105" spans="1:10" ht="39.6" x14ac:dyDescent="0.25">
      <c r="A105" s="148"/>
      <c r="B105" s="93"/>
      <c r="C105" s="21" t="s">
        <v>98</v>
      </c>
      <c r="D105" s="21" t="s">
        <v>115</v>
      </c>
      <c r="E105" s="52" t="s">
        <v>57</v>
      </c>
      <c r="F105" s="84"/>
      <c r="G105" s="48" t="s">
        <v>200</v>
      </c>
      <c r="H105" s="95">
        <f t="shared" ref="H105:I106" si="27">H106</f>
        <v>2494.8000000000002</v>
      </c>
      <c r="I105" s="95">
        <f t="shared" si="27"/>
        <v>2490.3000000000002</v>
      </c>
      <c r="J105" s="58">
        <f t="shared" si="22"/>
        <v>99.8</v>
      </c>
    </row>
    <row r="106" spans="1:10" ht="52.8" x14ac:dyDescent="0.25">
      <c r="A106" s="148"/>
      <c r="B106" s="93"/>
      <c r="C106" s="21" t="s">
        <v>98</v>
      </c>
      <c r="D106" s="21" t="s">
        <v>115</v>
      </c>
      <c r="E106" s="21" t="s">
        <v>220</v>
      </c>
      <c r="F106" s="84"/>
      <c r="G106" s="102" t="s">
        <v>310</v>
      </c>
      <c r="H106" s="41">
        <f t="shared" si="27"/>
        <v>2494.8000000000002</v>
      </c>
      <c r="I106" s="41">
        <f t="shared" si="27"/>
        <v>2490.3000000000002</v>
      </c>
      <c r="J106" s="96">
        <f t="shared" si="22"/>
        <v>99.8</v>
      </c>
    </row>
    <row r="107" spans="1:10" ht="39.6" x14ac:dyDescent="0.3">
      <c r="A107" s="3"/>
      <c r="B107" s="93"/>
      <c r="C107" s="21" t="s">
        <v>98</v>
      </c>
      <c r="D107" s="21" t="s">
        <v>115</v>
      </c>
      <c r="E107" s="74">
        <v>1120123315</v>
      </c>
      <c r="F107" s="16"/>
      <c r="G107" s="100" t="s">
        <v>496</v>
      </c>
      <c r="H107" s="41">
        <f>SUM(H108:H109)</f>
        <v>2494.8000000000002</v>
      </c>
      <c r="I107" s="41">
        <f>SUM(I108:I109)</f>
        <v>2490.3000000000002</v>
      </c>
      <c r="J107" s="96">
        <f t="shared" si="22"/>
        <v>99.8</v>
      </c>
    </row>
    <row r="108" spans="1:10" ht="26.4" x14ac:dyDescent="0.3">
      <c r="A108" s="3"/>
      <c r="B108" s="93"/>
      <c r="C108" s="21" t="s">
        <v>98</v>
      </c>
      <c r="D108" s="21" t="s">
        <v>115</v>
      </c>
      <c r="E108" s="74">
        <v>1120123315</v>
      </c>
      <c r="F108" s="84" t="s">
        <v>70</v>
      </c>
      <c r="G108" s="55" t="s">
        <v>133</v>
      </c>
      <c r="H108" s="41">
        <f>51.2+12.8</f>
        <v>64</v>
      </c>
      <c r="I108" s="41">
        <f>51.2+12.8</f>
        <v>64</v>
      </c>
      <c r="J108" s="96">
        <f t="shared" si="22"/>
        <v>100</v>
      </c>
    </row>
    <row r="109" spans="1:10" ht="39.6" x14ac:dyDescent="0.3">
      <c r="A109" s="3"/>
      <c r="B109" s="93"/>
      <c r="C109" s="21" t="s">
        <v>98</v>
      </c>
      <c r="D109" s="21" t="s">
        <v>115</v>
      </c>
      <c r="E109" s="74">
        <v>1120123315</v>
      </c>
      <c r="F109" s="84" t="s">
        <v>212</v>
      </c>
      <c r="G109" s="100" t="s">
        <v>213</v>
      </c>
      <c r="H109" s="41">
        <f>2408.3+46.3-11-12.8</f>
        <v>2430.8000000000002</v>
      </c>
      <c r="I109" s="41">
        <v>2426.3000000000002</v>
      </c>
      <c r="J109" s="96">
        <f t="shared" si="22"/>
        <v>99.8</v>
      </c>
    </row>
    <row r="110" spans="1:10" ht="53.4" x14ac:dyDescent="0.3">
      <c r="A110" s="3"/>
      <c r="B110" s="93"/>
      <c r="C110" s="21" t="s">
        <v>98</v>
      </c>
      <c r="D110" s="21" t="s">
        <v>115</v>
      </c>
      <c r="E110" s="52" t="s">
        <v>58</v>
      </c>
      <c r="F110" s="16"/>
      <c r="G110" s="48" t="s">
        <v>254</v>
      </c>
      <c r="H110" s="95">
        <f>H111</f>
        <v>5</v>
      </c>
      <c r="I110" s="95">
        <f>I111</f>
        <v>5</v>
      </c>
      <c r="J110" s="96">
        <f t="shared" si="22"/>
        <v>100</v>
      </c>
    </row>
    <row r="111" spans="1:10" ht="66.599999999999994" x14ac:dyDescent="0.3">
      <c r="A111" s="3"/>
      <c r="B111" s="93"/>
      <c r="C111" s="21" t="s">
        <v>98</v>
      </c>
      <c r="D111" s="21" t="s">
        <v>115</v>
      </c>
      <c r="E111" s="21" t="s">
        <v>221</v>
      </c>
      <c r="F111" s="16"/>
      <c r="G111" s="102" t="s">
        <v>320</v>
      </c>
      <c r="H111" s="101">
        <f>H112+H114</f>
        <v>5</v>
      </c>
      <c r="I111" s="101">
        <f>I112+I114</f>
        <v>5</v>
      </c>
      <c r="J111" s="96">
        <f t="shared" si="22"/>
        <v>100</v>
      </c>
    </row>
    <row r="112" spans="1:10" ht="26.4" x14ac:dyDescent="0.3">
      <c r="A112" s="3"/>
      <c r="B112" s="93"/>
      <c r="C112" s="21" t="s">
        <v>98</v>
      </c>
      <c r="D112" s="21" t="s">
        <v>115</v>
      </c>
      <c r="E112" s="74">
        <v>1130123320</v>
      </c>
      <c r="F112" s="16"/>
      <c r="G112" s="100" t="s">
        <v>255</v>
      </c>
      <c r="H112" s="41">
        <f>H113</f>
        <v>4</v>
      </c>
      <c r="I112" s="41">
        <f>I113</f>
        <v>4</v>
      </c>
      <c r="J112" s="96">
        <f t="shared" si="22"/>
        <v>100</v>
      </c>
    </row>
    <row r="113" spans="1:10" ht="39.6" x14ac:dyDescent="0.3">
      <c r="A113" s="3"/>
      <c r="B113" s="93"/>
      <c r="C113" s="21" t="s">
        <v>98</v>
      </c>
      <c r="D113" s="21" t="s">
        <v>115</v>
      </c>
      <c r="E113" s="74">
        <v>1130123320</v>
      </c>
      <c r="F113" s="84" t="s">
        <v>212</v>
      </c>
      <c r="G113" s="100" t="s">
        <v>213</v>
      </c>
      <c r="H113" s="41">
        <v>4</v>
      </c>
      <c r="I113" s="41">
        <v>4</v>
      </c>
      <c r="J113" s="96">
        <f t="shared" si="22"/>
        <v>100</v>
      </c>
    </row>
    <row r="114" spans="1:10" ht="39.6" x14ac:dyDescent="0.3">
      <c r="A114" s="3"/>
      <c r="B114" s="93"/>
      <c r="C114" s="21" t="s">
        <v>98</v>
      </c>
      <c r="D114" s="21" t="s">
        <v>115</v>
      </c>
      <c r="E114" s="74">
        <v>1130123325</v>
      </c>
      <c r="F114" s="16"/>
      <c r="G114" s="100" t="s">
        <v>222</v>
      </c>
      <c r="H114" s="41">
        <f>H115</f>
        <v>1</v>
      </c>
      <c r="I114" s="41">
        <f>I115</f>
        <v>1</v>
      </c>
      <c r="J114" s="96">
        <f t="shared" si="22"/>
        <v>100</v>
      </c>
    </row>
    <row r="115" spans="1:10" ht="42" customHeight="1" x14ac:dyDescent="0.3">
      <c r="A115" s="3"/>
      <c r="B115" s="93"/>
      <c r="C115" s="21" t="s">
        <v>98</v>
      </c>
      <c r="D115" s="21" t="s">
        <v>115</v>
      </c>
      <c r="E115" s="74">
        <v>1130123325</v>
      </c>
      <c r="F115" s="84" t="s">
        <v>212</v>
      </c>
      <c r="G115" s="100" t="s">
        <v>213</v>
      </c>
      <c r="H115" s="41">
        <v>1</v>
      </c>
      <c r="I115" s="41">
        <v>1</v>
      </c>
      <c r="J115" s="96">
        <f t="shared" si="22"/>
        <v>100</v>
      </c>
    </row>
    <row r="116" spans="1:10" ht="66.599999999999994" x14ac:dyDescent="0.3">
      <c r="A116" s="3"/>
      <c r="B116" s="93"/>
      <c r="C116" s="21" t="s">
        <v>98</v>
      </c>
      <c r="D116" s="21" t="s">
        <v>115</v>
      </c>
      <c r="E116" s="52" t="s">
        <v>59</v>
      </c>
      <c r="F116" s="16"/>
      <c r="G116" s="48" t="s">
        <v>205</v>
      </c>
      <c r="H116" s="95">
        <f>H117</f>
        <v>15</v>
      </c>
      <c r="I116" s="95">
        <f>I117</f>
        <v>15</v>
      </c>
      <c r="J116" s="58">
        <f t="shared" si="22"/>
        <v>100</v>
      </c>
    </row>
    <row r="117" spans="1:10" ht="52.8" x14ac:dyDescent="0.3">
      <c r="A117" s="3"/>
      <c r="B117" s="93"/>
      <c r="C117" s="21" t="s">
        <v>98</v>
      </c>
      <c r="D117" s="21" t="s">
        <v>115</v>
      </c>
      <c r="E117" s="21" t="s">
        <v>296</v>
      </c>
      <c r="F117" s="84"/>
      <c r="G117" s="100" t="s">
        <v>223</v>
      </c>
      <c r="H117" s="41">
        <f>H118+H120</f>
        <v>15</v>
      </c>
      <c r="I117" s="41">
        <f>I118+I120</f>
        <v>15</v>
      </c>
      <c r="J117" s="96">
        <f t="shared" si="22"/>
        <v>100</v>
      </c>
    </row>
    <row r="118" spans="1:10" ht="26.4" x14ac:dyDescent="0.3">
      <c r="A118" s="3"/>
      <c r="B118" s="93"/>
      <c r="C118" s="21" t="s">
        <v>98</v>
      </c>
      <c r="D118" s="21" t="s">
        <v>115</v>
      </c>
      <c r="E118" s="74">
        <v>1140123330</v>
      </c>
      <c r="F118" s="16"/>
      <c r="G118" s="100" t="s">
        <v>497</v>
      </c>
      <c r="H118" s="41">
        <f>H119</f>
        <v>12</v>
      </c>
      <c r="I118" s="41">
        <f>I119</f>
        <v>12</v>
      </c>
      <c r="J118" s="96">
        <f t="shared" si="22"/>
        <v>100</v>
      </c>
    </row>
    <row r="119" spans="1:10" ht="39.6" x14ac:dyDescent="0.3">
      <c r="A119" s="3"/>
      <c r="B119" s="93"/>
      <c r="C119" s="21" t="s">
        <v>98</v>
      </c>
      <c r="D119" s="21" t="s">
        <v>115</v>
      </c>
      <c r="E119" s="74">
        <v>1140123330</v>
      </c>
      <c r="F119" s="84" t="s">
        <v>212</v>
      </c>
      <c r="G119" s="100" t="s">
        <v>213</v>
      </c>
      <c r="H119" s="41">
        <v>12</v>
      </c>
      <c r="I119" s="41">
        <v>12</v>
      </c>
      <c r="J119" s="96">
        <f t="shared" si="22"/>
        <v>100</v>
      </c>
    </row>
    <row r="120" spans="1:10" ht="39.6" x14ac:dyDescent="0.3">
      <c r="A120" s="3"/>
      <c r="B120" s="93"/>
      <c r="C120" s="21" t="s">
        <v>98</v>
      </c>
      <c r="D120" s="21" t="s">
        <v>115</v>
      </c>
      <c r="E120" s="74">
        <v>1140123335</v>
      </c>
      <c r="F120" s="16"/>
      <c r="G120" s="100" t="s">
        <v>224</v>
      </c>
      <c r="H120" s="41">
        <f>H121</f>
        <v>3</v>
      </c>
      <c r="I120" s="41">
        <f>I121</f>
        <v>3</v>
      </c>
      <c r="J120" s="96">
        <f t="shared" si="22"/>
        <v>100</v>
      </c>
    </row>
    <row r="121" spans="1:10" ht="39.6" x14ac:dyDescent="0.3">
      <c r="A121" s="3"/>
      <c r="B121" s="93"/>
      <c r="C121" s="21" t="s">
        <v>98</v>
      </c>
      <c r="D121" s="21" t="s">
        <v>115</v>
      </c>
      <c r="E121" s="74">
        <v>1140123335</v>
      </c>
      <c r="F121" s="84" t="s">
        <v>212</v>
      </c>
      <c r="G121" s="100" t="s">
        <v>213</v>
      </c>
      <c r="H121" s="41">
        <v>3</v>
      </c>
      <c r="I121" s="41">
        <v>3</v>
      </c>
      <c r="J121" s="58">
        <f t="shared" si="22"/>
        <v>100</v>
      </c>
    </row>
    <row r="122" spans="1:10" ht="26.4" x14ac:dyDescent="0.3">
      <c r="A122" s="3"/>
      <c r="B122" s="93"/>
      <c r="C122" s="82" t="s">
        <v>98</v>
      </c>
      <c r="D122" s="82" t="s">
        <v>115</v>
      </c>
      <c r="E122" s="73" t="s">
        <v>194</v>
      </c>
      <c r="F122" s="33"/>
      <c r="G122" s="86" t="s">
        <v>144</v>
      </c>
      <c r="H122" s="61">
        <f t="shared" ref="H122:I122" si="28">H123</f>
        <v>5196.7000000000007</v>
      </c>
      <c r="I122" s="61">
        <f t="shared" si="28"/>
        <v>5180.3000000000011</v>
      </c>
      <c r="J122" s="65">
        <f t="shared" si="22"/>
        <v>99.7</v>
      </c>
    </row>
    <row r="123" spans="1:10" ht="66" x14ac:dyDescent="0.3">
      <c r="A123" s="3"/>
      <c r="B123" s="93"/>
      <c r="C123" s="21" t="s">
        <v>98</v>
      </c>
      <c r="D123" s="21" t="s">
        <v>115</v>
      </c>
      <c r="E123" s="21" t="s">
        <v>498</v>
      </c>
      <c r="F123" s="47"/>
      <c r="G123" s="54" t="s">
        <v>499</v>
      </c>
      <c r="H123" s="41">
        <f>SUM(H124:H126)</f>
        <v>5196.7000000000007</v>
      </c>
      <c r="I123" s="41">
        <f>SUM(I124:I126)</f>
        <v>5180.3000000000011</v>
      </c>
      <c r="J123" s="58">
        <f t="shared" si="22"/>
        <v>99.7</v>
      </c>
    </row>
    <row r="124" spans="1:10" ht="26.4" x14ac:dyDescent="0.3">
      <c r="A124" s="3"/>
      <c r="B124" s="93"/>
      <c r="C124" s="21" t="s">
        <v>98</v>
      </c>
      <c r="D124" s="21" t="s">
        <v>115</v>
      </c>
      <c r="E124" s="21" t="s">
        <v>498</v>
      </c>
      <c r="F124" s="16" t="s">
        <v>70</v>
      </c>
      <c r="G124" s="105" t="s">
        <v>133</v>
      </c>
      <c r="H124" s="41">
        <f>4661.6-8</f>
        <v>4653.6000000000004</v>
      </c>
      <c r="I124" s="41">
        <v>4653.6000000000004</v>
      </c>
      <c r="J124" s="96">
        <f t="shared" si="22"/>
        <v>100</v>
      </c>
    </row>
    <row r="125" spans="1:10" ht="42" customHeight="1" x14ac:dyDescent="0.3">
      <c r="A125" s="3"/>
      <c r="B125" s="93"/>
      <c r="C125" s="21" t="s">
        <v>98</v>
      </c>
      <c r="D125" s="21" t="s">
        <v>115</v>
      </c>
      <c r="E125" s="21" t="s">
        <v>498</v>
      </c>
      <c r="F125" s="84" t="s">
        <v>212</v>
      </c>
      <c r="G125" s="100" t="s">
        <v>213</v>
      </c>
      <c r="H125" s="41">
        <f>504.1+15+8+11+1.9</f>
        <v>540</v>
      </c>
      <c r="I125" s="41">
        <v>523.6</v>
      </c>
      <c r="J125" s="96">
        <f t="shared" si="22"/>
        <v>97</v>
      </c>
    </row>
    <row r="126" spans="1:10" ht="21" customHeight="1" x14ac:dyDescent="0.3">
      <c r="A126" s="3"/>
      <c r="B126" s="93"/>
      <c r="C126" s="21" t="s">
        <v>98</v>
      </c>
      <c r="D126" s="21" t="s">
        <v>115</v>
      </c>
      <c r="E126" s="21" t="s">
        <v>498</v>
      </c>
      <c r="F126" s="83" t="s">
        <v>134</v>
      </c>
      <c r="G126" s="100" t="s">
        <v>135</v>
      </c>
      <c r="H126" s="41">
        <f>5-1.9</f>
        <v>3.1</v>
      </c>
      <c r="I126" s="41">
        <v>3.1</v>
      </c>
      <c r="J126" s="96">
        <f t="shared" si="22"/>
        <v>100</v>
      </c>
    </row>
    <row r="127" spans="1:10" ht="15.6" x14ac:dyDescent="0.3">
      <c r="A127" s="3"/>
      <c r="B127" s="93"/>
      <c r="C127" s="4" t="s">
        <v>99</v>
      </c>
      <c r="D127" s="3"/>
      <c r="E127" s="3"/>
      <c r="F127" s="3"/>
      <c r="G127" s="49" t="s">
        <v>105</v>
      </c>
      <c r="H127" s="59">
        <f>H128+H134+H144+H193</f>
        <v>185734.69999999998</v>
      </c>
      <c r="I127" s="59">
        <f>I128+I134+I144+I193</f>
        <v>181596.30000000002</v>
      </c>
      <c r="J127" s="160">
        <f t="shared" si="22"/>
        <v>97.8</v>
      </c>
    </row>
    <row r="128" spans="1:10" ht="15.6" x14ac:dyDescent="0.3">
      <c r="A128" s="3"/>
      <c r="B128" s="24"/>
      <c r="C128" s="30" t="s">
        <v>99</v>
      </c>
      <c r="D128" s="30" t="s">
        <v>100</v>
      </c>
      <c r="E128" s="30"/>
      <c r="F128" s="30"/>
      <c r="G128" s="45" t="s">
        <v>108</v>
      </c>
      <c r="H128" s="40">
        <f>H129</f>
        <v>423.5</v>
      </c>
      <c r="I128" s="40">
        <f>I129</f>
        <v>423.5</v>
      </c>
      <c r="J128" s="42">
        <f t="shared" si="22"/>
        <v>100</v>
      </c>
    </row>
    <row r="129" spans="1:10" ht="93" x14ac:dyDescent="0.3">
      <c r="A129" s="3"/>
      <c r="B129" s="24"/>
      <c r="C129" s="17" t="s">
        <v>99</v>
      </c>
      <c r="D129" s="17" t="s">
        <v>100</v>
      </c>
      <c r="E129" s="74">
        <v>400000000</v>
      </c>
      <c r="F129" s="30"/>
      <c r="G129" s="196" t="s">
        <v>503</v>
      </c>
      <c r="H129" s="98">
        <f t="shared" ref="H129:I130" si="29">H130</f>
        <v>423.5</v>
      </c>
      <c r="I129" s="98">
        <f t="shared" si="29"/>
        <v>423.5</v>
      </c>
      <c r="J129" s="62">
        <f t="shared" si="22"/>
        <v>100</v>
      </c>
    </row>
    <row r="130" spans="1:10" ht="53.4" x14ac:dyDescent="0.3">
      <c r="A130" s="3"/>
      <c r="B130" s="24"/>
      <c r="C130" s="47" t="s">
        <v>99</v>
      </c>
      <c r="D130" s="47" t="s">
        <v>100</v>
      </c>
      <c r="E130" s="75">
        <v>410000000</v>
      </c>
      <c r="F130" s="30"/>
      <c r="G130" s="46" t="s">
        <v>504</v>
      </c>
      <c r="H130" s="95">
        <f t="shared" si="29"/>
        <v>423.5</v>
      </c>
      <c r="I130" s="95">
        <f t="shared" si="29"/>
        <v>423.5</v>
      </c>
      <c r="J130" s="96">
        <f t="shared" si="22"/>
        <v>100</v>
      </c>
    </row>
    <row r="131" spans="1:10" ht="53.4" x14ac:dyDescent="0.3">
      <c r="A131" s="3"/>
      <c r="B131" s="24"/>
      <c r="C131" s="84" t="s">
        <v>99</v>
      </c>
      <c r="D131" s="84" t="s">
        <v>100</v>
      </c>
      <c r="E131" s="74">
        <v>410100000</v>
      </c>
      <c r="F131" s="30"/>
      <c r="G131" s="99" t="s">
        <v>505</v>
      </c>
      <c r="H131" s="95">
        <f>H132</f>
        <v>423.5</v>
      </c>
      <c r="I131" s="95">
        <f>I132</f>
        <v>423.5</v>
      </c>
      <c r="J131" s="96">
        <f t="shared" si="22"/>
        <v>100</v>
      </c>
    </row>
    <row r="132" spans="1:10" ht="27" x14ac:dyDescent="0.3">
      <c r="A132" s="3"/>
      <c r="B132" s="24"/>
      <c r="C132" s="84" t="s">
        <v>99</v>
      </c>
      <c r="D132" s="84" t="s">
        <v>100</v>
      </c>
      <c r="E132" s="195" t="s">
        <v>506</v>
      </c>
      <c r="F132" s="16"/>
      <c r="G132" s="102" t="s">
        <v>170</v>
      </c>
      <c r="H132" s="39">
        <f>H133</f>
        <v>423.5</v>
      </c>
      <c r="I132" s="39">
        <f>I133</f>
        <v>423.5</v>
      </c>
      <c r="J132" s="96">
        <f t="shared" si="22"/>
        <v>100</v>
      </c>
    </row>
    <row r="133" spans="1:10" ht="39.6" x14ac:dyDescent="0.3">
      <c r="A133" s="3"/>
      <c r="B133" s="24"/>
      <c r="C133" s="84" t="s">
        <v>99</v>
      </c>
      <c r="D133" s="84" t="s">
        <v>100</v>
      </c>
      <c r="E133" s="195" t="s">
        <v>506</v>
      </c>
      <c r="F133" s="84" t="s">
        <v>212</v>
      </c>
      <c r="G133" s="100" t="s">
        <v>213</v>
      </c>
      <c r="H133" s="39">
        <f>600-176.5</f>
        <v>423.5</v>
      </c>
      <c r="I133" s="41">
        <v>423.5</v>
      </c>
      <c r="J133" s="96">
        <f t="shared" si="22"/>
        <v>100</v>
      </c>
    </row>
    <row r="134" spans="1:10" ht="15.6" x14ac:dyDescent="0.3">
      <c r="A134" s="3"/>
      <c r="B134" s="25"/>
      <c r="C134" s="30" t="s">
        <v>99</v>
      </c>
      <c r="D134" s="30" t="s">
        <v>106</v>
      </c>
      <c r="E134" s="30"/>
      <c r="F134" s="30"/>
      <c r="G134" s="27" t="s">
        <v>1</v>
      </c>
      <c r="H134" s="40">
        <f t="shared" ref="H134:I135" si="30">H135</f>
        <v>26608.9</v>
      </c>
      <c r="I134" s="40">
        <f t="shared" si="30"/>
        <v>26197</v>
      </c>
      <c r="J134" s="42">
        <f t="shared" ref="J134:J152" si="31">ROUND((I134/H134*100),1)</f>
        <v>98.5</v>
      </c>
    </row>
    <row r="135" spans="1:10" ht="89.25" customHeight="1" x14ac:dyDescent="0.3">
      <c r="A135" s="3"/>
      <c r="B135" s="25"/>
      <c r="C135" s="5" t="s">
        <v>99</v>
      </c>
      <c r="D135" s="5" t="s">
        <v>106</v>
      </c>
      <c r="E135" s="73" t="s">
        <v>73</v>
      </c>
      <c r="F135" s="30"/>
      <c r="G135" s="196" t="s">
        <v>507</v>
      </c>
      <c r="H135" s="98">
        <f t="shared" si="30"/>
        <v>26608.9</v>
      </c>
      <c r="I135" s="98">
        <f t="shared" si="30"/>
        <v>26197</v>
      </c>
      <c r="J135" s="62">
        <f t="shared" si="31"/>
        <v>98.5</v>
      </c>
    </row>
    <row r="136" spans="1:10" ht="65.25" customHeight="1" x14ac:dyDescent="0.3">
      <c r="A136" s="3"/>
      <c r="B136" s="25"/>
      <c r="C136" s="16" t="s">
        <v>99</v>
      </c>
      <c r="D136" s="16" t="s">
        <v>106</v>
      </c>
      <c r="E136" s="52" t="s">
        <v>215</v>
      </c>
      <c r="F136" s="30"/>
      <c r="G136" s="46" t="s">
        <v>188</v>
      </c>
      <c r="H136" s="95">
        <f>H137</f>
        <v>26608.9</v>
      </c>
      <c r="I136" s="95">
        <f>I137</f>
        <v>26197</v>
      </c>
      <c r="J136" s="58">
        <f t="shared" si="31"/>
        <v>98.5</v>
      </c>
    </row>
    <row r="137" spans="1:10" ht="27" x14ac:dyDescent="0.3">
      <c r="A137" s="3"/>
      <c r="B137" s="25"/>
      <c r="C137" s="16" t="s">
        <v>99</v>
      </c>
      <c r="D137" s="16" t="s">
        <v>106</v>
      </c>
      <c r="E137" s="74">
        <v>920100000</v>
      </c>
      <c r="F137" s="30"/>
      <c r="G137" s="99" t="s">
        <v>301</v>
      </c>
      <c r="H137" s="101">
        <f>H138+H140+H142</f>
        <v>26608.9</v>
      </c>
      <c r="I137" s="101">
        <f>I138+I140+I142</f>
        <v>26197</v>
      </c>
      <c r="J137" s="218">
        <f t="shared" si="31"/>
        <v>98.5</v>
      </c>
    </row>
    <row r="138" spans="1:10" ht="75.75" customHeight="1" x14ac:dyDescent="0.3">
      <c r="A138" s="3"/>
      <c r="B138" s="25"/>
      <c r="C138" s="16" t="s">
        <v>99</v>
      </c>
      <c r="D138" s="16" t="s">
        <v>106</v>
      </c>
      <c r="E138" s="74" t="s">
        <v>312</v>
      </c>
      <c r="F138" s="30"/>
      <c r="G138" s="99" t="s">
        <v>216</v>
      </c>
      <c r="H138" s="39">
        <f>H139</f>
        <v>5024.3999999999996</v>
      </c>
      <c r="I138" s="96">
        <f>I139</f>
        <v>4947</v>
      </c>
      <c r="J138" s="96">
        <f t="shared" si="31"/>
        <v>98.5</v>
      </c>
    </row>
    <row r="139" spans="1:10" ht="39.6" x14ac:dyDescent="0.3">
      <c r="A139" s="3"/>
      <c r="B139" s="25"/>
      <c r="C139" s="16" t="s">
        <v>99</v>
      </c>
      <c r="D139" s="16" t="s">
        <v>106</v>
      </c>
      <c r="E139" s="74" t="s">
        <v>312</v>
      </c>
      <c r="F139" s="84" t="s">
        <v>212</v>
      </c>
      <c r="G139" s="100" t="s">
        <v>213</v>
      </c>
      <c r="H139" s="39">
        <v>5024.3999999999996</v>
      </c>
      <c r="I139" s="41">
        <v>4947</v>
      </c>
      <c r="J139" s="96">
        <f t="shared" si="31"/>
        <v>98.5</v>
      </c>
    </row>
    <row r="140" spans="1:10" ht="93" x14ac:dyDescent="0.3">
      <c r="A140" s="3"/>
      <c r="B140" s="25"/>
      <c r="C140" s="16" t="s">
        <v>99</v>
      </c>
      <c r="D140" s="16" t="s">
        <v>106</v>
      </c>
      <c r="E140" s="74">
        <v>920110300</v>
      </c>
      <c r="F140" s="16"/>
      <c r="G140" s="125" t="s">
        <v>362</v>
      </c>
      <c r="H140" s="39">
        <f>H141</f>
        <v>20097.5</v>
      </c>
      <c r="I140" s="96">
        <f>I141</f>
        <v>19788.2</v>
      </c>
      <c r="J140" s="96">
        <f t="shared" si="31"/>
        <v>98.5</v>
      </c>
    </row>
    <row r="141" spans="1:10" ht="39.6" x14ac:dyDescent="0.3">
      <c r="A141" s="3"/>
      <c r="B141" s="25"/>
      <c r="C141" s="16" t="s">
        <v>99</v>
      </c>
      <c r="D141" s="16" t="s">
        <v>106</v>
      </c>
      <c r="E141" s="74">
        <v>920110300</v>
      </c>
      <c r="F141" s="84" t="s">
        <v>212</v>
      </c>
      <c r="G141" s="100" t="s">
        <v>213</v>
      </c>
      <c r="H141" s="158">
        <v>20097.5</v>
      </c>
      <c r="I141" s="41">
        <v>19788.2</v>
      </c>
      <c r="J141" s="96">
        <f t="shared" si="31"/>
        <v>98.5</v>
      </c>
    </row>
    <row r="142" spans="1:10" ht="75.75" customHeight="1" x14ac:dyDescent="0.3">
      <c r="A142" s="3"/>
      <c r="B142" s="25"/>
      <c r="C142" s="16" t="s">
        <v>99</v>
      </c>
      <c r="D142" s="16" t="s">
        <v>106</v>
      </c>
      <c r="E142" s="74">
        <v>920123495</v>
      </c>
      <c r="F142" s="84"/>
      <c r="G142" s="54" t="s">
        <v>508</v>
      </c>
      <c r="H142" s="39">
        <f>H143</f>
        <v>1487</v>
      </c>
      <c r="I142" s="39">
        <f>I143</f>
        <v>1461.8</v>
      </c>
      <c r="J142" s="96">
        <f t="shared" si="31"/>
        <v>98.3</v>
      </c>
    </row>
    <row r="143" spans="1:10" ht="39.6" x14ac:dyDescent="0.3">
      <c r="A143" s="3"/>
      <c r="B143" s="25"/>
      <c r="C143" s="16" t="s">
        <v>99</v>
      </c>
      <c r="D143" s="16" t="s">
        <v>106</v>
      </c>
      <c r="E143" s="74">
        <v>920123495</v>
      </c>
      <c r="F143" s="84" t="s">
        <v>212</v>
      </c>
      <c r="G143" s="100" t="s">
        <v>213</v>
      </c>
      <c r="H143" s="39">
        <f>1212.9+274.1</f>
        <v>1487</v>
      </c>
      <c r="I143" s="39">
        <v>1461.8</v>
      </c>
      <c r="J143" s="96">
        <f t="shared" si="31"/>
        <v>98.3</v>
      </c>
    </row>
    <row r="144" spans="1:10" ht="28.8" x14ac:dyDescent="0.3">
      <c r="A144" s="3"/>
      <c r="B144" s="25"/>
      <c r="C144" s="30" t="s">
        <v>99</v>
      </c>
      <c r="D144" s="30" t="s">
        <v>104</v>
      </c>
      <c r="E144" s="30"/>
      <c r="F144" s="30"/>
      <c r="G144" s="50" t="s">
        <v>199</v>
      </c>
      <c r="H144" s="40">
        <f>+H145+H168+H183</f>
        <v>154573.29999999999</v>
      </c>
      <c r="I144" s="40">
        <f>+I145+I168+I183</f>
        <v>150846.80000000002</v>
      </c>
      <c r="J144" s="42">
        <f t="shared" si="31"/>
        <v>97.6</v>
      </c>
    </row>
    <row r="145" spans="1:10" ht="93" customHeight="1" x14ac:dyDescent="0.3">
      <c r="A145" s="3"/>
      <c r="B145" s="25"/>
      <c r="C145" s="5" t="s">
        <v>99</v>
      </c>
      <c r="D145" s="5" t="s">
        <v>104</v>
      </c>
      <c r="E145" s="73" t="s">
        <v>73</v>
      </c>
      <c r="F145" s="30"/>
      <c r="G145" s="196" t="s">
        <v>507</v>
      </c>
      <c r="H145" s="98">
        <f t="shared" ref="H145:I145" si="32">H146</f>
        <v>144592</v>
      </c>
      <c r="I145" s="98">
        <f t="shared" si="32"/>
        <v>141493.40000000002</v>
      </c>
      <c r="J145" s="62">
        <f t="shared" si="31"/>
        <v>97.9</v>
      </c>
    </row>
    <row r="146" spans="1:10" ht="66.599999999999994" x14ac:dyDescent="0.3">
      <c r="A146" s="3"/>
      <c r="B146" s="25"/>
      <c r="C146" s="16" t="s">
        <v>99</v>
      </c>
      <c r="D146" s="16" t="s">
        <v>104</v>
      </c>
      <c r="E146" s="120" t="s">
        <v>74</v>
      </c>
      <c r="F146" s="118"/>
      <c r="G146" s="121" t="s">
        <v>166</v>
      </c>
      <c r="H146" s="122">
        <f>H147</f>
        <v>144592</v>
      </c>
      <c r="I146" s="122">
        <f>I147</f>
        <v>141493.40000000002</v>
      </c>
      <c r="J146" s="58">
        <f t="shared" si="31"/>
        <v>97.9</v>
      </c>
    </row>
    <row r="147" spans="1:10" ht="40.200000000000003" x14ac:dyDescent="0.3">
      <c r="A147" s="3"/>
      <c r="B147" s="25"/>
      <c r="C147" s="16" t="s">
        <v>99</v>
      </c>
      <c r="D147" s="16" t="s">
        <v>104</v>
      </c>
      <c r="E147" s="124" t="s">
        <v>300</v>
      </c>
      <c r="F147" s="118"/>
      <c r="G147" s="116" t="s">
        <v>315</v>
      </c>
      <c r="H147" s="158">
        <f>H148+H150+H152+H154+H156+H158+H160+H162+H164+H166</f>
        <v>144592</v>
      </c>
      <c r="I147" s="158">
        <f>I148+I150+I152+I154+I156+I158+I160+I162+I164+I166</f>
        <v>141493.40000000002</v>
      </c>
      <c r="J147" s="96">
        <f t="shared" si="31"/>
        <v>97.9</v>
      </c>
    </row>
    <row r="148" spans="1:10" ht="93" x14ac:dyDescent="0.3">
      <c r="A148" s="3"/>
      <c r="B148" s="25"/>
      <c r="C148" s="16" t="s">
        <v>99</v>
      </c>
      <c r="D148" s="16" t="s">
        <v>104</v>
      </c>
      <c r="E148" s="79">
        <v>910123405</v>
      </c>
      <c r="F148" s="118"/>
      <c r="G148" s="116" t="s">
        <v>299</v>
      </c>
      <c r="H148" s="110">
        <f>H149</f>
        <v>15386.8</v>
      </c>
      <c r="I148" s="110">
        <f>I149</f>
        <v>15221.1</v>
      </c>
      <c r="J148" s="96">
        <f t="shared" si="31"/>
        <v>98.9</v>
      </c>
    </row>
    <row r="149" spans="1:10" ht="39.6" x14ac:dyDescent="0.3">
      <c r="A149" s="3"/>
      <c r="B149" s="25"/>
      <c r="C149" s="16" t="s">
        <v>99</v>
      </c>
      <c r="D149" s="16" t="s">
        <v>104</v>
      </c>
      <c r="E149" s="79">
        <v>910123405</v>
      </c>
      <c r="F149" s="84" t="s">
        <v>212</v>
      </c>
      <c r="G149" s="100" t="s">
        <v>213</v>
      </c>
      <c r="H149" s="110">
        <v>15386.8</v>
      </c>
      <c r="I149" s="110">
        <v>15221.1</v>
      </c>
      <c r="J149" s="96">
        <f t="shared" si="31"/>
        <v>98.9</v>
      </c>
    </row>
    <row r="150" spans="1:10" ht="66.599999999999994" x14ac:dyDescent="0.3">
      <c r="A150" s="3"/>
      <c r="B150" s="25"/>
      <c r="C150" s="16" t="s">
        <v>99</v>
      </c>
      <c r="D150" s="16" t="s">
        <v>104</v>
      </c>
      <c r="E150" s="79">
        <v>910110520</v>
      </c>
      <c r="F150" s="118"/>
      <c r="G150" s="116" t="s">
        <v>186</v>
      </c>
      <c r="H150" s="110">
        <f>H151</f>
        <v>14385.6</v>
      </c>
      <c r="I150" s="110">
        <f>I151</f>
        <v>14385.6</v>
      </c>
      <c r="J150" s="96">
        <f t="shared" si="31"/>
        <v>100</v>
      </c>
    </row>
    <row r="151" spans="1:10" s="32" customFormat="1" ht="39.6" x14ac:dyDescent="0.3">
      <c r="A151" s="29"/>
      <c r="B151" s="25"/>
      <c r="C151" s="16" t="s">
        <v>99</v>
      </c>
      <c r="D151" s="16" t="s">
        <v>104</v>
      </c>
      <c r="E151" s="79">
        <v>910110520</v>
      </c>
      <c r="F151" s="84" t="s">
        <v>212</v>
      </c>
      <c r="G151" s="100" t="s">
        <v>213</v>
      </c>
      <c r="H151" s="197">
        <v>14385.6</v>
      </c>
      <c r="I151" s="39">
        <v>14385.6</v>
      </c>
      <c r="J151" s="96">
        <f t="shared" si="31"/>
        <v>100</v>
      </c>
    </row>
    <row r="152" spans="1:10" s="32" customFormat="1" ht="26.4" x14ac:dyDescent="0.3">
      <c r="A152" s="29"/>
      <c r="B152" s="25"/>
      <c r="C152" s="16" t="s">
        <v>99</v>
      </c>
      <c r="D152" s="16" t="s">
        <v>104</v>
      </c>
      <c r="E152" s="79">
        <v>910123410</v>
      </c>
      <c r="F152" s="123"/>
      <c r="G152" s="100" t="s">
        <v>187</v>
      </c>
      <c r="H152" s="110">
        <f>H153</f>
        <v>17208.600000000002</v>
      </c>
      <c r="I152" s="110">
        <f>прил.6!E354</f>
        <v>15891.6</v>
      </c>
      <c r="J152" s="96">
        <f t="shared" si="31"/>
        <v>92.3</v>
      </c>
    </row>
    <row r="153" spans="1:10" s="32" customFormat="1" ht="40.5" customHeight="1" x14ac:dyDescent="0.3">
      <c r="A153" s="29"/>
      <c r="B153" s="25"/>
      <c r="C153" s="16" t="s">
        <v>99</v>
      </c>
      <c r="D153" s="16" t="s">
        <v>104</v>
      </c>
      <c r="E153" s="79">
        <v>910123410</v>
      </c>
      <c r="F153" s="84" t="s">
        <v>212</v>
      </c>
      <c r="G153" s="100" t="s">
        <v>213</v>
      </c>
      <c r="H153" s="110">
        <f>16457+600-46.8+198.4</f>
        <v>17208.600000000002</v>
      </c>
      <c r="J153" s="96">
        <f>ROUND((прил.6!E354/H153*100),1)</f>
        <v>92.3</v>
      </c>
    </row>
    <row r="154" spans="1:10" s="32" customFormat="1" ht="90" customHeight="1" x14ac:dyDescent="0.3">
      <c r="A154" s="29"/>
      <c r="B154" s="25"/>
      <c r="C154" s="16" t="s">
        <v>99</v>
      </c>
      <c r="D154" s="16" t="s">
        <v>104</v>
      </c>
      <c r="E154" s="79">
        <v>910123415</v>
      </c>
      <c r="F154" s="84"/>
      <c r="G154" s="162" t="s">
        <v>509</v>
      </c>
      <c r="H154" s="110">
        <f>H155</f>
        <v>1156.8000000000002</v>
      </c>
      <c r="I154" s="110">
        <f>I155</f>
        <v>776.8</v>
      </c>
      <c r="J154" s="96">
        <f t="shared" ref="J154:J196" si="33">ROUND((I154/H154*100),1)</f>
        <v>67.2</v>
      </c>
    </row>
    <row r="155" spans="1:10" s="32" customFormat="1" ht="39.6" x14ac:dyDescent="0.3">
      <c r="A155" s="29"/>
      <c r="B155" s="25"/>
      <c r="C155" s="16" t="s">
        <v>99</v>
      </c>
      <c r="D155" s="16" t="s">
        <v>104</v>
      </c>
      <c r="E155" s="79">
        <v>910123415</v>
      </c>
      <c r="F155" s="84" t="s">
        <v>212</v>
      </c>
      <c r="G155" s="100" t="s">
        <v>213</v>
      </c>
      <c r="H155" s="110">
        <f>100+46.8+613.9+396.1</f>
        <v>1156.8000000000002</v>
      </c>
      <c r="I155" s="39">
        <v>776.8</v>
      </c>
      <c r="J155" s="96">
        <f t="shared" si="33"/>
        <v>67.2</v>
      </c>
    </row>
    <row r="156" spans="1:10" s="32" customFormat="1" ht="26.4" x14ac:dyDescent="0.3">
      <c r="A156" s="29"/>
      <c r="B156" s="25"/>
      <c r="C156" s="16" t="s">
        <v>99</v>
      </c>
      <c r="D156" s="16" t="s">
        <v>104</v>
      </c>
      <c r="E156" s="79">
        <v>910123420</v>
      </c>
      <c r="F156" s="84"/>
      <c r="G156" s="153" t="s">
        <v>397</v>
      </c>
      <c r="H156" s="110">
        <f>H157</f>
        <v>1097.7000000000003</v>
      </c>
      <c r="I156" s="110">
        <f>I157</f>
        <v>1097.7</v>
      </c>
      <c r="J156" s="96">
        <f t="shared" si="33"/>
        <v>100</v>
      </c>
    </row>
    <row r="157" spans="1:10" ht="39.6" x14ac:dyDescent="0.25">
      <c r="A157" s="148"/>
      <c r="B157" s="25"/>
      <c r="C157" s="16" t="s">
        <v>99</v>
      </c>
      <c r="D157" s="16" t="s">
        <v>104</v>
      </c>
      <c r="E157" s="79">
        <v>910123420</v>
      </c>
      <c r="F157" s="84" t="s">
        <v>212</v>
      </c>
      <c r="G157" s="100" t="s">
        <v>213</v>
      </c>
      <c r="H157" s="110">
        <f>12651-12243.9+690.6</f>
        <v>1097.7000000000003</v>
      </c>
      <c r="I157" s="39">
        <v>1097.7</v>
      </c>
      <c r="J157" s="96">
        <f t="shared" si="33"/>
        <v>100</v>
      </c>
    </row>
    <row r="158" spans="1:10" ht="53.25" customHeight="1" x14ac:dyDescent="0.25">
      <c r="A158" s="148"/>
      <c r="B158" s="25"/>
      <c r="C158" s="16" t="s">
        <v>99</v>
      </c>
      <c r="D158" s="16" t="s">
        <v>104</v>
      </c>
      <c r="E158" s="79" t="s">
        <v>364</v>
      </c>
      <c r="F158" s="84"/>
      <c r="G158" s="147" t="s">
        <v>363</v>
      </c>
      <c r="H158" s="110">
        <f>H159</f>
        <v>3252.6</v>
      </c>
      <c r="I158" s="110">
        <f>I159</f>
        <v>3252.6</v>
      </c>
      <c r="J158" s="96">
        <f t="shared" si="33"/>
        <v>100</v>
      </c>
    </row>
    <row r="159" spans="1:10" ht="39.6" x14ac:dyDescent="0.25">
      <c r="A159" s="148"/>
      <c r="B159" s="25"/>
      <c r="C159" s="16" t="s">
        <v>99</v>
      </c>
      <c r="D159" s="16" t="s">
        <v>104</v>
      </c>
      <c r="E159" s="79" t="s">
        <v>364</v>
      </c>
      <c r="F159" s="84" t="s">
        <v>212</v>
      </c>
      <c r="G159" s="100" t="s">
        <v>213</v>
      </c>
      <c r="H159" s="110">
        <f>2537.7+3348.8-2683.9+50</f>
        <v>3252.6</v>
      </c>
      <c r="I159" s="39">
        <v>3252.6</v>
      </c>
      <c r="J159" s="96">
        <f t="shared" si="33"/>
        <v>100</v>
      </c>
    </row>
    <row r="160" spans="1:10" ht="66" x14ac:dyDescent="0.25">
      <c r="A160" s="148"/>
      <c r="B160" s="25"/>
      <c r="C160" s="16" t="s">
        <v>99</v>
      </c>
      <c r="D160" s="16" t="s">
        <v>104</v>
      </c>
      <c r="E160" s="198" t="s">
        <v>510</v>
      </c>
      <c r="F160" s="84"/>
      <c r="G160" s="147" t="s">
        <v>365</v>
      </c>
      <c r="H160" s="110">
        <f>H161</f>
        <v>4823.8999999999996</v>
      </c>
      <c r="I160" s="110">
        <f>I161</f>
        <v>4823.8999999999996</v>
      </c>
      <c r="J160" s="96">
        <f t="shared" si="33"/>
        <v>100</v>
      </c>
    </row>
    <row r="161" spans="1:10" ht="39.6" x14ac:dyDescent="0.25">
      <c r="A161" s="148"/>
      <c r="B161" s="25"/>
      <c r="C161" s="16" t="s">
        <v>99</v>
      </c>
      <c r="D161" s="16" t="s">
        <v>104</v>
      </c>
      <c r="E161" s="198" t="s">
        <v>510</v>
      </c>
      <c r="F161" s="84" t="s">
        <v>212</v>
      </c>
      <c r="G161" s="100" t="s">
        <v>213</v>
      </c>
      <c r="H161" s="197">
        <f>2140.1+2683.8</f>
        <v>4823.8999999999996</v>
      </c>
      <c r="I161" s="39">
        <v>4823.8999999999996</v>
      </c>
      <c r="J161" s="96">
        <f t="shared" si="33"/>
        <v>100</v>
      </c>
    </row>
    <row r="162" spans="1:10" ht="26.4" x14ac:dyDescent="0.25">
      <c r="A162" s="148"/>
      <c r="B162" s="25"/>
      <c r="C162" s="16" t="s">
        <v>99</v>
      </c>
      <c r="D162" s="16" t="s">
        <v>104</v>
      </c>
      <c r="E162" s="79" t="s">
        <v>359</v>
      </c>
      <c r="F162" s="84"/>
      <c r="G162" s="100" t="s">
        <v>360</v>
      </c>
      <c r="H162" s="110">
        <f>H163</f>
        <v>23367.8</v>
      </c>
      <c r="I162" s="110">
        <f>I163</f>
        <v>22763.1</v>
      </c>
      <c r="J162" s="96">
        <f t="shared" si="33"/>
        <v>97.4</v>
      </c>
    </row>
    <row r="163" spans="1:10" ht="37.5" customHeight="1" x14ac:dyDescent="0.25">
      <c r="A163" s="148"/>
      <c r="B163" s="25"/>
      <c r="C163" s="16" t="s">
        <v>99</v>
      </c>
      <c r="D163" s="16" t="s">
        <v>104</v>
      </c>
      <c r="E163" s="79" t="s">
        <v>359</v>
      </c>
      <c r="F163" s="84" t="s">
        <v>212</v>
      </c>
      <c r="G163" s="100" t="s">
        <v>213</v>
      </c>
      <c r="H163" s="110">
        <f>9764.5+183.4+5789.2-1209.5+9332-491.8</f>
        <v>23367.8</v>
      </c>
      <c r="I163" s="110">
        <v>22763.1</v>
      </c>
      <c r="J163" s="96">
        <f t="shared" si="33"/>
        <v>97.4</v>
      </c>
    </row>
    <row r="164" spans="1:10" ht="26.4" x14ac:dyDescent="0.25">
      <c r="A164" s="148"/>
      <c r="B164" s="25"/>
      <c r="C164" s="16" t="s">
        <v>99</v>
      </c>
      <c r="D164" s="16" t="s">
        <v>104</v>
      </c>
      <c r="E164" s="199" t="s">
        <v>511</v>
      </c>
      <c r="F164" s="84"/>
      <c r="G164" s="100" t="s">
        <v>361</v>
      </c>
      <c r="H164" s="110">
        <f>H165</f>
        <v>53755</v>
      </c>
      <c r="I164" s="110">
        <f>I165</f>
        <v>53123.8</v>
      </c>
      <c r="J164" s="96">
        <f t="shared" si="33"/>
        <v>98.8</v>
      </c>
    </row>
    <row r="165" spans="1:10" ht="39.6" x14ac:dyDescent="0.25">
      <c r="A165" s="148"/>
      <c r="B165" s="25"/>
      <c r="C165" s="16" t="s">
        <v>99</v>
      </c>
      <c r="D165" s="16" t="s">
        <v>104</v>
      </c>
      <c r="E165" s="199" t="s">
        <v>511</v>
      </c>
      <c r="F165" s="84" t="s">
        <v>212</v>
      </c>
      <c r="G165" s="100" t="s">
        <v>213</v>
      </c>
      <c r="H165" s="158">
        <f>23622.2+30132.8</f>
        <v>53755</v>
      </c>
      <c r="I165" s="110">
        <v>53123.8</v>
      </c>
      <c r="J165" s="96">
        <f t="shared" si="33"/>
        <v>98.8</v>
      </c>
    </row>
    <row r="166" spans="1:10" ht="26.4" x14ac:dyDescent="0.25">
      <c r="A166" s="148"/>
      <c r="B166" s="25"/>
      <c r="C166" s="16" t="s">
        <v>99</v>
      </c>
      <c r="D166" s="16" t="s">
        <v>104</v>
      </c>
      <c r="E166" s="79">
        <v>910123425</v>
      </c>
      <c r="F166" s="84"/>
      <c r="G166" s="100" t="s">
        <v>395</v>
      </c>
      <c r="H166" s="110">
        <f>H167</f>
        <v>10157.200000000001</v>
      </c>
      <c r="I166" s="110">
        <f>I167</f>
        <v>10157.200000000001</v>
      </c>
      <c r="J166" s="96">
        <f t="shared" si="33"/>
        <v>100</v>
      </c>
    </row>
    <row r="167" spans="1:10" ht="39.6" x14ac:dyDescent="0.25">
      <c r="A167" s="148"/>
      <c r="B167" s="25"/>
      <c r="C167" s="16" t="s">
        <v>99</v>
      </c>
      <c r="D167" s="16" t="s">
        <v>104</v>
      </c>
      <c r="E167" s="79">
        <v>910123425</v>
      </c>
      <c r="F167" s="84" t="s">
        <v>212</v>
      </c>
      <c r="G167" s="100" t="s">
        <v>213</v>
      </c>
      <c r="H167" s="110">
        <f>19547-17315.6+12.8+2269.3+6532.7-690.6-198.4</f>
        <v>10157.200000000001</v>
      </c>
      <c r="I167" s="41">
        <v>10157.200000000001</v>
      </c>
      <c r="J167" s="96">
        <f t="shared" si="33"/>
        <v>100</v>
      </c>
    </row>
    <row r="168" spans="1:10" ht="131.25" customHeight="1" x14ac:dyDescent="0.25">
      <c r="A168" s="148"/>
      <c r="B168" s="25"/>
      <c r="C168" s="5" t="s">
        <v>99</v>
      </c>
      <c r="D168" s="5" t="s">
        <v>104</v>
      </c>
      <c r="E168" s="73" t="s">
        <v>512</v>
      </c>
      <c r="F168" s="84"/>
      <c r="G168" s="200" t="s">
        <v>513</v>
      </c>
      <c r="H168" s="98">
        <f>H169</f>
        <v>5615.2999999999993</v>
      </c>
      <c r="I168" s="98">
        <f>I169</f>
        <v>5590.9</v>
      </c>
      <c r="J168" s="62">
        <f t="shared" si="33"/>
        <v>99.6</v>
      </c>
    </row>
    <row r="169" spans="1:10" ht="54.75" customHeight="1" x14ac:dyDescent="0.25">
      <c r="A169" s="148"/>
      <c r="B169" s="25"/>
      <c r="C169" s="47" t="s">
        <v>99</v>
      </c>
      <c r="D169" s="47" t="s">
        <v>104</v>
      </c>
      <c r="E169" s="201">
        <v>1510000000</v>
      </c>
      <c r="F169" s="84"/>
      <c r="G169" s="48" t="s">
        <v>400</v>
      </c>
      <c r="H169" s="41">
        <f>H170</f>
        <v>5615.2999999999993</v>
      </c>
      <c r="I169" s="41">
        <f>I170</f>
        <v>5590.9</v>
      </c>
      <c r="J169" s="58">
        <f t="shared" si="33"/>
        <v>99.6</v>
      </c>
    </row>
    <row r="170" spans="1:10" ht="66" x14ac:dyDescent="0.25">
      <c r="A170" s="148"/>
      <c r="B170" s="25"/>
      <c r="C170" s="16" t="s">
        <v>99</v>
      </c>
      <c r="D170" s="16" t="s">
        <v>104</v>
      </c>
      <c r="E170" s="204">
        <v>1510200000</v>
      </c>
      <c r="F170" s="84"/>
      <c r="G170" s="100" t="s">
        <v>745</v>
      </c>
      <c r="H170" s="41">
        <f>H171+H173+H175+H177+H179+H181</f>
        <v>5615.2999999999993</v>
      </c>
      <c r="I170" s="41">
        <f>I171+I173+I175+I177+I179+I181</f>
        <v>5590.9</v>
      </c>
      <c r="J170" s="96">
        <f t="shared" si="33"/>
        <v>99.6</v>
      </c>
    </row>
    <row r="171" spans="1:10" ht="52.8" x14ac:dyDescent="0.25">
      <c r="A171" s="148"/>
      <c r="B171" s="25"/>
      <c r="C171" s="16" t="s">
        <v>99</v>
      </c>
      <c r="D171" s="16" t="s">
        <v>104</v>
      </c>
      <c r="E171" s="51" t="s">
        <v>514</v>
      </c>
      <c r="F171" s="84"/>
      <c r="G171" s="125" t="s">
        <v>515</v>
      </c>
      <c r="H171" s="41">
        <f>H172</f>
        <v>613.9</v>
      </c>
      <c r="I171" s="110">
        <f>I172</f>
        <v>613.9</v>
      </c>
      <c r="J171" s="96">
        <f t="shared" si="33"/>
        <v>100</v>
      </c>
    </row>
    <row r="172" spans="1:10" ht="39.6" x14ac:dyDescent="0.25">
      <c r="A172" s="148"/>
      <c r="B172" s="25"/>
      <c r="C172" s="16" t="s">
        <v>99</v>
      </c>
      <c r="D172" s="16" t="s">
        <v>104</v>
      </c>
      <c r="E172" s="51" t="s">
        <v>514</v>
      </c>
      <c r="F172" s="84" t="s">
        <v>212</v>
      </c>
      <c r="G172" s="100" t="s">
        <v>213</v>
      </c>
      <c r="H172" s="92">
        <v>613.9</v>
      </c>
      <c r="I172" s="110">
        <v>613.9</v>
      </c>
      <c r="J172" s="96">
        <f t="shared" si="33"/>
        <v>100</v>
      </c>
    </row>
    <row r="173" spans="1:10" ht="52.8" x14ac:dyDescent="0.25">
      <c r="A173" s="148"/>
      <c r="B173" s="25"/>
      <c r="C173" s="16" t="s">
        <v>99</v>
      </c>
      <c r="D173" s="16" t="s">
        <v>104</v>
      </c>
      <c r="E173" s="51" t="s">
        <v>516</v>
      </c>
      <c r="F173" s="84"/>
      <c r="G173" s="125" t="s">
        <v>517</v>
      </c>
      <c r="H173" s="41">
        <f>H174</f>
        <v>521.1</v>
      </c>
      <c r="I173" s="110">
        <f>I174</f>
        <v>521.1</v>
      </c>
      <c r="J173" s="96">
        <f t="shared" si="33"/>
        <v>100</v>
      </c>
    </row>
    <row r="174" spans="1:10" ht="39.6" x14ac:dyDescent="0.25">
      <c r="A174" s="148"/>
      <c r="B174" s="25"/>
      <c r="C174" s="16" t="s">
        <v>99</v>
      </c>
      <c r="D174" s="16" t="s">
        <v>104</v>
      </c>
      <c r="E174" s="51" t="s">
        <v>516</v>
      </c>
      <c r="F174" s="84" t="s">
        <v>212</v>
      </c>
      <c r="G174" s="100" t="s">
        <v>213</v>
      </c>
      <c r="H174" s="41">
        <f>306.8+135.7+78.6</f>
        <v>521.1</v>
      </c>
      <c r="I174" s="41">
        <v>521.1</v>
      </c>
      <c r="J174" s="96">
        <f t="shared" si="33"/>
        <v>100</v>
      </c>
    </row>
    <row r="175" spans="1:10" ht="66" x14ac:dyDescent="0.25">
      <c r="A175" s="148"/>
      <c r="B175" s="25"/>
      <c r="C175" s="16" t="s">
        <v>99</v>
      </c>
      <c r="D175" s="16" t="s">
        <v>104</v>
      </c>
      <c r="E175" s="51" t="s">
        <v>518</v>
      </c>
      <c r="F175" s="84"/>
      <c r="G175" s="100" t="s">
        <v>519</v>
      </c>
      <c r="H175" s="41">
        <f>H176</f>
        <v>2151.6999999999998</v>
      </c>
      <c r="I175" s="110">
        <f>I176</f>
        <v>2149</v>
      </c>
      <c r="J175" s="96">
        <f t="shared" si="33"/>
        <v>99.9</v>
      </c>
    </row>
    <row r="176" spans="1:10" ht="39.6" x14ac:dyDescent="0.25">
      <c r="A176" s="148"/>
      <c r="B176" s="25"/>
      <c r="C176" s="16" t="s">
        <v>99</v>
      </c>
      <c r="D176" s="16" t="s">
        <v>104</v>
      </c>
      <c r="E176" s="51" t="s">
        <v>518</v>
      </c>
      <c r="F176" s="84" t="s">
        <v>212</v>
      </c>
      <c r="G176" s="100" t="s">
        <v>213</v>
      </c>
      <c r="H176" s="41">
        <f>2179.5-27.8</f>
        <v>2151.6999999999998</v>
      </c>
      <c r="I176" s="110">
        <v>2149</v>
      </c>
      <c r="J176" s="96">
        <f t="shared" si="33"/>
        <v>99.9</v>
      </c>
    </row>
    <row r="177" spans="1:10" ht="52.8" x14ac:dyDescent="0.25">
      <c r="A177" s="148"/>
      <c r="B177" s="25"/>
      <c r="C177" s="16" t="s">
        <v>99</v>
      </c>
      <c r="D177" s="16" t="s">
        <v>104</v>
      </c>
      <c r="E177" s="150">
        <v>1510219017</v>
      </c>
      <c r="F177" s="84"/>
      <c r="G177" s="125" t="s">
        <v>515</v>
      </c>
      <c r="H177" s="41">
        <f>H178</f>
        <v>410</v>
      </c>
      <c r="I177" s="110">
        <f>I178</f>
        <v>410</v>
      </c>
      <c r="J177" s="96">
        <f t="shared" si="33"/>
        <v>100</v>
      </c>
    </row>
    <row r="178" spans="1:10" ht="39.6" x14ac:dyDescent="0.25">
      <c r="A178" s="148"/>
      <c r="B178" s="25"/>
      <c r="C178" s="16" t="s">
        <v>99</v>
      </c>
      <c r="D178" s="16" t="s">
        <v>104</v>
      </c>
      <c r="E178" s="152">
        <v>1510219017</v>
      </c>
      <c r="F178" s="84" t="s">
        <v>212</v>
      </c>
      <c r="G178" s="100" t="s">
        <v>213</v>
      </c>
      <c r="H178" s="41">
        <v>410</v>
      </c>
      <c r="I178" s="110">
        <v>410</v>
      </c>
      <c r="J178" s="96">
        <f t="shared" si="33"/>
        <v>100</v>
      </c>
    </row>
    <row r="179" spans="1:10" ht="52.8" x14ac:dyDescent="0.25">
      <c r="A179" s="148"/>
      <c r="B179" s="25"/>
      <c r="C179" s="16" t="s">
        <v>99</v>
      </c>
      <c r="D179" s="16" t="s">
        <v>104</v>
      </c>
      <c r="E179" s="152">
        <v>1510219018</v>
      </c>
      <c r="F179" s="84"/>
      <c r="G179" s="125" t="s">
        <v>520</v>
      </c>
      <c r="H179" s="41">
        <f>H180</f>
        <v>442.5</v>
      </c>
      <c r="I179" s="110">
        <f>I180</f>
        <v>442.5</v>
      </c>
      <c r="J179" s="96">
        <f t="shared" si="33"/>
        <v>100</v>
      </c>
    </row>
    <row r="180" spans="1:10" ht="39.6" x14ac:dyDescent="0.25">
      <c r="A180" s="148"/>
      <c r="B180" s="25"/>
      <c r="C180" s="16" t="s">
        <v>99</v>
      </c>
      <c r="D180" s="16" t="s">
        <v>104</v>
      </c>
      <c r="E180" s="152">
        <v>1510219018</v>
      </c>
      <c r="F180" s="84" t="s">
        <v>212</v>
      </c>
      <c r="G180" s="100" t="s">
        <v>213</v>
      </c>
      <c r="H180" s="41">
        <v>442.5</v>
      </c>
      <c r="I180" s="110">
        <v>442.5</v>
      </c>
      <c r="J180" s="96">
        <f t="shared" si="33"/>
        <v>100</v>
      </c>
    </row>
    <row r="181" spans="1:10" ht="66" x14ac:dyDescent="0.25">
      <c r="A181" s="148"/>
      <c r="B181" s="25"/>
      <c r="C181" s="16" t="s">
        <v>99</v>
      </c>
      <c r="D181" s="16" t="s">
        <v>104</v>
      </c>
      <c r="E181" s="152">
        <v>1510219021</v>
      </c>
      <c r="F181" s="84"/>
      <c r="G181" s="100" t="s">
        <v>519</v>
      </c>
      <c r="H181" s="41">
        <f>H182</f>
        <v>1476.1</v>
      </c>
      <c r="I181" s="110">
        <f>I182</f>
        <v>1454.4</v>
      </c>
      <c r="J181" s="96">
        <f t="shared" si="33"/>
        <v>98.5</v>
      </c>
    </row>
    <row r="182" spans="1:10" ht="39.6" x14ac:dyDescent="0.25">
      <c r="A182" s="148"/>
      <c r="B182" s="25"/>
      <c r="C182" s="16" t="s">
        <v>99</v>
      </c>
      <c r="D182" s="16" t="s">
        <v>104</v>
      </c>
      <c r="E182" s="152">
        <v>1510219021</v>
      </c>
      <c r="F182" s="84" t="s">
        <v>212</v>
      </c>
      <c r="G182" s="100" t="s">
        <v>213</v>
      </c>
      <c r="H182" s="41">
        <v>1476.1</v>
      </c>
      <c r="I182" s="110">
        <v>1454.4</v>
      </c>
      <c r="J182" s="96">
        <f t="shared" si="33"/>
        <v>98.5</v>
      </c>
    </row>
    <row r="183" spans="1:10" ht="92.4" x14ac:dyDescent="0.25">
      <c r="A183" s="148"/>
      <c r="B183" s="25"/>
      <c r="C183" s="73" t="s">
        <v>99</v>
      </c>
      <c r="D183" s="73" t="s">
        <v>104</v>
      </c>
      <c r="E183" s="73" t="s">
        <v>228</v>
      </c>
      <c r="F183" s="16"/>
      <c r="G183" s="64" t="s">
        <v>502</v>
      </c>
      <c r="H183" s="98">
        <f>H184</f>
        <v>4366</v>
      </c>
      <c r="I183" s="98">
        <f>I184</f>
        <v>3762.5</v>
      </c>
      <c r="J183" s="62">
        <f t="shared" si="33"/>
        <v>86.2</v>
      </c>
    </row>
    <row r="184" spans="1:10" ht="52.8" x14ac:dyDescent="0.25">
      <c r="A184" s="148"/>
      <c r="B184" s="25"/>
      <c r="C184" s="52" t="s">
        <v>99</v>
      </c>
      <c r="D184" s="52" t="s">
        <v>104</v>
      </c>
      <c r="E184" s="52" t="s">
        <v>229</v>
      </c>
      <c r="F184" s="47"/>
      <c r="G184" s="48" t="s">
        <v>230</v>
      </c>
      <c r="H184" s="98">
        <f>H185+H188</f>
        <v>4366</v>
      </c>
      <c r="I184" s="98">
        <f>I185+I188</f>
        <v>3762.5</v>
      </c>
      <c r="J184" s="58">
        <f t="shared" si="33"/>
        <v>86.2</v>
      </c>
    </row>
    <row r="185" spans="1:10" ht="52.8" x14ac:dyDescent="0.25">
      <c r="A185" s="148"/>
      <c r="B185" s="25"/>
      <c r="C185" s="21" t="s">
        <v>99</v>
      </c>
      <c r="D185" s="21" t="s">
        <v>104</v>
      </c>
      <c r="E185" s="21" t="s">
        <v>231</v>
      </c>
      <c r="F185" s="84"/>
      <c r="G185" s="100" t="s">
        <v>232</v>
      </c>
      <c r="H185" s="41">
        <f>H186</f>
        <v>400</v>
      </c>
      <c r="I185" s="41">
        <f>I186</f>
        <v>170.7</v>
      </c>
      <c r="J185" s="96">
        <f t="shared" si="33"/>
        <v>42.7</v>
      </c>
    </row>
    <row r="186" spans="1:10" ht="26.4" x14ac:dyDescent="0.25">
      <c r="A186" s="148"/>
      <c r="B186" s="25"/>
      <c r="C186" s="21" t="s">
        <v>99</v>
      </c>
      <c r="D186" s="21" t="s">
        <v>104</v>
      </c>
      <c r="E186" s="21" t="s">
        <v>521</v>
      </c>
      <c r="F186" s="16"/>
      <c r="G186" s="100" t="s">
        <v>343</v>
      </c>
      <c r="H186" s="41">
        <f>H187</f>
        <v>400</v>
      </c>
      <c r="I186" s="41">
        <f>I187</f>
        <v>170.7</v>
      </c>
      <c r="J186" s="96">
        <f t="shared" si="33"/>
        <v>42.7</v>
      </c>
    </row>
    <row r="187" spans="1:10" ht="39.6" x14ac:dyDescent="0.25">
      <c r="A187" s="148"/>
      <c r="B187" s="25"/>
      <c r="C187" s="21" t="s">
        <v>99</v>
      </c>
      <c r="D187" s="21" t="s">
        <v>104</v>
      </c>
      <c r="E187" s="21" t="s">
        <v>521</v>
      </c>
      <c r="F187" s="84" t="s">
        <v>212</v>
      </c>
      <c r="G187" s="100" t="s">
        <v>213</v>
      </c>
      <c r="H187" s="41">
        <v>400</v>
      </c>
      <c r="I187" s="95">
        <v>170.7</v>
      </c>
      <c r="J187" s="96">
        <f t="shared" si="33"/>
        <v>42.7</v>
      </c>
    </row>
    <row r="188" spans="1:10" ht="66" x14ac:dyDescent="0.25">
      <c r="A188" s="148"/>
      <c r="B188" s="25"/>
      <c r="C188" s="21" t="s">
        <v>99</v>
      </c>
      <c r="D188" s="21" t="s">
        <v>104</v>
      </c>
      <c r="E188" s="51" t="s">
        <v>405</v>
      </c>
      <c r="F188" s="84"/>
      <c r="G188" s="100" t="s">
        <v>408</v>
      </c>
      <c r="H188" s="41">
        <f>H189+H191</f>
        <v>3966</v>
      </c>
      <c r="I188" s="41">
        <f>I189+I191</f>
        <v>3591.8</v>
      </c>
      <c r="J188" s="96">
        <f t="shared" si="33"/>
        <v>90.6</v>
      </c>
    </row>
    <row r="189" spans="1:10" ht="39.6" x14ac:dyDescent="0.25">
      <c r="A189" s="148"/>
      <c r="B189" s="25"/>
      <c r="C189" s="21" t="s">
        <v>99</v>
      </c>
      <c r="D189" s="21" t="s">
        <v>104</v>
      </c>
      <c r="E189" s="51" t="s">
        <v>371</v>
      </c>
      <c r="F189" s="84"/>
      <c r="G189" s="100" t="s">
        <v>368</v>
      </c>
      <c r="H189" s="41">
        <f>H190</f>
        <v>882.99999999999989</v>
      </c>
      <c r="I189" s="41">
        <f>I190</f>
        <v>718.4</v>
      </c>
      <c r="J189" s="96">
        <f t="shared" si="33"/>
        <v>81.400000000000006</v>
      </c>
    </row>
    <row r="190" spans="1:10" ht="39.6" x14ac:dyDescent="0.25">
      <c r="A190" s="148"/>
      <c r="B190" s="25"/>
      <c r="C190" s="21" t="s">
        <v>99</v>
      </c>
      <c r="D190" s="21" t="s">
        <v>104</v>
      </c>
      <c r="E190" s="51" t="s">
        <v>371</v>
      </c>
      <c r="F190" s="84" t="s">
        <v>212</v>
      </c>
      <c r="G190" s="100" t="s">
        <v>213</v>
      </c>
      <c r="H190" s="41">
        <f>844.9+1003.2-965.1</f>
        <v>882.99999999999989</v>
      </c>
      <c r="I190" s="41">
        <v>718.4</v>
      </c>
      <c r="J190" s="96">
        <f t="shared" si="33"/>
        <v>81.400000000000006</v>
      </c>
    </row>
    <row r="191" spans="1:10" ht="52.5" customHeight="1" x14ac:dyDescent="0.25">
      <c r="A191" s="148"/>
      <c r="B191" s="25"/>
      <c r="C191" s="21" t="s">
        <v>99</v>
      </c>
      <c r="D191" s="21" t="s">
        <v>104</v>
      </c>
      <c r="E191" s="51" t="s">
        <v>372</v>
      </c>
      <c r="F191" s="84"/>
      <c r="G191" s="100" t="s">
        <v>366</v>
      </c>
      <c r="H191" s="41">
        <f>H192</f>
        <v>3083</v>
      </c>
      <c r="I191" s="158">
        <f>I192</f>
        <v>2873.4</v>
      </c>
      <c r="J191" s="96">
        <f t="shared" si="33"/>
        <v>93.2</v>
      </c>
    </row>
    <row r="192" spans="1:10" ht="41.25" customHeight="1" x14ac:dyDescent="0.25">
      <c r="A192" s="148"/>
      <c r="B192" s="25"/>
      <c r="C192" s="21" t="s">
        <v>99</v>
      </c>
      <c r="D192" s="21" t="s">
        <v>104</v>
      </c>
      <c r="E192" s="51" t="s">
        <v>372</v>
      </c>
      <c r="F192" s="84" t="s">
        <v>212</v>
      </c>
      <c r="G192" s="100" t="s">
        <v>213</v>
      </c>
      <c r="H192" s="158">
        <f>1279+2116-312</f>
        <v>3083</v>
      </c>
      <c r="I192" s="41">
        <v>2873.4</v>
      </c>
      <c r="J192" s="96">
        <f t="shared" si="33"/>
        <v>93.2</v>
      </c>
    </row>
    <row r="193" spans="1:10" ht="27" x14ac:dyDescent="0.3">
      <c r="A193" s="148"/>
      <c r="B193" s="25"/>
      <c r="C193" s="30" t="s">
        <v>99</v>
      </c>
      <c r="D193" s="30" t="s">
        <v>127</v>
      </c>
      <c r="E193" s="30"/>
      <c r="F193" s="30"/>
      <c r="G193" s="46" t="s">
        <v>4</v>
      </c>
      <c r="H193" s="40">
        <f>H194+H204+H222</f>
        <v>4129</v>
      </c>
      <c r="I193" s="40">
        <f>I194+I204+I222</f>
        <v>4129</v>
      </c>
      <c r="J193" s="42">
        <f t="shared" si="33"/>
        <v>100</v>
      </c>
    </row>
    <row r="194" spans="1:10" ht="88.5" customHeight="1" x14ac:dyDescent="0.25">
      <c r="A194" s="148"/>
      <c r="B194" s="25"/>
      <c r="C194" s="16" t="s">
        <v>99</v>
      </c>
      <c r="D194" s="16" t="s">
        <v>127</v>
      </c>
      <c r="E194" s="73" t="s">
        <v>75</v>
      </c>
      <c r="F194" s="16"/>
      <c r="G194" s="194" t="s">
        <v>484</v>
      </c>
      <c r="H194" s="98">
        <f t="shared" ref="H194:I194" si="34">H195</f>
        <v>2022.0000000000002</v>
      </c>
      <c r="I194" s="98">
        <f t="shared" si="34"/>
        <v>2022</v>
      </c>
      <c r="J194" s="62">
        <f t="shared" si="33"/>
        <v>100</v>
      </c>
    </row>
    <row r="195" spans="1:10" ht="39.6" x14ac:dyDescent="0.25">
      <c r="A195" s="148"/>
      <c r="B195" s="25"/>
      <c r="C195" s="16" t="s">
        <v>99</v>
      </c>
      <c r="D195" s="16" t="s">
        <v>127</v>
      </c>
      <c r="E195" s="52" t="s">
        <v>164</v>
      </c>
      <c r="F195" s="16"/>
      <c r="G195" s="48" t="s">
        <v>163</v>
      </c>
      <c r="H195" s="95">
        <f>H196+H199</f>
        <v>2022.0000000000002</v>
      </c>
      <c r="I195" s="95">
        <f>I196+I199</f>
        <v>2022</v>
      </c>
      <c r="J195" s="58">
        <f t="shared" si="33"/>
        <v>100</v>
      </c>
    </row>
    <row r="196" spans="1:10" ht="79.2" x14ac:dyDescent="0.25">
      <c r="A196" s="148"/>
      <c r="B196" s="25"/>
      <c r="C196" s="16" t="s">
        <v>99</v>
      </c>
      <c r="D196" s="16" t="s">
        <v>127</v>
      </c>
      <c r="E196" s="21" t="s">
        <v>250</v>
      </c>
      <c r="F196" s="16"/>
      <c r="G196" s="102" t="s">
        <v>318</v>
      </c>
      <c r="H196" s="41">
        <f t="shared" ref="H196:I197" si="35">H197</f>
        <v>200</v>
      </c>
      <c r="I196" s="41">
        <f t="shared" si="35"/>
        <v>200</v>
      </c>
      <c r="J196" s="218">
        <f t="shared" si="33"/>
        <v>100</v>
      </c>
    </row>
    <row r="197" spans="1:10" ht="53.4" x14ac:dyDescent="0.3">
      <c r="A197" s="148"/>
      <c r="B197" s="25"/>
      <c r="C197" s="16" t="s">
        <v>99</v>
      </c>
      <c r="D197" s="16" t="s">
        <v>127</v>
      </c>
      <c r="E197" s="21" t="s">
        <v>522</v>
      </c>
      <c r="F197" s="30"/>
      <c r="G197" s="99" t="s">
        <v>165</v>
      </c>
      <c r="H197" s="41">
        <f t="shared" si="35"/>
        <v>200</v>
      </c>
      <c r="I197" s="41">
        <f t="shared" si="35"/>
        <v>200</v>
      </c>
      <c r="J197" s="96">
        <f t="shared" ref="J197:J255" si="36">ROUND((I197/H197*100),1)</f>
        <v>100</v>
      </c>
    </row>
    <row r="198" spans="1:10" ht="39.6" x14ac:dyDescent="0.25">
      <c r="A198" s="148"/>
      <c r="B198" s="25"/>
      <c r="C198" s="16" t="s">
        <v>99</v>
      </c>
      <c r="D198" s="16" t="s">
        <v>127</v>
      </c>
      <c r="E198" s="21" t="s">
        <v>522</v>
      </c>
      <c r="F198" s="84" t="s">
        <v>212</v>
      </c>
      <c r="G198" s="100" t="s">
        <v>213</v>
      </c>
      <c r="H198" s="39">
        <v>200</v>
      </c>
      <c r="I198" s="39">
        <v>200</v>
      </c>
      <c r="J198" s="96">
        <f t="shared" si="36"/>
        <v>100</v>
      </c>
    </row>
    <row r="199" spans="1:10" ht="26.4" x14ac:dyDescent="0.25">
      <c r="A199" s="148"/>
      <c r="B199" s="25"/>
      <c r="C199" s="16" t="s">
        <v>99</v>
      </c>
      <c r="D199" s="16" t="s">
        <v>127</v>
      </c>
      <c r="E199" s="21" t="s">
        <v>357</v>
      </c>
      <c r="F199" s="84"/>
      <c r="G199" s="102" t="s">
        <v>354</v>
      </c>
      <c r="H199" s="41">
        <f>H200+H202</f>
        <v>1822.0000000000002</v>
      </c>
      <c r="I199" s="41">
        <f>I200+I202</f>
        <v>1822</v>
      </c>
      <c r="J199" s="96">
        <f t="shared" si="36"/>
        <v>100</v>
      </c>
    </row>
    <row r="200" spans="1:10" ht="40.200000000000003" x14ac:dyDescent="0.3">
      <c r="A200" s="148"/>
      <c r="B200" s="25"/>
      <c r="C200" s="16" t="s">
        <v>99</v>
      </c>
      <c r="D200" s="16" t="s">
        <v>127</v>
      </c>
      <c r="E200" s="84" t="s">
        <v>523</v>
      </c>
      <c r="F200" s="30"/>
      <c r="G200" s="99" t="s">
        <v>168</v>
      </c>
      <c r="H200" s="41">
        <f t="shared" ref="H200:I200" si="37">H201</f>
        <v>22.2</v>
      </c>
      <c r="I200" s="41">
        <f t="shared" si="37"/>
        <v>22.2</v>
      </c>
      <c r="J200" s="96">
        <f t="shared" si="36"/>
        <v>100</v>
      </c>
    </row>
    <row r="201" spans="1:10" ht="39.6" x14ac:dyDescent="0.25">
      <c r="A201" s="148"/>
      <c r="B201" s="25"/>
      <c r="C201" s="16" t="s">
        <v>99</v>
      </c>
      <c r="D201" s="16" t="s">
        <v>127</v>
      </c>
      <c r="E201" s="84" t="s">
        <v>523</v>
      </c>
      <c r="F201" s="84" t="s">
        <v>212</v>
      </c>
      <c r="G201" s="100" t="s">
        <v>213</v>
      </c>
      <c r="H201" s="41">
        <f>36-13.8</f>
        <v>22.2</v>
      </c>
      <c r="I201" s="41">
        <f>36-13.8</f>
        <v>22.2</v>
      </c>
      <c r="J201" s="96">
        <f t="shared" si="36"/>
        <v>100</v>
      </c>
    </row>
    <row r="202" spans="1:10" ht="39.6" x14ac:dyDescent="0.25">
      <c r="A202" s="148"/>
      <c r="B202" s="25"/>
      <c r="C202" s="16" t="s">
        <v>99</v>
      </c>
      <c r="D202" s="16" t="s">
        <v>127</v>
      </c>
      <c r="E202" s="84" t="s">
        <v>393</v>
      </c>
      <c r="F202" s="84"/>
      <c r="G202" s="100" t="s">
        <v>394</v>
      </c>
      <c r="H202" s="109">
        <f>H203</f>
        <v>1799.8000000000002</v>
      </c>
      <c r="I202" s="109">
        <f>I203</f>
        <v>1799.8</v>
      </c>
      <c r="J202" s="96">
        <f t="shared" si="36"/>
        <v>100</v>
      </c>
    </row>
    <row r="203" spans="1:10" ht="39.6" x14ac:dyDescent="0.25">
      <c r="A203" s="148"/>
      <c r="B203" s="25"/>
      <c r="C203" s="16" t="s">
        <v>99</v>
      </c>
      <c r="D203" s="16" t="s">
        <v>127</v>
      </c>
      <c r="E203" s="84" t="s">
        <v>393</v>
      </c>
      <c r="F203" s="84" t="s">
        <v>212</v>
      </c>
      <c r="G203" s="100" t="s">
        <v>213</v>
      </c>
      <c r="H203" s="109">
        <f>1698.4+101.4</f>
        <v>1799.8000000000002</v>
      </c>
      <c r="I203" s="41">
        <v>1799.8</v>
      </c>
      <c r="J203" s="96">
        <f t="shared" si="36"/>
        <v>100</v>
      </c>
    </row>
    <row r="204" spans="1:10" ht="92.4" x14ac:dyDescent="0.25">
      <c r="A204" s="148"/>
      <c r="B204" s="25"/>
      <c r="C204" s="5" t="s">
        <v>99</v>
      </c>
      <c r="D204" s="5" t="s">
        <v>127</v>
      </c>
      <c r="E204" s="76">
        <v>400000000</v>
      </c>
      <c r="F204" s="16"/>
      <c r="G204" s="196" t="s">
        <v>503</v>
      </c>
      <c r="H204" s="98">
        <f t="shared" ref="H204:I204" si="38">H205</f>
        <v>1807</v>
      </c>
      <c r="I204" s="98">
        <f t="shared" si="38"/>
        <v>1807</v>
      </c>
      <c r="J204" s="62">
        <f t="shared" si="36"/>
        <v>100</v>
      </c>
    </row>
    <row r="205" spans="1:10" ht="53.4" x14ac:dyDescent="0.3">
      <c r="A205" s="148"/>
      <c r="B205" s="25"/>
      <c r="C205" s="47" t="s">
        <v>99</v>
      </c>
      <c r="D205" s="47" t="s">
        <v>127</v>
      </c>
      <c r="E205" s="75">
        <v>410000000</v>
      </c>
      <c r="F205" s="30"/>
      <c r="G205" s="46" t="s">
        <v>504</v>
      </c>
      <c r="H205" s="95">
        <f>H206+H211</f>
        <v>1807</v>
      </c>
      <c r="I205" s="95">
        <f>I206+I211</f>
        <v>1807</v>
      </c>
      <c r="J205" s="58">
        <f t="shared" si="36"/>
        <v>100</v>
      </c>
    </row>
    <row r="206" spans="1:10" ht="53.4" x14ac:dyDescent="0.3">
      <c r="A206" s="148"/>
      <c r="B206" s="25"/>
      <c r="C206" s="16" t="s">
        <v>99</v>
      </c>
      <c r="D206" s="16" t="s">
        <v>127</v>
      </c>
      <c r="E206" s="74">
        <v>410200000</v>
      </c>
      <c r="F206" s="30"/>
      <c r="G206" s="99" t="s">
        <v>746</v>
      </c>
      <c r="H206" s="39">
        <f>H207+H209</f>
        <v>120</v>
      </c>
      <c r="I206" s="39">
        <f>I207+I209</f>
        <v>120</v>
      </c>
      <c r="J206" s="96">
        <f t="shared" si="36"/>
        <v>100</v>
      </c>
    </row>
    <row r="207" spans="1:10" ht="75.75" customHeight="1" x14ac:dyDescent="0.25">
      <c r="A207" s="148"/>
      <c r="B207" s="25"/>
      <c r="C207" s="16" t="s">
        <v>99</v>
      </c>
      <c r="D207" s="16" t="s">
        <v>127</v>
      </c>
      <c r="E207" s="195" t="s">
        <v>524</v>
      </c>
      <c r="F207" s="84"/>
      <c r="G207" s="100" t="s">
        <v>525</v>
      </c>
      <c r="H207" s="39">
        <f t="shared" ref="H207:I207" si="39">H208</f>
        <v>100</v>
      </c>
      <c r="I207" s="39">
        <f t="shared" si="39"/>
        <v>100</v>
      </c>
      <c r="J207" s="96">
        <f t="shared" si="36"/>
        <v>100</v>
      </c>
    </row>
    <row r="208" spans="1:10" ht="39.6" x14ac:dyDescent="0.25">
      <c r="A208" s="148"/>
      <c r="B208" s="25"/>
      <c r="C208" s="16" t="s">
        <v>99</v>
      </c>
      <c r="D208" s="16" t="s">
        <v>127</v>
      </c>
      <c r="E208" s="195" t="s">
        <v>524</v>
      </c>
      <c r="F208" s="84" t="s">
        <v>212</v>
      </c>
      <c r="G208" s="100" t="s">
        <v>213</v>
      </c>
      <c r="H208" s="39">
        <f>50+50</f>
        <v>100</v>
      </c>
      <c r="I208" s="158">
        <v>100</v>
      </c>
      <c r="J208" s="96">
        <f t="shared" si="36"/>
        <v>100</v>
      </c>
    </row>
    <row r="209" spans="1:10" ht="26.4" x14ac:dyDescent="0.25">
      <c r="A209" s="148"/>
      <c r="B209" s="25"/>
      <c r="C209" s="16" t="s">
        <v>99</v>
      </c>
      <c r="D209" s="16" t="s">
        <v>127</v>
      </c>
      <c r="E209" s="195" t="s">
        <v>526</v>
      </c>
      <c r="F209" s="84"/>
      <c r="G209" s="100" t="s">
        <v>527</v>
      </c>
      <c r="H209" s="39">
        <f>H210</f>
        <v>20</v>
      </c>
      <c r="I209" s="158">
        <f t="shared" ref="I209" si="40">I210</f>
        <v>20</v>
      </c>
      <c r="J209" s="96">
        <f t="shared" si="36"/>
        <v>100</v>
      </c>
    </row>
    <row r="210" spans="1:10" ht="39.6" x14ac:dyDescent="0.25">
      <c r="A210" s="148"/>
      <c r="B210" s="25"/>
      <c r="C210" s="16" t="s">
        <v>99</v>
      </c>
      <c r="D210" s="16" t="s">
        <v>127</v>
      </c>
      <c r="E210" s="195" t="s">
        <v>526</v>
      </c>
      <c r="F210" s="84" t="s">
        <v>212</v>
      </c>
      <c r="G210" s="100" t="s">
        <v>213</v>
      </c>
      <c r="H210" s="39">
        <v>20</v>
      </c>
      <c r="I210" s="41">
        <v>20</v>
      </c>
      <c r="J210" s="96">
        <f t="shared" si="36"/>
        <v>100</v>
      </c>
    </row>
    <row r="211" spans="1:10" ht="37.5" customHeight="1" x14ac:dyDescent="0.25">
      <c r="A211" s="148"/>
      <c r="B211" s="25"/>
      <c r="C211" s="16" t="s">
        <v>99</v>
      </c>
      <c r="D211" s="16" t="s">
        <v>127</v>
      </c>
      <c r="E211" s="195" t="s">
        <v>747</v>
      </c>
      <c r="F211" s="84"/>
      <c r="G211" s="99" t="s">
        <v>748</v>
      </c>
      <c r="H211" s="39">
        <f>H212+H214+H216+H218+H220</f>
        <v>1687</v>
      </c>
      <c r="I211" s="39">
        <f>I212+I214+I216+I218+I220</f>
        <v>1687</v>
      </c>
      <c r="J211" s="96">
        <f t="shared" si="36"/>
        <v>100</v>
      </c>
    </row>
    <row r="212" spans="1:10" ht="52.8" x14ac:dyDescent="0.25">
      <c r="A212" s="148"/>
      <c r="B212" s="25"/>
      <c r="C212" s="16" t="s">
        <v>99</v>
      </c>
      <c r="D212" s="16" t="s">
        <v>127</v>
      </c>
      <c r="E212" s="195" t="s">
        <v>528</v>
      </c>
      <c r="F212" s="84"/>
      <c r="G212" s="100" t="s">
        <v>529</v>
      </c>
      <c r="H212" s="39">
        <f>H213</f>
        <v>99.4</v>
      </c>
      <c r="I212" s="39">
        <f>I213</f>
        <v>99.4</v>
      </c>
      <c r="J212" s="96">
        <f t="shared" si="36"/>
        <v>100</v>
      </c>
    </row>
    <row r="213" spans="1:10" ht="64.5" customHeight="1" x14ac:dyDescent="0.25">
      <c r="A213" s="148"/>
      <c r="B213" s="25"/>
      <c r="C213" s="16" t="s">
        <v>99</v>
      </c>
      <c r="D213" s="16" t="s">
        <v>127</v>
      </c>
      <c r="E213" s="195" t="s">
        <v>528</v>
      </c>
      <c r="F213" s="16" t="s">
        <v>14</v>
      </c>
      <c r="G213" s="100" t="s">
        <v>380</v>
      </c>
      <c r="H213" s="39">
        <f>100-0.6</f>
        <v>99.4</v>
      </c>
      <c r="I213" s="41">
        <v>99.4</v>
      </c>
      <c r="J213" s="96">
        <f t="shared" si="36"/>
        <v>100</v>
      </c>
    </row>
    <row r="214" spans="1:10" ht="66" x14ac:dyDescent="0.25">
      <c r="A214" s="148"/>
      <c r="B214" s="25"/>
      <c r="C214" s="16" t="s">
        <v>99</v>
      </c>
      <c r="D214" s="16" t="s">
        <v>127</v>
      </c>
      <c r="E214" s="195" t="s">
        <v>530</v>
      </c>
      <c r="F214" s="84"/>
      <c r="G214" s="100" t="s">
        <v>531</v>
      </c>
      <c r="H214" s="39">
        <f>H215</f>
        <v>499.5</v>
      </c>
      <c r="I214" s="39">
        <f>I215</f>
        <v>499.5</v>
      </c>
      <c r="J214" s="96">
        <f t="shared" si="36"/>
        <v>100</v>
      </c>
    </row>
    <row r="215" spans="1:10" ht="66" x14ac:dyDescent="0.25">
      <c r="A215" s="148"/>
      <c r="B215" s="25"/>
      <c r="C215" s="16" t="s">
        <v>99</v>
      </c>
      <c r="D215" s="16" t="s">
        <v>127</v>
      </c>
      <c r="E215" s="195" t="s">
        <v>530</v>
      </c>
      <c r="F215" s="16" t="s">
        <v>14</v>
      </c>
      <c r="G215" s="100" t="s">
        <v>380</v>
      </c>
      <c r="H215" s="39">
        <f>500-0.5</f>
        <v>499.5</v>
      </c>
      <c r="I215" s="39">
        <v>499.5</v>
      </c>
      <c r="J215" s="96">
        <f t="shared" si="36"/>
        <v>100</v>
      </c>
    </row>
    <row r="216" spans="1:10" ht="105.6" x14ac:dyDescent="0.25">
      <c r="A216" s="148"/>
      <c r="B216" s="25"/>
      <c r="C216" s="16" t="s">
        <v>99</v>
      </c>
      <c r="D216" s="16" t="s">
        <v>127</v>
      </c>
      <c r="E216" s="195" t="s">
        <v>532</v>
      </c>
      <c r="F216" s="84"/>
      <c r="G216" s="100" t="s">
        <v>533</v>
      </c>
      <c r="H216" s="39">
        <f>H217</f>
        <v>100</v>
      </c>
      <c r="I216" s="39">
        <f>I217</f>
        <v>100</v>
      </c>
      <c r="J216" s="96">
        <f t="shared" si="36"/>
        <v>100</v>
      </c>
    </row>
    <row r="217" spans="1:10" ht="66" x14ac:dyDescent="0.25">
      <c r="A217" s="148"/>
      <c r="B217" s="25"/>
      <c r="C217" s="16" t="s">
        <v>99</v>
      </c>
      <c r="D217" s="16" t="s">
        <v>127</v>
      </c>
      <c r="E217" s="195" t="s">
        <v>532</v>
      </c>
      <c r="F217" s="16" t="s">
        <v>14</v>
      </c>
      <c r="G217" s="100" t="s">
        <v>380</v>
      </c>
      <c r="H217" s="39">
        <v>100</v>
      </c>
      <c r="I217" s="158">
        <v>100</v>
      </c>
      <c r="J217" s="96">
        <f t="shared" si="36"/>
        <v>100</v>
      </c>
    </row>
    <row r="218" spans="1:10" ht="94.5" customHeight="1" x14ac:dyDescent="0.25">
      <c r="A218" s="148"/>
      <c r="B218" s="25"/>
      <c r="C218" s="16" t="s">
        <v>99</v>
      </c>
      <c r="D218" s="16" t="s">
        <v>127</v>
      </c>
      <c r="E218" s="195" t="s">
        <v>534</v>
      </c>
      <c r="F218" s="84"/>
      <c r="G218" s="100" t="s">
        <v>535</v>
      </c>
      <c r="H218" s="39">
        <f>H219</f>
        <v>700</v>
      </c>
      <c r="I218" s="39">
        <f>I219</f>
        <v>700</v>
      </c>
      <c r="J218" s="96">
        <f t="shared" si="36"/>
        <v>100</v>
      </c>
    </row>
    <row r="219" spans="1:10" ht="66.75" customHeight="1" x14ac:dyDescent="0.25">
      <c r="A219" s="148"/>
      <c r="B219" s="25"/>
      <c r="C219" s="16" t="s">
        <v>99</v>
      </c>
      <c r="D219" s="16" t="s">
        <v>127</v>
      </c>
      <c r="E219" s="195" t="s">
        <v>534</v>
      </c>
      <c r="F219" s="16" t="s">
        <v>14</v>
      </c>
      <c r="G219" s="100" t="s">
        <v>380</v>
      </c>
      <c r="H219" s="39">
        <v>700</v>
      </c>
      <c r="I219" s="41">
        <v>700</v>
      </c>
      <c r="J219" s="96">
        <f t="shared" si="36"/>
        <v>100</v>
      </c>
    </row>
    <row r="220" spans="1:10" ht="79.5" customHeight="1" x14ac:dyDescent="0.25">
      <c r="A220" s="148"/>
      <c r="B220" s="25"/>
      <c r="C220" s="16" t="s">
        <v>99</v>
      </c>
      <c r="D220" s="16" t="s">
        <v>127</v>
      </c>
      <c r="E220" s="195" t="s">
        <v>536</v>
      </c>
      <c r="F220" s="16"/>
      <c r="G220" s="100" t="s">
        <v>537</v>
      </c>
      <c r="H220" s="39">
        <f>H221</f>
        <v>288.10000000000002</v>
      </c>
      <c r="I220" s="39">
        <f>I221</f>
        <v>288.10000000000002</v>
      </c>
      <c r="J220" s="96">
        <f t="shared" si="36"/>
        <v>100</v>
      </c>
    </row>
    <row r="221" spans="1:10" ht="36.75" customHeight="1" x14ac:dyDescent="0.25">
      <c r="A221" s="148"/>
      <c r="B221" s="25"/>
      <c r="C221" s="16" t="s">
        <v>99</v>
      </c>
      <c r="D221" s="16" t="s">
        <v>127</v>
      </c>
      <c r="E221" s="195" t="s">
        <v>536</v>
      </c>
      <c r="F221" s="16" t="s">
        <v>14</v>
      </c>
      <c r="G221" s="100" t="s">
        <v>380</v>
      </c>
      <c r="H221" s="39">
        <f>300-11.9</f>
        <v>288.10000000000002</v>
      </c>
      <c r="I221" s="39">
        <f>300-11.9</f>
        <v>288.10000000000002</v>
      </c>
      <c r="J221" s="96">
        <f t="shared" si="36"/>
        <v>100</v>
      </c>
    </row>
    <row r="222" spans="1:10" ht="79.2" x14ac:dyDescent="0.25">
      <c r="A222" s="148"/>
      <c r="B222" s="25"/>
      <c r="C222" s="5" t="s">
        <v>99</v>
      </c>
      <c r="D222" s="5" t="s">
        <v>127</v>
      </c>
      <c r="E222" s="73" t="s">
        <v>146</v>
      </c>
      <c r="F222" s="16"/>
      <c r="G222" s="63" t="s">
        <v>538</v>
      </c>
      <c r="H222" s="98">
        <f t="shared" ref="H222:I222" si="41">H223</f>
        <v>300</v>
      </c>
      <c r="I222" s="98">
        <f t="shared" si="41"/>
        <v>300</v>
      </c>
      <c r="J222" s="62">
        <f t="shared" si="36"/>
        <v>100</v>
      </c>
    </row>
    <row r="223" spans="1:10" ht="66" x14ac:dyDescent="0.25">
      <c r="A223" s="148"/>
      <c r="B223" s="25"/>
      <c r="C223" s="47" t="s">
        <v>99</v>
      </c>
      <c r="D223" s="47" t="s">
        <v>127</v>
      </c>
      <c r="E223" s="52" t="s">
        <v>147</v>
      </c>
      <c r="F223" s="16"/>
      <c r="G223" s="48" t="s">
        <v>749</v>
      </c>
      <c r="H223" s="95">
        <f t="shared" ref="H223:I225" si="42">H224</f>
        <v>300</v>
      </c>
      <c r="I223" s="95">
        <f t="shared" si="42"/>
        <v>300</v>
      </c>
      <c r="J223" s="58">
        <f t="shared" si="36"/>
        <v>100</v>
      </c>
    </row>
    <row r="224" spans="1:10" ht="90" customHeight="1" x14ac:dyDescent="0.25">
      <c r="A224" s="148"/>
      <c r="B224" s="25"/>
      <c r="C224" s="16" t="s">
        <v>99</v>
      </c>
      <c r="D224" s="16" t="s">
        <v>127</v>
      </c>
      <c r="E224" s="21" t="s">
        <v>211</v>
      </c>
      <c r="F224" s="16"/>
      <c r="G224" s="102" t="s">
        <v>750</v>
      </c>
      <c r="H224" s="101">
        <f t="shared" si="42"/>
        <v>300</v>
      </c>
      <c r="I224" s="101">
        <f t="shared" si="42"/>
        <v>300</v>
      </c>
      <c r="J224" s="96">
        <f t="shared" si="36"/>
        <v>100</v>
      </c>
    </row>
    <row r="225" spans="1:10" ht="52.8" x14ac:dyDescent="0.25">
      <c r="A225" s="148"/>
      <c r="B225" s="25"/>
      <c r="C225" s="16" t="s">
        <v>99</v>
      </c>
      <c r="D225" s="16" t="s">
        <v>127</v>
      </c>
      <c r="E225" s="198" t="s">
        <v>540</v>
      </c>
      <c r="F225" s="16"/>
      <c r="G225" s="102" t="s">
        <v>541</v>
      </c>
      <c r="H225" s="39">
        <f t="shared" si="42"/>
        <v>300</v>
      </c>
      <c r="I225" s="39">
        <f t="shared" si="42"/>
        <v>300</v>
      </c>
      <c r="J225" s="96">
        <f t="shared" si="36"/>
        <v>100</v>
      </c>
    </row>
    <row r="226" spans="1:10" ht="39.6" x14ac:dyDescent="0.25">
      <c r="A226" s="148"/>
      <c r="B226" s="25"/>
      <c r="C226" s="16" t="s">
        <v>99</v>
      </c>
      <c r="D226" s="16" t="s">
        <v>127</v>
      </c>
      <c r="E226" s="198" t="s">
        <v>540</v>
      </c>
      <c r="F226" s="84" t="s">
        <v>212</v>
      </c>
      <c r="G226" s="100" t="s">
        <v>213</v>
      </c>
      <c r="H226" s="39">
        <v>300</v>
      </c>
      <c r="I226" s="39">
        <v>300</v>
      </c>
      <c r="J226" s="96">
        <f t="shared" si="36"/>
        <v>100</v>
      </c>
    </row>
    <row r="227" spans="1:10" ht="28.2" x14ac:dyDescent="0.3">
      <c r="A227" s="148"/>
      <c r="B227" s="25"/>
      <c r="C227" s="4" t="s">
        <v>100</v>
      </c>
      <c r="D227" s="3"/>
      <c r="E227" s="3"/>
      <c r="F227" s="3"/>
      <c r="G227" s="49" t="s">
        <v>52</v>
      </c>
      <c r="H227" s="94">
        <f>H228+H258+H288+H388</f>
        <v>128427</v>
      </c>
      <c r="I227" s="94">
        <f>I228+I258+I288+I388</f>
        <v>111625.2</v>
      </c>
      <c r="J227" s="160">
        <f t="shared" si="36"/>
        <v>86.9</v>
      </c>
    </row>
    <row r="228" spans="1:10" ht="14.4" x14ac:dyDescent="0.3">
      <c r="A228" s="148"/>
      <c r="B228" s="25"/>
      <c r="C228" s="30" t="s">
        <v>100</v>
      </c>
      <c r="D228" s="30" t="s">
        <v>93</v>
      </c>
      <c r="E228" s="30"/>
      <c r="F228" s="30"/>
      <c r="G228" s="27" t="s">
        <v>47</v>
      </c>
      <c r="H228" s="40">
        <f>H229+H252</f>
        <v>9541.1</v>
      </c>
      <c r="I228" s="40">
        <f>I229+I252</f>
        <v>7265.2000000000007</v>
      </c>
      <c r="J228" s="42">
        <f t="shared" si="36"/>
        <v>76.099999999999994</v>
      </c>
    </row>
    <row r="229" spans="1:10" ht="79.2" x14ac:dyDescent="0.25">
      <c r="A229" s="148"/>
      <c r="B229" s="25"/>
      <c r="C229" s="5" t="s">
        <v>100</v>
      </c>
      <c r="D229" s="5" t="s">
        <v>93</v>
      </c>
      <c r="E229" s="73" t="s">
        <v>154</v>
      </c>
      <c r="F229" s="16"/>
      <c r="G229" s="196" t="s">
        <v>542</v>
      </c>
      <c r="H229" s="98">
        <f>H230+H238+H245</f>
        <v>6584.4</v>
      </c>
      <c r="I229" s="98">
        <f>I230+I238+I245</f>
        <v>4308.5</v>
      </c>
      <c r="J229" s="62">
        <f t="shared" si="36"/>
        <v>65.400000000000006</v>
      </c>
    </row>
    <row r="230" spans="1:10" ht="39.6" x14ac:dyDescent="0.25">
      <c r="A230" s="148"/>
      <c r="B230" s="25"/>
      <c r="C230" s="47" t="s">
        <v>100</v>
      </c>
      <c r="D230" s="47" t="s">
        <v>93</v>
      </c>
      <c r="E230" s="52" t="s">
        <v>150</v>
      </c>
      <c r="F230" s="16"/>
      <c r="G230" s="48" t="s">
        <v>302</v>
      </c>
      <c r="H230" s="95">
        <f>H231+H235</f>
        <v>1702.4999999999998</v>
      </c>
      <c r="I230" s="95">
        <f>I231+I235</f>
        <v>1625.3999999999999</v>
      </c>
      <c r="J230" s="58">
        <f t="shared" si="36"/>
        <v>95.5</v>
      </c>
    </row>
    <row r="231" spans="1:10" ht="39.6" x14ac:dyDescent="0.25">
      <c r="A231" s="148"/>
      <c r="B231" s="25"/>
      <c r="C231" s="84" t="s">
        <v>100</v>
      </c>
      <c r="D231" s="84" t="s">
        <v>93</v>
      </c>
      <c r="E231" s="21" t="s">
        <v>267</v>
      </c>
      <c r="F231" s="16"/>
      <c r="G231" s="102" t="s">
        <v>269</v>
      </c>
      <c r="H231" s="95">
        <f>H232</f>
        <v>1151.6999999999998</v>
      </c>
      <c r="I231" s="95">
        <f>I232</f>
        <v>1074.5999999999999</v>
      </c>
      <c r="J231" s="96">
        <f t="shared" si="36"/>
        <v>93.3</v>
      </c>
    </row>
    <row r="232" spans="1:10" ht="52.8" x14ac:dyDescent="0.3">
      <c r="A232" s="148"/>
      <c r="B232" s="25"/>
      <c r="C232" s="16" t="s">
        <v>100</v>
      </c>
      <c r="D232" s="16" t="s">
        <v>93</v>
      </c>
      <c r="E232" s="202" t="s">
        <v>543</v>
      </c>
      <c r="F232" s="3"/>
      <c r="G232" s="100" t="s">
        <v>268</v>
      </c>
      <c r="H232" s="41">
        <f>SUM(H233:H234)</f>
        <v>1151.6999999999998</v>
      </c>
      <c r="I232" s="41">
        <f>SUM(I233:I234)</f>
        <v>1074.5999999999999</v>
      </c>
      <c r="J232" s="96">
        <f t="shared" si="36"/>
        <v>93.3</v>
      </c>
    </row>
    <row r="233" spans="1:10" ht="39.6" x14ac:dyDescent="0.25">
      <c r="A233" s="148"/>
      <c r="B233" s="25"/>
      <c r="C233" s="16" t="s">
        <v>100</v>
      </c>
      <c r="D233" s="16" t="s">
        <v>93</v>
      </c>
      <c r="E233" s="202" t="s">
        <v>543</v>
      </c>
      <c r="F233" s="84" t="s">
        <v>212</v>
      </c>
      <c r="G233" s="100" t="s">
        <v>213</v>
      </c>
      <c r="H233" s="41">
        <f>150+892.1-4-2+11.6+155.2-4.8-53.4</f>
        <v>1144.6999999999998</v>
      </c>
      <c r="I233" s="96">
        <v>1067.5999999999999</v>
      </c>
      <c r="J233" s="96">
        <f t="shared" si="36"/>
        <v>93.3</v>
      </c>
    </row>
    <row r="234" spans="1:10" x14ac:dyDescent="0.25">
      <c r="A234" s="148"/>
      <c r="B234" s="25"/>
      <c r="C234" s="16" t="s">
        <v>100</v>
      </c>
      <c r="D234" s="16" t="s">
        <v>93</v>
      </c>
      <c r="E234" s="202" t="s">
        <v>543</v>
      </c>
      <c r="F234" s="84" t="s">
        <v>308</v>
      </c>
      <c r="G234" s="100" t="s">
        <v>309</v>
      </c>
      <c r="H234" s="41">
        <f>4+2+1</f>
        <v>7</v>
      </c>
      <c r="I234" s="96">
        <v>7</v>
      </c>
      <c r="J234" s="96">
        <f t="shared" si="36"/>
        <v>100</v>
      </c>
    </row>
    <row r="235" spans="1:10" ht="39.6" x14ac:dyDescent="0.25">
      <c r="A235" s="148"/>
      <c r="B235" s="25"/>
      <c r="C235" s="16" t="s">
        <v>100</v>
      </c>
      <c r="D235" s="16" t="s">
        <v>93</v>
      </c>
      <c r="E235" s="21" t="s">
        <v>303</v>
      </c>
      <c r="F235" s="16"/>
      <c r="G235" s="102" t="s">
        <v>270</v>
      </c>
      <c r="H235" s="95">
        <f t="shared" ref="H235:I236" si="43">H236</f>
        <v>550.79999999999995</v>
      </c>
      <c r="I235" s="95">
        <f t="shared" si="43"/>
        <v>550.79999999999995</v>
      </c>
      <c r="J235" s="96">
        <f t="shared" si="36"/>
        <v>100</v>
      </c>
    </row>
    <row r="236" spans="1:10" ht="26.4" x14ac:dyDescent="0.3">
      <c r="A236" s="148"/>
      <c r="B236" s="25"/>
      <c r="C236" s="16" t="s">
        <v>100</v>
      </c>
      <c r="D236" s="16" t="s">
        <v>93</v>
      </c>
      <c r="E236" s="21" t="s">
        <v>544</v>
      </c>
      <c r="F236" s="3"/>
      <c r="G236" s="100" t="s">
        <v>352</v>
      </c>
      <c r="H236" s="41">
        <f t="shared" si="43"/>
        <v>550.79999999999995</v>
      </c>
      <c r="I236" s="41">
        <f t="shared" si="43"/>
        <v>550.79999999999995</v>
      </c>
      <c r="J236" s="96">
        <f t="shared" si="36"/>
        <v>100</v>
      </c>
    </row>
    <row r="237" spans="1:10" ht="39.6" x14ac:dyDescent="0.25">
      <c r="A237" s="148"/>
      <c r="B237" s="25"/>
      <c r="C237" s="16" t="s">
        <v>100</v>
      </c>
      <c r="D237" s="16" t="s">
        <v>93</v>
      </c>
      <c r="E237" s="21" t="s">
        <v>544</v>
      </c>
      <c r="F237" s="84" t="s">
        <v>212</v>
      </c>
      <c r="G237" s="100" t="s">
        <v>213</v>
      </c>
      <c r="H237" s="39">
        <f>697.9+8.1-155.2</f>
        <v>550.79999999999995</v>
      </c>
      <c r="I237" s="41">
        <v>550.79999999999995</v>
      </c>
      <c r="J237" s="96">
        <f t="shared" si="36"/>
        <v>100</v>
      </c>
    </row>
    <row r="238" spans="1:10" ht="39.6" x14ac:dyDescent="0.25">
      <c r="A238" s="148"/>
      <c r="B238" s="25"/>
      <c r="C238" s="47" t="s">
        <v>100</v>
      </c>
      <c r="D238" s="47" t="s">
        <v>93</v>
      </c>
      <c r="E238" s="52" t="s">
        <v>151</v>
      </c>
      <c r="F238" s="16"/>
      <c r="G238" s="48" t="s">
        <v>148</v>
      </c>
      <c r="H238" s="95">
        <f>H239+H242</f>
        <v>1262.9000000000001</v>
      </c>
      <c r="I238" s="95">
        <f>I239+I242</f>
        <v>1050</v>
      </c>
      <c r="J238" s="58">
        <f t="shared" si="36"/>
        <v>83.1</v>
      </c>
    </row>
    <row r="239" spans="1:10" ht="26.4" x14ac:dyDescent="0.25">
      <c r="A239" s="148"/>
      <c r="B239" s="25"/>
      <c r="C239" s="16" t="s">
        <v>100</v>
      </c>
      <c r="D239" s="16" t="s">
        <v>93</v>
      </c>
      <c r="E239" s="21" t="s">
        <v>271</v>
      </c>
      <c r="F239" s="84"/>
      <c r="G239" s="102" t="s">
        <v>272</v>
      </c>
      <c r="H239" s="95">
        <f>H240</f>
        <v>200</v>
      </c>
      <c r="I239" s="95">
        <f>I240</f>
        <v>0</v>
      </c>
      <c r="J239" s="96">
        <f t="shared" si="36"/>
        <v>0</v>
      </c>
    </row>
    <row r="240" spans="1:10" ht="26.4" x14ac:dyDescent="0.25">
      <c r="A240" s="148"/>
      <c r="B240" s="25"/>
      <c r="C240" s="16" t="s">
        <v>100</v>
      </c>
      <c r="D240" s="16" t="s">
        <v>93</v>
      </c>
      <c r="E240" s="202" t="s">
        <v>545</v>
      </c>
      <c r="F240" s="84"/>
      <c r="G240" s="100" t="s">
        <v>546</v>
      </c>
      <c r="H240" s="41">
        <f>H241</f>
        <v>200</v>
      </c>
      <c r="I240" s="41">
        <f>I241</f>
        <v>0</v>
      </c>
      <c r="J240" s="96">
        <f t="shared" si="36"/>
        <v>0</v>
      </c>
    </row>
    <row r="241" spans="1:10" ht="39.6" x14ac:dyDescent="0.25">
      <c r="A241" s="148"/>
      <c r="B241" s="25"/>
      <c r="C241" s="16" t="s">
        <v>100</v>
      </c>
      <c r="D241" s="16" t="s">
        <v>93</v>
      </c>
      <c r="E241" s="202" t="s">
        <v>545</v>
      </c>
      <c r="F241" s="84" t="s">
        <v>212</v>
      </c>
      <c r="G241" s="100" t="s">
        <v>213</v>
      </c>
      <c r="H241" s="41">
        <f>400-200</f>
        <v>200</v>
      </c>
      <c r="I241" s="41">
        <v>0</v>
      </c>
      <c r="J241" s="96">
        <f t="shared" si="36"/>
        <v>0</v>
      </c>
    </row>
    <row r="242" spans="1:10" ht="26.4" x14ac:dyDescent="0.25">
      <c r="A242" s="148"/>
      <c r="B242" s="25"/>
      <c r="C242" s="16" t="s">
        <v>100</v>
      </c>
      <c r="D242" s="16" t="s">
        <v>93</v>
      </c>
      <c r="E242" s="21" t="s">
        <v>273</v>
      </c>
      <c r="F242" s="84"/>
      <c r="G242" s="102" t="s">
        <v>751</v>
      </c>
      <c r="H242" s="41">
        <f>H243</f>
        <v>1062.9000000000001</v>
      </c>
      <c r="I242" s="41">
        <f>I243</f>
        <v>1050</v>
      </c>
      <c r="J242" s="96">
        <f t="shared" si="36"/>
        <v>98.8</v>
      </c>
    </row>
    <row r="243" spans="1:10" ht="66" x14ac:dyDescent="0.25">
      <c r="A243" s="148"/>
      <c r="B243" s="25"/>
      <c r="C243" s="16" t="s">
        <v>100</v>
      </c>
      <c r="D243" s="16" t="s">
        <v>93</v>
      </c>
      <c r="E243" s="80">
        <v>520223265</v>
      </c>
      <c r="F243" s="84"/>
      <c r="G243" s="100" t="s">
        <v>547</v>
      </c>
      <c r="H243" s="41">
        <f>H244</f>
        <v>1062.9000000000001</v>
      </c>
      <c r="I243" s="41">
        <f>I244</f>
        <v>1050</v>
      </c>
      <c r="J243" s="96">
        <f t="shared" si="36"/>
        <v>98.8</v>
      </c>
    </row>
    <row r="244" spans="1:10" ht="18" customHeight="1" x14ac:dyDescent="0.25">
      <c r="A244" s="148"/>
      <c r="B244" s="25"/>
      <c r="C244" s="16" t="s">
        <v>100</v>
      </c>
      <c r="D244" s="16" t="s">
        <v>93</v>
      </c>
      <c r="E244" s="80">
        <v>520223265</v>
      </c>
      <c r="F244" s="111" t="s">
        <v>252</v>
      </c>
      <c r="G244" s="108" t="s">
        <v>275</v>
      </c>
      <c r="H244" s="41">
        <v>1062.9000000000001</v>
      </c>
      <c r="I244" s="41">
        <v>1050</v>
      </c>
      <c r="J244" s="96">
        <f t="shared" si="36"/>
        <v>98.8</v>
      </c>
    </row>
    <row r="245" spans="1:10" ht="50.25" customHeight="1" x14ac:dyDescent="0.25">
      <c r="A245" s="148"/>
      <c r="B245" s="25"/>
      <c r="C245" s="16" t="s">
        <v>100</v>
      </c>
      <c r="D245" s="16" t="s">
        <v>93</v>
      </c>
      <c r="E245" s="52" t="s">
        <v>152</v>
      </c>
      <c r="F245" s="16"/>
      <c r="G245" s="48" t="s">
        <v>149</v>
      </c>
      <c r="H245" s="95">
        <f>H246+H249</f>
        <v>3619</v>
      </c>
      <c r="I245" s="95">
        <f>I246+I249</f>
        <v>1633.1000000000001</v>
      </c>
      <c r="J245" s="58">
        <f>ROUND((I245/H245*100),1)</f>
        <v>45.1</v>
      </c>
    </row>
    <row r="246" spans="1:10" ht="79.2" x14ac:dyDescent="0.25">
      <c r="A246" s="148"/>
      <c r="B246" s="25"/>
      <c r="C246" s="16" t="s">
        <v>100</v>
      </c>
      <c r="D246" s="16" t="s">
        <v>93</v>
      </c>
      <c r="E246" s="21" t="s">
        <v>276</v>
      </c>
      <c r="F246" s="84"/>
      <c r="G246" s="102" t="s">
        <v>319</v>
      </c>
      <c r="H246" s="101">
        <f t="shared" ref="H246:I247" si="44">H247</f>
        <v>1635.7</v>
      </c>
      <c r="I246" s="101">
        <f t="shared" si="44"/>
        <v>1581.7</v>
      </c>
      <c r="J246" s="96">
        <f t="shared" si="36"/>
        <v>96.7</v>
      </c>
    </row>
    <row r="247" spans="1:10" ht="66" x14ac:dyDescent="0.25">
      <c r="A247" s="148"/>
      <c r="B247" s="25"/>
      <c r="C247" s="84" t="s">
        <v>100</v>
      </c>
      <c r="D247" s="84" t="s">
        <v>93</v>
      </c>
      <c r="E247" s="80">
        <v>530123271</v>
      </c>
      <c r="F247" s="16"/>
      <c r="G247" s="100" t="s">
        <v>153</v>
      </c>
      <c r="H247" s="41">
        <f t="shared" si="44"/>
        <v>1635.7</v>
      </c>
      <c r="I247" s="41">
        <f t="shared" si="44"/>
        <v>1581.7</v>
      </c>
      <c r="J247" s="96">
        <f t="shared" si="36"/>
        <v>96.7</v>
      </c>
    </row>
    <row r="248" spans="1:10" ht="39.6" x14ac:dyDescent="0.25">
      <c r="A248" s="148"/>
      <c r="B248" s="25"/>
      <c r="C248" s="16" t="s">
        <v>100</v>
      </c>
      <c r="D248" s="16" t="s">
        <v>93</v>
      </c>
      <c r="E248" s="80">
        <v>530123271</v>
      </c>
      <c r="F248" s="84" t="s">
        <v>212</v>
      </c>
      <c r="G248" s="100" t="s">
        <v>213</v>
      </c>
      <c r="H248" s="148">
        <v>1635.7</v>
      </c>
      <c r="I248" s="109">
        <v>1581.7</v>
      </c>
      <c r="J248" s="96">
        <f t="shared" si="36"/>
        <v>96.7</v>
      </c>
    </row>
    <row r="249" spans="1:10" ht="52.8" x14ac:dyDescent="0.25">
      <c r="A249" s="148"/>
      <c r="B249" s="25"/>
      <c r="C249" s="16" t="s">
        <v>100</v>
      </c>
      <c r="D249" s="16" t="s">
        <v>93</v>
      </c>
      <c r="E249" s="21" t="s">
        <v>277</v>
      </c>
      <c r="F249" s="16"/>
      <c r="G249" s="102" t="s">
        <v>752</v>
      </c>
      <c r="H249" s="41">
        <f t="shared" ref="H249:I250" si="45">H250</f>
        <v>1983.3</v>
      </c>
      <c r="I249" s="41">
        <f t="shared" si="45"/>
        <v>51.4</v>
      </c>
      <c r="J249" s="96">
        <f t="shared" si="36"/>
        <v>2.6</v>
      </c>
    </row>
    <row r="250" spans="1:10" ht="52.8" x14ac:dyDescent="0.25">
      <c r="A250" s="148"/>
      <c r="B250" s="25"/>
      <c r="C250" s="16" t="s">
        <v>100</v>
      </c>
      <c r="D250" s="16" t="s">
        <v>93</v>
      </c>
      <c r="E250" s="80">
        <v>530223272</v>
      </c>
      <c r="F250" s="16"/>
      <c r="G250" s="100" t="s">
        <v>548</v>
      </c>
      <c r="H250" s="41">
        <f t="shared" si="45"/>
        <v>1983.3</v>
      </c>
      <c r="I250" s="41">
        <f t="shared" si="45"/>
        <v>51.4</v>
      </c>
      <c r="J250" s="96">
        <f t="shared" si="36"/>
        <v>2.6</v>
      </c>
    </row>
    <row r="251" spans="1:10" ht="39.6" x14ac:dyDescent="0.25">
      <c r="A251" s="148"/>
      <c r="B251" s="25"/>
      <c r="C251" s="16" t="s">
        <v>100</v>
      </c>
      <c r="D251" s="16" t="s">
        <v>93</v>
      </c>
      <c r="E251" s="80">
        <v>530223272</v>
      </c>
      <c r="F251" s="84" t="s">
        <v>212</v>
      </c>
      <c r="G251" s="100" t="s">
        <v>213</v>
      </c>
      <c r="H251" s="41">
        <f>2400-416.7</f>
        <v>1983.3</v>
      </c>
      <c r="I251" s="41">
        <v>51.4</v>
      </c>
      <c r="J251" s="96">
        <f t="shared" si="36"/>
        <v>2.6</v>
      </c>
    </row>
    <row r="252" spans="1:10" ht="132" x14ac:dyDescent="0.25">
      <c r="A252" s="148"/>
      <c r="B252" s="25"/>
      <c r="C252" s="5" t="s">
        <v>100</v>
      </c>
      <c r="D252" s="5" t="s">
        <v>93</v>
      </c>
      <c r="E252" s="73" t="s">
        <v>512</v>
      </c>
      <c r="F252" s="84"/>
      <c r="G252" s="200" t="s">
        <v>513</v>
      </c>
      <c r="H252" s="98">
        <f t="shared" ref="H252:I254" si="46">H253</f>
        <v>2956.7000000000003</v>
      </c>
      <c r="I252" s="98">
        <f t="shared" si="46"/>
        <v>2956.7000000000003</v>
      </c>
      <c r="J252" s="62">
        <f t="shared" si="36"/>
        <v>100</v>
      </c>
    </row>
    <row r="253" spans="1:10" ht="66" x14ac:dyDescent="0.25">
      <c r="A253" s="148"/>
      <c r="B253" s="25"/>
      <c r="C253" s="47" t="s">
        <v>100</v>
      </c>
      <c r="D253" s="47" t="s">
        <v>93</v>
      </c>
      <c r="E253" s="201">
        <v>1520000000</v>
      </c>
      <c r="F253" s="47"/>
      <c r="G253" s="215" t="s">
        <v>549</v>
      </c>
      <c r="H253" s="95">
        <f t="shared" si="46"/>
        <v>2956.7000000000003</v>
      </c>
      <c r="I253" s="95">
        <f t="shared" si="46"/>
        <v>2956.7000000000003</v>
      </c>
      <c r="J253" s="58">
        <f t="shared" si="36"/>
        <v>100</v>
      </c>
    </row>
    <row r="254" spans="1:10" ht="26.4" x14ac:dyDescent="0.25">
      <c r="A254" s="148"/>
      <c r="B254" s="25"/>
      <c r="C254" s="16" t="s">
        <v>100</v>
      </c>
      <c r="D254" s="16" t="s">
        <v>93</v>
      </c>
      <c r="E254" s="152">
        <v>1520300000</v>
      </c>
      <c r="F254" s="91"/>
      <c r="G254" s="99" t="s">
        <v>550</v>
      </c>
      <c r="H254" s="41">
        <f t="shared" si="46"/>
        <v>2956.7000000000003</v>
      </c>
      <c r="I254" s="41">
        <f t="shared" si="46"/>
        <v>2956.7000000000003</v>
      </c>
      <c r="J254" s="96">
        <f t="shared" si="36"/>
        <v>100</v>
      </c>
    </row>
    <row r="255" spans="1:10" ht="52.8" x14ac:dyDescent="0.25">
      <c r="A255" s="148"/>
      <c r="B255" s="25"/>
      <c r="C255" s="16" t="s">
        <v>100</v>
      </c>
      <c r="D255" s="16" t="s">
        <v>93</v>
      </c>
      <c r="E255" s="152">
        <v>1520324012</v>
      </c>
      <c r="F255" s="84"/>
      <c r="G255" s="99" t="s">
        <v>417</v>
      </c>
      <c r="H255" s="41">
        <f>SUM(H256:H257)</f>
        <v>2956.7000000000003</v>
      </c>
      <c r="I255" s="41">
        <f>SUM(I256:I257)</f>
        <v>2956.7000000000003</v>
      </c>
      <c r="J255" s="96">
        <f t="shared" si="36"/>
        <v>100</v>
      </c>
    </row>
    <row r="256" spans="1:10" ht="39.6" x14ac:dyDescent="0.25">
      <c r="A256" s="148"/>
      <c r="B256" s="25"/>
      <c r="C256" s="16" t="s">
        <v>100</v>
      </c>
      <c r="D256" s="16" t="s">
        <v>93</v>
      </c>
      <c r="E256" s="152">
        <v>1520324012</v>
      </c>
      <c r="F256" s="84" t="s">
        <v>212</v>
      </c>
      <c r="G256" s="100" t="s">
        <v>213</v>
      </c>
      <c r="H256" s="41">
        <f>2993-41.1</f>
        <v>2951.9</v>
      </c>
      <c r="I256" s="41">
        <f>2993-41.1</f>
        <v>2951.9</v>
      </c>
      <c r="J256" s="58">
        <f t="shared" ref="J256:J303" si="47">ROUND((I256/H256*100),1)</f>
        <v>100</v>
      </c>
    </row>
    <row r="257" spans="1:10" x14ac:dyDescent="0.25">
      <c r="A257" s="148"/>
      <c r="B257" s="25"/>
      <c r="C257" s="16" t="s">
        <v>100</v>
      </c>
      <c r="D257" s="16" t="s">
        <v>93</v>
      </c>
      <c r="E257" s="150">
        <v>1520324012</v>
      </c>
      <c r="F257" s="84" t="s">
        <v>308</v>
      </c>
      <c r="G257" s="100" t="s">
        <v>309</v>
      </c>
      <c r="H257" s="41">
        <v>4.8</v>
      </c>
      <c r="I257" s="41">
        <v>4.8</v>
      </c>
      <c r="J257" s="96">
        <f t="shared" si="47"/>
        <v>100</v>
      </c>
    </row>
    <row r="258" spans="1:10" ht="14.4" x14ac:dyDescent="0.3">
      <c r="A258" s="148"/>
      <c r="B258" s="25"/>
      <c r="C258" s="30" t="s">
        <v>100</v>
      </c>
      <c r="D258" s="30" t="s">
        <v>94</v>
      </c>
      <c r="E258" s="30"/>
      <c r="F258" s="30"/>
      <c r="G258" s="27" t="s">
        <v>46</v>
      </c>
      <c r="H258" s="40">
        <f>H259+H264+H285</f>
        <v>30000.3</v>
      </c>
      <c r="I258" s="40">
        <f>I259+I264+I285</f>
        <v>28402</v>
      </c>
      <c r="J258" s="42">
        <f t="shared" si="47"/>
        <v>94.7</v>
      </c>
    </row>
    <row r="259" spans="1:10" ht="92.4" x14ac:dyDescent="0.25">
      <c r="A259" s="148"/>
      <c r="B259" s="25"/>
      <c r="C259" s="5" t="s">
        <v>100</v>
      </c>
      <c r="D259" s="5" t="s">
        <v>94</v>
      </c>
      <c r="E259" s="76">
        <v>400000000</v>
      </c>
      <c r="F259" s="16"/>
      <c r="G259" s="196" t="s">
        <v>503</v>
      </c>
      <c r="H259" s="98">
        <f t="shared" ref="H259:I259" si="48">H260</f>
        <v>24955.200000000001</v>
      </c>
      <c r="I259" s="98">
        <f t="shared" si="48"/>
        <v>23690.1</v>
      </c>
      <c r="J259" s="62">
        <f t="shared" si="47"/>
        <v>94.9</v>
      </c>
    </row>
    <row r="260" spans="1:10" ht="132" x14ac:dyDescent="0.25">
      <c r="A260" s="148"/>
      <c r="B260" s="25"/>
      <c r="C260" s="16" t="s">
        <v>100</v>
      </c>
      <c r="D260" s="16" t="s">
        <v>94</v>
      </c>
      <c r="E260" s="75">
        <v>430000000</v>
      </c>
      <c r="F260" s="16"/>
      <c r="G260" s="46" t="s">
        <v>304</v>
      </c>
      <c r="H260" s="95">
        <f>H262</f>
        <v>24955.200000000001</v>
      </c>
      <c r="I260" s="95">
        <f>I262</f>
        <v>23690.1</v>
      </c>
      <c r="J260" s="58">
        <f t="shared" si="47"/>
        <v>94.9</v>
      </c>
    </row>
    <row r="261" spans="1:10" ht="39.6" x14ac:dyDescent="0.25">
      <c r="A261" s="148"/>
      <c r="B261" s="25"/>
      <c r="C261" s="16" t="s">
        <v>100</v>
      </c>
      <c r="D261" s="16" t="s">
        <v>94</v>
      </c>
      <c r="E261" s="74">
        <v>430200000</v>
      </c>
      <c r="F261" s="16"/>
      <c r="G261" s="99" t="s">
        <v>298</v>
      </c>
      <c r="H261" s="41">
        <f t="shared" ref="H261:I261" si="49">H262</f>
        <v>24955.200000000001</v>
      </c>
      <c r="I261" s="41">
        <f t="shared" si="49"/>
        <v>23690.1</v>
      </c>
      <c r="J261" s="96">
        <f t="shared" si="47"/>
        <v>94.9</v>
      </c>
    </row>
    <row r="262" spans="1:10" ht="63" customHeight="1" x14ac:dyDescent="0.25">
      <c r="A262" s="148"/>
      <c r="B262" s="25"/>
      <c r="C262" s="16" t="s">
        <v>100</v>
      </c>
      <c r="D262" s="16" t="s">
        <v>94</v>
      </c>
      <c r="E262" s="74">
        <v>430227330</v>
      </c>
      <c r="F262" s="16"/>
      <c r="G262" s="100" t="s">
        <v>171</v>
      </c>
      <c r="H262" s="41">
        <f>H263</f>
        <v>24955.200000000001</v>
      </c>
      <c r="I262" s="41">
        <f>I263</f>
        <v>23690.1</v>
      </c>
      <c r="J262" s="96">
        <f t="shared" si="47"/>
        <v>94.9</v>
      </c>
    </row>
    <row r="263" spans="1:10" ht="66" x14ac:dyDescent="0.25">
      <c r="A263" s="148"/>
      <c r="B263" s="25"/>
      <c r="C263" s="16" t="s">
        <v>100</v>
      </c>
      <c r="D263" s="16" t="s">
        <v>94</v>
      </c>
      <c r="E263" s="74">
        <v>430227330</v>
      </c>
      <c r="F263" s="16" t="s">
        <v>14</v>
      </c>
      <c r="G263" s="100" t="s">
        <v>331</v>
      </c>
      <c r="H263" s="39">
        <f>12819.1-2000+14136.1</f>
        <v>24955.200000000001</v>
      </c>
      <c r="I263" s="41">
        <v>23690.1</v>
      </c>
      <c r="J263" s="96">
        <f t="shared" si="47"/>
        <v>94.9</v>
      </c>
    </row>
    <row r="264" spans="1:10" ht="105.6" x14ac:dyDescent="0.25">
      <c r="A264" s="148"/>
      <c r="B264" s="25"/>
      <c r="C264" s="5" t="s">
        <v>100</v>
      </c>
      <c r="D264" s="5" t="s">
        <v>94</v>
      </c>
      <c r="E264" s="82" t="s">
        <v>37</v>
      </c>
      <c r="F264" s="16"/>
      <c r="G264" s="53" t="s">
        <v>552</v>
      </c>
      <c r="H264" s="98">
        <f>H265+H272+H278</f>
        <v>4945.0999999999995</v>
      </c>
      <c r="I264" s="98">
        <f>I265+I272+I278</f>
        <v>4618</v>
      </c>
      <c r="J264" s="62">
        <f t="shared" si="47"/>
        <v>93.4</v>
      </c>
    </row>
    <row r="265" spans="1:10" ht="39.6" x14ac:dyDescent="0.25">
      <c r="A265" s="148"/>
      <c r="B265" s="25"/>
      <c r="C265" s="16" t="s">
        <v>100</v>
      </c>
      <c r="D265" s="16" t="s">
        <v>94</v>
      </c>
      <c r="E265" s="52" t="s">
        <v>38</v>
      </c>
      <c r="F265" s="16"/>
      <c r="G265" s="48" t="s">
        <v>753</v>
      </c>
      <c r="H265" s="95">
        <f>H266+H269</f>
        <v>452.9</v>
      </c>
      <c r="I265" s="95">
        <f>I266+I269</f>
        <v>452.7</v>
      </c>
      <c r="J265" s="58">
        <f t="shared" si="47"/>
        <v>100</v>
      </c>
    </row>
    <row r="266" spans="1:10" ht="39.6" x14ac:dyDescent="0.25">
      <c r="A266" s="148"/>
      <c r="B266" s="25"/>
      <c r="C266" s="16" t="s">
        <v>100</v>
      </c>
      <c r="D266" s="16" t="s">
        <v>94</v>
      </c>
      <c r="E266" s="21" t="s">
        <v>236</v>
      </c>
      <c r="F266" s="16"/>
      <c r="G266" s="102" t="s">
        <v>235</v>
      </c>
      <c r="H266" s="95">
        <f t="shared" ref="H266:I267" si="50">H267</f>
        <v>442.9</v>
      </c>
      <c r="I266" s="95">
        <f t="shared" si="50"/>
        <v>442.7</v>
      </c>
      <c r="J266" s="96">
        <f t="shared" si="47"/>
        <v>100</v>
      </c>
    </row>
    <row r="267" spans="1:10" ht="26.4" x14ac:dyDescent="0.3">
      <c r="A267" s="148"/>
      <c r="B267" s="25"/>
      <c r="C267" s="16" t="s">
        <v>100</v>
      </c>
      <c r="D267" s="16" t="s">
        <v>94</v>
      </c>
      <c r="E267" s="21" t="s">
        <v>554</v>
      </c>
      <c r="F267" s="3"/>
      <c r="G267" s="100" t="s">
        <v>190</v>
      </c>
      <c r="H267" s="41">
        <f t="shared" si="50"/>
        <v>442.9</v>
      </c>
      <c r="I267" s="41">
        <f t="shared" si="50"/>
        <v>442.7</v>
      </c>
      <c r="J267" s="96">
        <f t="shared" si="47"/>
        <v>100</v>
      </c>
    </row>
    <row r="268" spans="1:10" ht="39" customHeight="1" x14ac:dyDescent="0.25">
      <c r="A268" s="148"/>
      <c r="B268" s="25"/>
      <c r="C268" s="16" t="s">
        <v>100</v>
      </c>
      <c r="D268" s="16" t="s">
        <v>94</v>
      </c>
      <c r="E268" s="21" t="s">
        <v>554</v>
      </c>
      <c r="F268" s="84" t="s">
        <v>212</v>
      </c>
      <c r="G268" s="100" t="s">
        <v>213</v>
      </c>
      <c r="H268" s="41">
        <f>443-0.1</f>
        <v>442.9</v>
      </c>
      <c r="I268" s="41">
        <v>442.7</v>
      </c>
      <c r="J268" s="96">
        <f t="shared" si="47"/>
        <v>100</v>
      </c>
    </row>
    <row r="269" spans="1:10" ht="39.6" x14ac:dyDescent="0.25">
      <c r="A269" s="148"/>
      <c r="B269" s="25"/>
      <c r="C269" s="16" t="s">
        <v>100</v>
      </c>
      <c r="D269" s="16" t="s">
        <v>94</v>
      </c>
      <c r="E269" s="21" t="s">
        <v>350</v>
      </c>
      <c r="F269" s="84"/>
      <c r="G269" s="102" t="s">
        <v>349</v>
      </c>
      <c r="H269" s="41">
        <f>H270</f>
        <v>10</v>
      </c>
      <c r="I269" s="41">
        <f>I270</f>
        <v>10</v>
      </c>
      <c r="J269" s="96">
        <f t="shared" si="47"/>
        <v>100</v>
      </c>
    </row>
    <row r="270" spans="1:10" ht="22.5" customHeight="1" x14ac:dyDescent="0.25">
      <c r="A270" s="148"/>
      <c r="B270" s="25"/>
      <c r="C270" s="16" t="s">
        <v>100</v>
      </c>
      <c r="D270" s="16" t="s">
        <v>94</v>
      </c>
      <c r="E270" s="21" t="s">
        <v>555</v>
      </c>
      <c r="F270" s="16"/>
      <c r="G270" s="100" t="s">
        <v>348</v>
      </c>
      <c r="H270" s="41">
        <f t="shared" ref="H270" si="51">H271</f>
        <v>10</v>
      </c>
      <c r="I270" s="41">
        <f t="shared" ref="I270" si="52">I271</f>
        <v>10</v>
      </c>
      <c r="J270" s="96">
        <f t="shared" si="47"/>
        <v>100</v>
      </c>
    </row>
    <row r="271" spans="1:10" ht="39.6" x14ac:dyDescent="0.25">
      <c r="A271" s="148"/>
      <c r="B271" s="25"/>
      <c r="C271" s="16" t="s">
        <v>100</v>
      </c>
      <c r="D271" s="16" t="s">
        <v>94</v>
      </c>
      <c r="E271" s="21" t="s">
        <v>555</v>
      </c>
      <c r="F271" s="84" t="s">
        <v>212</v>
      </c>
      <c r="G271" s="100" t="s">
        <v>213</v>
      </c>
      <c r="H271" s="41">
        <f>40-30</f>
        <v>10</v>
      </c>
      <c r="I271" s="101">
        <v>10</v>
      </c>
      <c r="J271" s="96">
        <f t="shared" si="47"/>
        <v>100</v>
      </c>
    </row>
    <row r="272" spans="1:10" ht="26.4" x14ac:dyDescent="0.25">
      <c r="A272" s="148"/>
      <c r="B272" s="25"/>
      <c r="C272" s="47" t="s">
        <v>100</v>
      </c>
      <c r="D272" s="47" t="s">
        <v>94</v>
      </c>
      <c r="E272" s="52" t="s">
        <v>384</v>
      </c>
      <c r="F272" s="16"/>
      <c r="G272" s="46" t="s">
        <v>358</v>
      </c>
      <c r="H272" s="95">
        <f>H273</f>
        <v>1094.9000000000001</v>
      </c>
      <c r="I272" s="95">
        <f>I273</f>
        <v>768</v>
      </c>
      <c r="J272" s="96">
        <f t="shared" si="47"/>
        <v>70.099999999999994</v>
      </c>
    </row>
    <row r="273" spans="1:10" ht="39.6" x14ac:dyDescent="0.25">
      <c r="A273" s="148"/>
      <c r="B273" s="25"/>
      <c r="C273" s="16" t="s">
        <v>100</v>
      </c>
      <c r="D273" s="16" t="s">
        <v>94</v>
      </c>
      <c r="E273" s="21" t="s">
        <v>418</v>
      </c>
      <c r="F273" s="16"/>
      <c r="G273" s="102" t="s">
        <v>307</v>
      </c>
      <c r="H273" s="101">
        <f>H274+H276</f>
        <v>1094.9000000000001</v>
      </c>
      <c r="I273" s="101">
        <f>I274+I276</f>
        <v>768</v>
      </c>
      <c r="J273" s="96">
        <f t="shared" si="47"/>
        <v>70.099999999999994</v>
      </c>
    </row>
    <row r="274" spans="1:10" ht="39.6" x14ac:dyDescent="0.25">
      <c r="A274" s="148"/>
      <c r="B274" s="25"/>
      <c r="C274" s="16" t="s">
        <v>100</v>
      </c>
      <c r="D274" s="16" t="s">
        <v>94</v>
      </c>
      <c r="E274" s="21" t="s">
        <v>556</v>
      </c>
      <c r="F274" s="16"/>
      <c r="G274" s="99" t="s">
        <v>191</v>
      </c>
      <c r="H274" s="41">
        <f>H275</f>
        <v>178</v>
      </c>
      <c r="I274" s="41">
        <f>I275</f>
        <v>178</v>
      </c>
      <c r="J274" s="96">
        <f t="shared" si="47"/>
        <v>100</v>
      </c>
    </row>
    <row r="275" spans="1:10" ht="39.6" x14ac:dyDescent="0.25">
      <c r="A275" s="148"/>
      <c r="B275" s="25"/>
      <c r="C275" s="16" t="s">
        <v>100</v>
      </c>
      <c r="D275" s="16" t="s">
        <v>94</v>
      </c>
      <c r="E275" s="21" t="s">
        <v>556</v>
      </c>
      <c r="F275" s="84" t="s">
        <v>212</v>
      </c>
      <c r="G275" s="100" t="s">
        <v>213</v>
      </c>
      <c r="H275" s="41">
        <f>250-72</f>
        <v>178</v>
      </c>
      <c r="I275" s="39">
        <v>178</v>
      </c>
      <c r="J275" s="96">
        <f t="shared" si="47"/>
        <v>100</v>
      </c>
    </row>
    <row r="276" spans="1:10" ht="26.4" x14ac:dyDescent="0.25">
      <c r="A276" s="148"/>
      <c r="B276" s="25"/>
      <c r="C276" s="16" t="s">
        <v>100</v>
      </c>
      <c r="D276" s="16" t="s">
        <v>94</v>
      </c>
      <c r="E276" s="21" t="s">
        <v>557</v>
      </c>
      <c r="F276" s="84"/>
      <c r="G276" s="100" t="s">
        <v>402</v>
      </c>
      <c r="H276" s="41">
        <f>H277</f>
        <v>916.9</v>
      </c>
      <c r="I276" s="41">
        <f>I277</f>
        <v>590</v>
      </c>
      <c r="J276" s="96">
        <f t="shared" si="47"/>
        <v>64.3</v>
      </c>
    </row>
    <row r="277" spans="1:10" ht="39.6" x14ac:dyDescent="0.25">
      <c r="A277" s="148"/>
      <c r="B277" s="25"/>
      <c r="C277" s="16" t="s">
        <v>100</v>
      </c>
      <c r="D277" s="16" t="s">
        <v>94</v>
      </c>
      <c r="E277" s="21" t="s">
        <v>557</v>
      </c>
      <c r="F277" s="84" t="s">
        <v>212</v>
      </c>
      <c r="G277" s="100" t="s">
        <v>213</v>
      </c>
      <c r="H277" s="41">
        <f>590+146.9+180</f>
        <v>916.9</v>
      </c>
      <c r="I277" s="39">
        <v>590</v>
      </c>
      <c r="J277" s="96">
        <f t="shared" si="47"/>
        <v>64.3</v>
      </c>
    </row>
    <row r="278" spans="1:10" ht="39.6" x14ac:dyDescent="0.25">
      <c r="A278" s="148"/>
      <c r="B278" s="25"/>
      <c r="C278" s="16" t="s">
        <v>100</v>
      </c>
      <c r="D278" s="16" t="s">
        <v>94</v>
      </c>
      <c r="E278" s="52" t="s">
        <v>39</v>
      </c>
      <c r="F278" s="16"/>
      <c r="G278" s="46" t="s">
        <v>558</v>
      </c>
      <c r="H278" s="122">
        <f>H279+H282</f>
        <v>3397.2999999999993</v>
      </c>
      <c r="I278" s="122">
        <f>I279+I282</f>
        <v>3397.3</v>
      </c>
      <c r="J278" s="58">
        <f t="shared" si="47"/>
        <v>100</v>
      </c>
    </row>
    <row r="279" spans="1:10" ht="52.8" x14ac:dyDescent="0.25">
      <c r="A279" s="148"/>
      <c r="B279" s="25"/>
      <c r="C279" s="16" t="s">
        <v>100</v>
      </c>
      <c r="D279" s="16" t="s">
        <v>94</v>
      </c>
      <c r="E279" s="21" t="s">
        <v>237</v>
      </c>
      <c r="F279" s="16"/>
      <c r="G279" s="102" t="s">
        <v>754</v>
      </c>
      <c r="H279" s="109">
        <f>H280</f>
        <v>2523.9999999999991</v>
      </c>
      <c r="I279" s="109">
        <f>I280</f>
        <v>2524</v>
      </c>
      <c r="J279" s="96">
        <f t="shared" si="47"/>
        <v>100</v>
      </c>
    </row>
    <row r="280" spans="1:10" ht="39.6" x14ac:dyDescent="0.25">
      <c r="A280" s="148"/>
      <c r="B280" s="25"/>
      <c r="C280" s="16" t="s">
        <v>100</v>
      </c>
      <c r="D280" s="16" t="s">
        <v>94</v>
      </c>
      <c r="E280" s="21" t="s">
        <v>559</v>
      </c>
      <c r="F280" s="16"/>
      <c r="G280" s="102" t="s">
        <v>560</v>
      </c>
      <c r="H280" s="109">
        <f>H281</f>
        <v>2523.9999999999991</v>
      </c>
      <c r="I280" s="109">
        <f>I281</f>
        <v>2524</v>
      </c>
      <c r="J280" s="96">
        <f t="shared" si="47"/>
        <v>100</v>
      </c>
    </row>
    <row r="281" spans="1:10" ht="39.6" x14ac:dyDescent="0.25">
      <c r="A281" s="148"/>
      <c r="B281" s="25"/>
      <c r="C281" s="16" t="s">
        <v>100</v>
      </c>
      <c r="D281" s="16" t="s">
        <v>94</v>
      </c>
      <c r="E281" s="21" t="s">
        <v>559</v>
      </c>
      <c r="F281" s="84" t="s">
        <v>212</v>
      </c>
      <c r="G281" s="100" t="s">
        <v>213</v>
      </c>
      <c r="H281" s="109">
        <f>19821.8-14859.1-3849.7+127.9+68+500+722.9-7.8</f>
        <v>2523.9999999999991</v>
      </c>
      <c r="I281" s="41">
        <v>2524</v>
      </c>
      <c r="J281" s="96">
        <f t="shared" si="47"/>
        <v>100</v>
      </c>
    </row>
    <row r="282" spans="1:10" ht="26.4" x14ac:dyDescent="0.25">
      <c r="A282" s="148"/>
      <c r="B282" s="25"/>
      <c r="C282" s="16" t="s">
        <v>100</v>
      </c>
      <c r="D282" s="16" t="s">
        <v>94</v>
      </c>
      <c r="E282" s="21" t="s">
        <v>383</v>
      </c>
      <c r="F282" s="84"/>
      <c r="G282" s="102" t="s">
        <v>755</v>
      </c>
      <c r="H282" s="109">
        <f>H283</f>
        <v>873.3</v>
      </c>
      <c r="I282" s="109">
        <f>I283</f>
        <v>873.3</v>
      </c>
      <c r="J282" s="96">
        <f t="shared" si="47"/>
        <v>100</v>
      </c>
    </row>
    <row r="283" spans="1:10" ht="26.4" x14ac:dyDescent="0.25">
      <c r="A283" s="148"/>
      <c r="B283" s="25"/>
      <c r="C283" s="16" t="s">
        <v>100</v>
      </c>
      <c r="D283" s="16" t="s">
        <v>94</v>
      </c>
      <c r="E283" s="21" t="s">
        <v>561</v>
      </c>
      <c r="F283" s="16"/>
      <c r="G283" s="102" t="s">
        <v>386</v>
      </c>
      <c r="H283" s="109">
        <f>H284</f>
        <v>873.3</v>
      </c>
      <c r="I283" s="109">
        <f>I284</f>
        <v>873.3</v>
      </c>
      <c r="J283" s="96">
        <f t="shared" si="47"/>
        <v>100</v>
      </c>
    </row>
    <row r="284" spans="1:10" x14ac:dyDescent="0.25">
      <c r="A284" s="148"/>
      <c r="B284" s="25"/>
      <c r="C284" s="16" t="s">
        <v>100</v>
      </c>
      <c r="D284" s="16" t="s">
        <v>94</v>
      </c>
      <c r="E284" s="21" t="s">
        <v>561</v>
      </c>
      <c r="F284" s="111" t="s">
        <v>252</v>
      </c>
      <c r="G284" s="108" t="s">
        <v>275</v>
      </c>
      <c r="H284" s="109">
        <f>910.3-37</f>
        <v>873.3</v>
      </c>
      <c r="I284" s="110">
        <v>873.3</v>
      </c>
      <c r="J284" s="58">
        <f t="shared" si="47"/>
        <v>100</v>
      </c>
    </row>
    <row r="285" spans="1:10" ht="23.25" customHeight="1" x14ac:dyDescent="0.25">
      <c r="A285" s="148"/>
      <c r="B285" s="25"/>
      <c r="C285" s="16" t="s">
        <v>100</v>
      </c>
      <c r="D285" s="16" t="s">
        <v>94</v>
      </c>
      <c r="E285" s="84" t="s">
        <v>29</v>
      </c>
      <c r="F285" s="84"/>
      <c r="G285" s="102" t="s">
        <v>43</v>
      </c>
      <c r="H285" s="41">
        <f>H286</f>
        <v>100</v>
      </c>
      <c r="I285" s="41">
        <f>I286</f>
        <v>93.9</v>
      </c>
      <c r="J285" s="96">
        <f t="shared" si="47"/>
        <v>93.9</v>
      </c>
    </row>
    <row r="286" spans="1:10" ht="41.25" customHeight="1" x14ac:dyDescent="0.25">
      <c r="A286" s="148"/>
      <c r="B286" s="25"/>
      <c r="C286" s="16" t="s">
        <v>100</v>
      </c>
      <c r="D286" s="16" t="s">
        <v>94</v>
      </c>
      <c r="E286" s="84" t="s">
        <v>562</v>
      </c>
      <c r="F286" s="16"/>
      <c r="G286" s="54" t="s">
        <v>351</v>
      </c>
      <c r="H286" s="41">
        <f>SUM(H287:H287)</f>
        <v>100</v>
      </c>
      <c r="I286" s="41">
        <f>SUM(I287:I287)</f>
        <v>93.9</v>
      </c>
      <c r="J286" s="96">
        <f t="shared" si="47"/>
        <v>93.9</v>
      </c>
    </row>
    <row r="287" spans="1:10" ht="39.6" x14ac:dyDescent="0.25">
      <c r="A287" s="148"/>
      <c r="B287" s="25"/>
      <c r="C287" s="16" t="s">
        <v>100</v>
      </c>
      <c r="D287" s="16" t="s">
        <v>94</v>
      </c>
      <c r="E287" s="84" t="s">
        <v>562</v>
      </c>
      <c r="F287" s="84" t="s">
        <v>212</v>
      </c>
      <c r="G287" s="100" t="s">
        <v>213</v>
      </c>
      <c r="H287" s="39">
        <v>100</v>
      </c>
      <c r="I287" s="41">
        <v>93.9</v>
      </c>
      <c r="J287" s="96">
        <f t="shared" si="47"/>
        <v>93.9</v>
      </c>
    </row>
    <row r="288" spans="1:10" ht="14.4" x14ac:dyDescent="0.3">
      <c r="A288" s="148"/>
      <c r="B288" s="25"/>
      <c r="C288" s="30" t="s">
        <v>100</v>
      </c>
      <c r="D288" s="30" t="s">
        <v>98</v>
      </c>
      <c r="E288" s="30"/>
      <c r="F288" s="30"/>
      <c r="G288" s="27" t="s">
        <v>53</v>
      </c>
      <c r="H288" s="40">
        <f>H289+H296+H334+H350+H385</f>
        <v>87476.5</v>
      </c>
      <c r="I288" s="40">
        <f>I289+I296+I334+I350+I385</f>
        <v>74591</v>
      </c>
      <c r="J288" s="42">
        <f t="shared" si="47"/>
        <v>85.3</v>
      </c>
    </row>
    <row r="289" spans="1:10" ht="92.4" x14ac:dyDescent="0.25">
      <c r="A289" s="148"/>
      <c r="B289" s="25"/>
      <c r="C289" s="84" t="s">
        <v>100</v>
      </c>
      <c r="D289" s="84" t="s">
        <v>98</v>
      </c>
      <c r="E289" s="78" t="s">
        <v>71</v>
      </c>
      <c r="F289" s="16"/>
      <c r="G289" s="63" t="s">
        <v>563</v>
      </c>
      <c r="H289" s="98">
        <f t="shared" ref="H289:I292" si="53">H290</f>
        <v>629.29999999999995</v>
      </c>
      <c r="I289" s="98">
        <f t="shared" si="53"/>
        <v>624.70000000000005</v>
      </c>
      <c r="J289" s="62">
        <f t="shared" si="47"/>
        <v>99.3</v>
      </c>
    </row>
    <row r="290" spans="1:10" ht="52.8" x14ac:dyDescent="0.25">
      <c r="A290" s="148"/>
      <c r="B290" s="25"/>
      <c r="C290" s="47" t="s">
        <v>100</v>
      </c>
      <c r="D290" s="47" t="s">
        <v>98</v>
      </c>
      <c r="E290" s="77" t="s">
        <v>72</v>
      </c>
      <c r="F290" s="16"/>
      <c r="G290" s="60" t="s">
        <v>564</v>
      </c>
      <c r="H290" s="95">
        <f t="shared" si="53"/>
        <v>629.29999999999995</v>
      </c>
      <c r="I290" s="95">
        <f t="shared" si="53"/>
        <v>624.70000000000005</v>
      </c>
      <c r="J290" s="58">
        <f t="shared" si="47"/>
        <v>99.3</v>
      </c>
    </row>
    <row r="291" spans="1:10" ht="49.5" customHeight="1" x14ac:dyDescent="0.25">
      <c r="A291" s="148"/>
      <c r="B291" s="25"/>
      <c r="C291" s="84" t="s">
        <v>100</v>
      </c>
      <c r="D291" s="84" t="s">
        <v>98</v>
      </c>
      <c r="E291" s="74">
        <v>610100000</v>
      </c>
      <c r="F291" s="16"/>
      <c r="G291" s="100" t="s">
        <v>756</v>
      </c>
      <c r="H291" s="101">
        <f>H292+H294</f>
        <v>629.29999999999995</v>
      </c>
      <c r="I291" s="101">
        <f>I292+I294</f>
        <v>624.70000000000005</v>
      </c>
      <c r="J291" s="96">
        <f t="shared" si="47"/>
        <v>99.3</v>
      </c>
    </row>
    <row r="292" spans="1:10" ht="39.6" x14ac:dyDescent="0.25">
      <c r="A292" s="148"/>
      <c r="B292" s="25"/>
      <c r="C292" s="84" t="s">
        <v>100</v>
      </c>
      <c r="D292" s="84" t="s">
        <v>98</v>
      </c>
      <c r="E292" s="198" t="s">
        <v>565</v>
      </c>
      <c r="F292" s="16"/>
      <c r="G292" s="100" t="s">
        <v>566</v>
      </c>
      <c r="H292" s="41">
        <f t="shared" si="53"/>
        <v>620.29999999999995</v>
      </c>
      <c r="I292" s="41">
        <f>I293</f>
        <v>620</v>
      </c>
      <c r="J292" s="96">
        <f t="shared" si="47"/>
        <v>100</v>
      </c>
    </row>
    <row r="293" spans="1:10" ht="39.6" x14ac:dyDescent="0.25">
      <c r="A293" s="148"/>
      <c r="B293" s="25"/>
      <c r="C293" s="84" t="s">
        <v>100</v>
      </c>
      <c r="D293" s="84" t="s">
        <v>98</v>
      </c>
      <c r="E293" s="198" t="s">
        <v>565</v>
      </c>
      <c r="F293" s="84" t="s">
        <v>212</v>
      </c>
      <c r="G293" s="100" t="s">
        <v>213</v>
      </c>
      <c r="H293" s="41">
        <v>620.29999999999995</v>
      </c>
      <c r="I293" s="39">
        <v>620</v>
      </c>
      <c r="J293" s="96">
        <f t="shared" si="47"/>
        <v>100</v>
      </c>
    </row>
    <row r="294" spans="1:10" ht="39.6" x14ac:dyDescent="0.25">
      <c r="A294" s="148"/>
      <c r="B294" s="25"/>
      <c r="C294" s="84" t="s">
        <v>100</v>
      </c>
      <c r="D294" s="84" t="s">
        <v>98</v>
      </c>
      <c r="E294" s="198" t="s">
        <v>567</v>
      </c>
      <c r="F294" s="84"/>
      <c r="G294" s="100" t="s">
        <v>568</v>
      </c>
      <c r="H294" s="41">
        <f>H295</f>
        <v>9</v>
      </c>
      <c r="I294" s="41">
        <f>I295</f>
        <v>4.7</v>
      </c>
      <c r="J294" s="96">
        <f t="shared" si="47"/>
        <v>52.2</v>
      </c>
    </row>
    <row r="295" spans="1:10" ht="39.6" x14ac:dyDescent="0.25">
      <c r="A295" s="148"/>
      <c r="B295" s="25"/>
      <c r="C295" s="84" t="s">
        <v>100</v>
      </c>
      <c r="D295" s="84" t="s">
        <v>98</v>
      </c>
      <c r="E295" s="198" t="s">
        <v>567</v>
      </c>
      <c r="F295" s="84" t="s">
        <v>212</v>
      </c>
      <c r="G295" s="100" t="s">
        <v>213</v>
      </c>
      <c r="H295" s="41">
        <v>9</v>
      </c>
      <c r="I295" s="41">
        <v>4.7</v>
      </c>
      <c r="J295" s="96">
        <f t="shared" si="47"/>
        <v>52.2</v>
      </c>
    </row>
    <row r="296" spans="1:10" ht="81" customHeight="1" x14ac:dyDescent="0.25">
      <c r="A296" s="148"/>
      <c r="B296" s="25"/>
      <c r="C296" s="5" t="s">
        <v>100</v>
      </c>
      <c r="D296" s="5" t="s">
        <v>98</v>
      </c>
      <c r="E296" s="73" t="s">
        <v>60</v>
      </c>
      <c r="F296" s="16"/>
      <c r="G296" s="53" t="s">
        <v>569</v>
      </c>
      <c r="H296" s="98">
        <f>H297+H310+H314+H322</f>
        <v>31360.100000000002</v>
      </c>
      <c r="I296" s="98">
        <f>I297+I310+I314+I322</f>
        <v>30679.199999999997</v>
      </c>
      <c r="J296" s="62">
        <f t="shared" si="47"/>
        <v>97.8</v>
      </c>
    </row>
    <row r="297" spans="1:10" ht="52.8" x14ac:dyDescent="0.25">
      <c r="A297" s="148"/>
      <c r="B297" s="25"/>
      <c r="C297" s="84" t="s">
        <v>100</v>
      </c>
      <c r="D297" s="84" t="s">
        <v>98</v>
      </c>
      <c r="E297" s="52" t="s">
        <v>61</v>
      </c>
      <c r="F297" s="47"/>
      <c r="G297" s="48" t="s">
        <v>570</v>
      </c>
      <c r="H297" s="95">
        <f>H298+H307</f>
        <v>11363.000000000002</v>
      </c>
      <c r="I297" s="95">
        <f>I298+I307</f>
        <v>11334.2</v>
      </c>
      <c r="J297" s="58">
        <f t="shared" si="47"/>
        <v>99.7</v>
      </c>
    </row>
    <row r="298" spans="1:10" ht="27.75" customHeight="1" x14ac:dyDescent="0.25">
      <c r="A298" s="148"/>
      <c r="B298" s="25"/>
      <c r="C298" s="16" t="s">
        <v>100</v>
      </c>
      <c r="D298" s="84" t="s">
        <v>98</v>
      </c>
      <c r="E298" s="21" t="s">
        <v>238</v>
      </c>
      <c r="F298" s="47"/>
      <c r="G298" s="102" t="s">
        <v>256</v>
      </c>
      <c r="H298" s="95">
        <f>H299+H301+H303+H305</f>
        <v>11063.000000000002</v>
      </c>
      <c r="I298" s="95">
        <f>I299+I301+I303+I305</f>
        <v>11034.2</v>
      </c>
      <c r="J298" s="96">
        <f t="shared" si="47"/>
        <v>99.7</v>
      </c>
    </row>
    <row r="299" spans="1:10" ht="39.6" x14ac:dyDescent="0.25">
      <c r="A299" s="148"/>
      <c r="B299" s="25"/>
      <c r="C299" s="16" t="s">
        <v>100</v>
      </c>
      <c r="D299" s="84" t="s">
        <v>98</v>
      </c>
      <c r="E299" s="74">
        <v>1210123505</v>
      </c>
      <c r="F299" s="21"/>
      <c r="G299" s="100" t="s">
        <v>571</v>
      </c>
      <c r="H299" s="41">
        <f>H300</f>
        <v>4995.4000000000005</v>
      </c>
      <c r="I299" s="41">
        <f>I300</f>
        <v>4995.3999999999996</v>
      </c>
      <c r="J299" s="96">
        <f t="shared" si="47"/>
        <v>100</v>
      </c>
    </row>
    <row r="300" spans="1:10" ht="39.6" x14ac:dyDescent="0.25">
      <c r="A300" s="148"/>
      <c r="B300" s="25"/>
      <c r="C300" s="84" t="s">
        <v>100</v>
      </c>
      <c r="D300" s="84" t="s">
        <v>98</v>
      </c>
      <c r="E300" s="74">
        <v>1210123505</v>
      </c>
      <c r="F300" s="84" t="s">
        <v>212</v>
      </c>
      <c r="G300" s="100" t="s">
        <v>213</v>
      </c>
      <c r="H300" s="39">
        <f>3473.5-275.7+100+875.8+293.2+275.7-875.8-59.2+300+491.8+337.1+136.5-77.5</f>
        <v>4995.4000000000005</v>
      </c>
      <c r="I300" s="41">
        <v>4995.3999999999996</v>
      </c>
      <c r="J300" s="96">
        <f t="shared" si="47"/>
        <v>100</v>
      </c>
    </row>
    <row r="301" spans="1:10" ht="66" x14ac:dyDescent="0.25">
      <c r="A301" s="148"/>
      <c r="B301" s="25"/>
      <c r="C301" s="84" t="s">
        <v>100</v>
      </c>
      <c r="D301" s="84" t="s">
        <v>98</v>
      </c>
      <c r="E301" s="74">
        <v>1210123510</v>
      </c>
      <c r="F301" s="21"/>
      <c r="G301" s="100" t="s">
        <v>239</v>
      </c>
      <c r="H301" s="41">
        <f>H302</f>
        <v>4043.5</v>
      </c>
      <c r="I301" s="41">
        <f t="shared" ref="I301" si="54">I302</f>
        <v>4043.5</v>
      </c>
      <c r="J301" s="96">
        <f t="shared" si="47"/>
        <v>100</v>
      </c>
    </row>
    <row r="302" spans="1:10" ht="39.6" x14ac:dyDescent="0.25">
      <c r="A302" s="148"/>
      <c r="B302" s="25"/>
      <c r="C302" s="16" t="s">
        <v>100</v>
      </c>
      <c r="D302" s="84" t="s">
        <v>98</v>
      </c>
      <c r="E302" s="74">
        <v>1210123510</v>
      </c>
      <c r="F302" s="84" t="s">
        <v>212</v>
      </c>
      <c r="G302" s="100" t="s">
        <v>213</v>
      </c>
      <c r="H302" s="41">
        <f>5279.4-898.9-337.1+0.1</f>
        <v>4043.5</v>
      </c>
      <c r="I302" s="41">
        <v>4043.5</v>
      </c>
      <c r="J302" s="96">
        <f t="shared" si="47"/>
        <v>100</v>
      </c>
    </row>
    <row r="303" spans="1:10" ht="26.4" x14ac:dyDescent="0.25">
      <c r="A303" s="148"/>
      <c r="B303" s="25"/>
      <c r="C303" s="84" t="s">
        <v>100</v>
      </c>
      <c r="D303" s="84" t="s">
        <v>98</v>
      </c>
      <c r="E303" s="74">
        <v>1210123515</v>
      </c>
      <c r="F303" s="16"/>
      <c r="G303" s="100" t="s">
        <v>27</v>
      </c>
      <c r="H303" s="41">
        <f>H304</f>
        <v>645.6</v>
      </c>
      <c r="I303" s="41">
        <f>I304</f>
        <v>645.6</v>
      </c>
      <c r="J303" s="96">
        <f t="shared" si="47"/>
        <v>100</v>
      </c>
    </row>
    <row r="304" spans="1:10" ht="39.6" x14ac:dyDescent="0.25">
      <c r="A304" s="148"/>
      <c r="B304" s="25"/>
      <c r="C304" s="84" t="s">
        <v>100</v>
      </c>
      <c r="D304" s="84" t="s">
        <v>98</v>
      </c>
      <c r="E304" s="74">
        <v>1210123515</v>
      </c>
      <c r="F304" s="84" t="s">
        <v>212</v>
      </c>
      <c r="G304" s="100" t="s">
        <v>213</v>
      </c>
      <c r="H304" s="41">
        <f>500+145.6</f>
        <v>645.6</v>
      </c>
      <c r="I304" s="92">
        <v>645.6</v>
      </c>
      <c r="J304" s="96">
        <f>ROUND((прил.6!E424/H304*100),1)</f>
        <v>100</v>
      </c>
    </row>
    <row r="305" spans="1:10" ht="79.2" x14ac:dyDescent="0.25">
      <c r="A305" s="148"/>
      <c r="B305" s="25"/>
      <c r="C305" s="84" t="s">
        <v>100</v>
      </c>
      <c r="D305" s="84" t="s">
        <v>98</v>
      </c>
      <c r="E305" s="152" t="s">
        <v>572</v>
      </c>
      <c r="F305" s="84"/>
      <c r="G305" s="125" t="s">
        <v>573</v>
      </c>
      <c r="H305" s="41">
        <f>H306</f>
        <v>1378.5</v>
      </c>
      <c r="I305" s="41">
        <f>I306</f>
        <v>1349.7</v>
      </c>
      <c r="J305" s="96">
        <f>ROUND((I305/H305*100),1)</f>
        <v>97.9</v>
      </c>
    </row>
    <row r="306" spans="1:10" ht="39.6" x14ac:dyDescent="0.25">
      <c r="A306" s="148"/>
      <c r="B306" s="25"/>
      <c r="C306" s="84" t="s">
        <v>100</v>
      </c>
      <c r="D306" s="84" t="s">
        <v>98</v>
      </c>
      <c r="E306" s="150" t="s">
        <v>572</v>
      </c>
      <c r="F306" s="84" t="s">
        <v>212</v>
      </c>
      <c r="G306" s="100" t="s">
        <v>213</v>
      </c>
      <c r="H306" s="41">
        <f>275.7+1102.8</f>
        <v>1378.5</v>
      </c>
      <c r="I306" s="39">
        <v>1349.7</v>
      </c>
      <c r="J306" s="96">
        <f>ROUND((I306/H306*100),1)</f>
        <v>97.9</v>
      </c>
    </row>
    <row r="307" spans="1:10" ht="26.25" customHeight="1" x14ac:dyDescent="0.25">
      <c r="A307" s="148"/>
      <c r="B307" s="25"/>
      <c r="C307" s="47" t="s">
        <v>100</v>
      </c>
      <c r="D307" s="47" t="s">
        <v>98</v>
      </c>
      <c r="E307" s="21" t="s">
        <v>294</v>
      </c>
      <c r="F307" s="84"/>
      <c r="G307" s="102" t="s">
        <v>295</v>
      </c>
      <c r="H307" s="41">
        <f>H308</f>
        <v>300</v>
      </c>
      <c r="I307" s="41">
        <f>I308</f>
        <v>300</v>
      </c>
      <c r="J307" s="96">
        <f>ROUND((I307/H307*100),1)</f>
        <v>100</v>
      </c>
    </row>
    <row r="308" spans="1:10" ht="26.4" x14ac:dyDescent="0.25">
      <c r="A308" s="148"/>
      <c r="B308" s="25"/>
      <c r="C308" s="16" t="s">
        <v>100</v>
      </c>
      <c r="D308" s="84" t="s">
        <v>98</v>
      </c>
      <c r="E308" s="74">
        <v>1210223520</v>
      </c>
      <c r="F308" s="16"/>
      <c r="G308" s="100" t="s">
        <v>240</v>
      </c>
      <c r="H308" s="41">
        <f>H309</f>
        <v>300</v>
      </c>
      <c r="I308" s="41">
        <f>I309</f>
        <v>300</v>
      </c>
      <c r="J308" s="96">
        <f>ROUND((I308/H308*100),1)</f>
        <v>100</v>
      </c>
    </row>
    <row r="309" spans="1:10" ht="41.25" customHeight="1" x14ac:dyDescent="0.25">
      <c r="A309" s="148"/>
      <c r="B309" s="25"/>
      <c r="C309" s="84" t="s">
        <v>100</v>
      </c>
      <c r="D309" s="84" t="s">
        <v>98</v>
      </c>
      <c r="E309" s="74">
        <v>1210223520</v>
      </c>
      <c r="F309" s="84" t="s">
        <v>212</v>
      </c>
      <c r="G309" s="100" t="s">
        <v>213</v>
      </c>
      <c r="H309" s="39">
        <v>300</v>
      </c>
      <c r="I309" s="41">
        <v>300</v>
      </c>
      <c r="J309" s="96">
        <f t="shared" ref="J309:J311" si="55">ROUND((I309/H309*100),1)</f>
        <v>100</v>
      </c>
    </row>
    <row r="310" spans="1:10" ht="26.4" x14ac:dyDescent="0.25">
      <c r="A310" s="148"/>
      <c r="B310" s="25"/>
      <c r="C310" s="84" t="s">
        <v>100</v>
      </c>
      <c r="D310" s="84" t="s">
        <v>98</v>
      </c>
      <c r="E310" s="52" t="s">
        <v>62</v>
      </c>
      <c r="F310" s="47"/>
      <c r="G310" s="48" t="s">
        <v>30</v>
      </c>
      <c r="H310" s="95">
        <f>H311</f>
        <v>1560.6</v>
      </c>
      <c r="I310" s="95">
        <f>I311</f>
        <v>1541.8</v>
      </c>
      <c r="J310" s="58">
        <f t="shared" si="55"/>
        <v>98.8</v>
      </c>
    </row>
    <row r="311" spans="1:10" ht="16.5" customHeight="1" x14ac:dyDescent="0.25">
      <c r="A311" s="148"/>
      <c r="B311" s="25"/>
      <c r="C311" s="84" t="s">
        <v>100</v>
      </c>
      <c r="D311" s="84" t="s">
        <v>98</v>
      </c>
      <c r="E311" s="21" t="s">
        <v>241</v>
      </c>
      <c r="F311" s="47"/>
      <c r="G311" s="102" t="s">
        <v>242</v>
      </c>
      <c r="H311" s="101">
        <f t="shared" ref="H311:H312" si="56">H312</f>
        <v>1560.6</v>
      </c>
      <c r="I311" s="95">
        <f t="shared" ref="I311:I312" si="57">I312</f>
        <v>1541.8</v>
      </c>
      <c r="J311" s="96">
        <f t="shared" si="55"/>
        <v>98.8</v>
      </c>
    </row>
    <row r="312" spans="1:10" ht="26.4" x14ac:dyDescent="0.25">
      <c r="A312" s="148"/>
      <c r="B312" s="25"/>
      <c r="C312" s="84" t="s">
        <v>100</v>
      </c>
      <c r="D312" s="84" t="s">
        <v>98</v>
      </c>
      <c r="E312" s="80">
        <v>1220123525</v>
      </c>
      <c r="F312" s="16"/>
      <c r="G312" s="100" t="s">
        <v>192</v>
      </c>
      <c r="H312" s="41">
        <f t="shared" si="56"/>
        <v>1560.6</v>
      </c>
      <c r="I312" s="41">
        <f t="shared" si="57"/>
        <v>1541.8</v>
      </c>
      <c r="J312" s="96">
        <f t="shared" ref="J312:J358" si="58">ROUND((I312/H312*100),1)</f>
        <v>98.8</v>
      </c>
    </row>
    <row r="313" spans="1:10" ht="39.6" x14ac:dyDescent="0.25">
      <c r="A313" s="148"/>
      <c r="B313" s="25"/>
      <c r="C313" s="84" t="s">
        <v>100</v>
      </c>
      <c r="D313" s="84" t="s">
        <v>98</v>
      </c>
      <c r="E313" s="80">
        <v>1220123525</v>
      </c>
      <c r="F313" s="84" t="s">
        <v>212</v>
      </c>
      <c r="G313" s="100" t="s">
        <v>213</v>
      </c>
      <c r="H313" s="41">
        <f>1610.5-49.9</f>
        <v>1560.6</v>
      </c>
      <c r="I313" s="41">
        <v>1541.8</v>
      </c>
      <c r="J313" s="96">
        <f t="shared" si="58"/>
        <v>98.8</v>
      </c>
    </row>
    <row r="314" spans="1:10" ht="39.75" customHeight="1" x14ac:dyDescent="0.25">
      <c r="A314" s="148"/>
      <c r="B314" s="25"/>
      <c r="C314" s="84" t="s">
        <v>100</v>
      </c>
      <c r="D314" s="84" t="s">
        <v>98</v>
      </c>
      <c r="E314" s="52" t="s">
        <v>63</v>
      </c>
      <c r="F314" s="47"/>
      <c r="G314" s="48" t="s">
        <v>574</v>
      </c>
      <c r="H314" s="95">
        <f>H315</f>
        <v>5240.1000000000004</v>
      </c>
      <c r="I314" s="95">
        <f>I315</f>
        <v>5240.1000000000004</v>
      </c>
      <c r="J314" s="96">
        <f t="shared" si="58"/>
        <v>100</v>
      </c>
    </row>
    <row r="315" spans="1:10" ht="52.8" x14ac:dyDescent="0.25">
      <c r="A315" s="148"/>
      <c r="B315" s="25"/>
      <c r="C315" s="84" t="s">
        <v>100</v>
      </c>
      <c r="D315" s="84" t="s">
        <v>98</v>
      </c>
      <c r="E315" s="21" t="s">
        <v>243</v>
      </c>
      <c r="F315" s="47"/>
      <c r="G315" s="102" t="s">
        <v>245</v>
      </c>
      <c r="H315" s="101">
        <f>H316+H318+H320</f>
        <v>5240.1000000000004</v>
      </c>
      <c r="I315" s="101">
        <f>I316+I318+I320</f>
        <v>5240.1000000000004</v>
      </c>
      <c r="J315" s="96">
        <f t="shared" si="58"/>
        <v>100</v>
      </c>
    </row>
    <row r="316" spans="1:10" ht="26.4" x14ac:dyDescent="0.25">
      <c r="A316" s="148"/>
      <c r="B316" s="25"/>
      <c r="C316" s="84" t="s">
        <v>100</v>
      </c>
      <c r="D316" s="84" t="s">
        <v>98</v>
      </c>
      <c r="E316" s="21" t="s">
        <v>575</v>
      </c>
      <c r="F316" s="16"/>
      <c r="G316" s="100" t="s">
        <v>311</v>
      </c>
      <c r="H316" s="41">
        <f>H317</f>
        <v>2944.4</v>
      </c>
      <c r="I316" s="41">
        <f>I317</f>
        <v>2944.4</v>
      </c>
      <c r="J316" s="96">
        <f t="shared" si="58"/>
        <v>100</v>
      </c>
    </row>
    <row r="317" spans="1:10" ht="39.6" x14ac:dyDescent="0.25">
      <c r="A317" s="148"/>
      <c r="B317" s="25"/>
      <c r="C317" s="84" t="s">
        <v>100</v>
      </c>
      <c r="D317" s="84" t="s">
        <v>98</v>
      </c>
      <c r="E317" s="21" t="s">
        <v>575</v>
      </c>
      <c r="F317" s="84" t="s">
        <v>212</v>
      </c>
      <c r="G317" s="100" t="s">
        <v>213</v>
      </c>
      <c r="H317" s="41">
        <f>3800-1000+144.4</f>
        <v>2944.4</v>
      </c>
      <c r="I317" s="41">
        <v>2944.4</v>
      </c>
      <c r="J317" s="96">
        <f t="shared" si="58"/>
        <v>100</v>
      </c>
    </row>
    <row r="318" spans="1:10" ht="26.4" x14ac:dyDescent="0.25">
      <c r="A318" s="148"/>
      <c r="B318" s="25"/>
      <c r="C318" s="84" t="s">
        <v>100</v>
      </c>
      <c r="D318" s="84" t="s">
        <v>98</v>
      </c>
      <c r="E318" s="21" t="s">
        <v>576</v>
      </c>
      <c r="F318" s="16"/>
      <c r="G318" s="100" t="s">
        <v>28</v>
      </c>
      <c r="H318" s="41">
        <f>H319</f>
        <v>2290.6999999999998</v>
      </c>
      <c r="I318" s="41">
        <f>I319</f>
        <v>2290.6999999999998</v>
      </c>
      <c r="J318" s="96">
        <f t="shared" si="58"/>
        <v>100</v>
      </c>
    </row>
    <row r="319" spans="1:10" ht="39.6" x14ac:dyDescent="0.25">
      <c r="A319" s="148"/>
      <c r="B319" s="25"/>
      <c r="C319" s="84" t="s">
        <v>100</v>
      </c>
      <c r="D319" s="84" t="s">
        <v>98</v>
      </c>
      <c r="E319" s="21" t="s">
        <v>576</v>
      </c>
      <c r="F319" s="84" t="s">
        <v>212</v>
      </c>
      <c r="G319" s="100" t="s">
        <v>213</v>
      </c>
      <c r="H319" s="41">
        <f>1170+1070.7+59.2-9.2</f>
        <v>2290.6999999999998</v>
      </c>
      <c r="I319" s="41">
        <v>2290.6999999999998</v>
      </c>
      <c r="J319" s="96">
        <f t="shared" si="58"/>
        <v>100</v>
      </c>
    </row>
    <row r="320" spans="1:10" ht="26.4" x14ac:dyDescent="0.25">
      <c r="A320" s="148"/>
      <c r="B320" s="25"/>
      <c r="C320" s="84" t="s">
        <v>100</v>
      </c>
      <c r="D320" s="84" t="s">
        <v>98</v>
      </c>
      <c r="E320" s="21" t="s">
        <v>577</v>
      </c>
      <c r="F320" s="16"/>
      <c r="G320" s="100" t="s">
        <v>193</v>
      </c>
      <c r="H320" s="41">
        <f>H321</f>
        <v>5</v>
      </c>
      <c r="I320" s="41">
        <f>I321</f>
        <v>5</v>
      </c>
      <c r="J320" s="96">
        <f t="shared" si="58"/>
        <v>100</v>
      </c>
    </row>
    <row r="321" spans="1:10" ht="39.6" x14ac:dyDescent="0.25">
      <c r="A321" s="148"/>
      <c r="B321" s="25"/>
      <c r="C321" s="84" t="s">
        <v>100</v>
      </c>
      <c r="D321" s="84" t="s">
        <v>98</v>
      </c>
      <c r="E321" s="21" t="s">
        <v>577</v>
      </c>
      <c r="F321" s="84" t="s">
        <v>212</v>
      </c>
      <c r="G321" s="100" t="s">
        <v>213</v>
      </c>
      <c r="H321" s="41">
        <v>5</v>
      </c>
      <c r="I321" s="41">
        <v>5</v>
      </c>
      <c r="J321" s="96">
        <f t="shared" si="58"/>
        <v>100</v>
      </c>
    </row>
    <row r="322" spans="1:10" ht="52.8" x14ac:dyDescent="0.25">
      <c r="A322" s="148"/>
      <c r="B322" s="25"/>
      <c r="C322" s="84" t="s">
        <v>100</v>
      </c>
      <c r="D322" s="84" t="s">
        <v>98</v>
      </c>
      <c r="E322" s="52" t="s">
        <v>64</v>
      </c>
      <c r="F322" s="16"/>
      <c r="G322" s="60" t="s">
        <v>578</v>
      </c>
      <c r="H322" s="41">
        <f>H323+H328</f>
        <v>13196.399999999998</v>
      </c>
      <c r="I322" s="41">
        <f>I323+I328</f>
        <v>12563.099999999999</v>
      </c>
      <c r="J322" s="96">
        <f t="shared" si="58"/>
        <v>95.2</v>
      </c>
    </row>
    <row r="323" spans="1:10" ht="66" x14ac:dyDescent="0.25">
      <c r="A323" s="148"/>
      <c r="B323" s="25"/>
      <c r="C323" s="84" t="s">
        <v>100</v>
      </c>
      <c r="D323" s="84" t="s">
        <v>98</v>
      </c>
      <c r="E323" s="21" t="s">
        <v>244</v>
      </c>
      <c r="F323" s="16"/>
      <c r="G323" s="102" t="s">
        <v>757</v>
      </c>
      <c r="H323" s="41">
        <f>H324+H326</f>
        <v>318.50000000000006</v>
      </c>
      <c r="I323" s="41">
        <f>I324+I326</f>
        <v>318.5</v>
      </c>
      <c r="J323" s="96">
        <f t="shared" si="58"/>
        <v>100</v>
      </c>
    </row>
    <row r="324" spans="1:10" ht="26.4" x14ac:dyDescent="0.25">
      <c r="A324" s="148"/>
      <c r="B324" s="25"/>
      <c r="C324" s="84" t="s">
        <v>100</v>
      </c>
      <c r="D324" s="84" t="s">
        <v>98</v>
      </c>
      <c r="E324" s="21" t="s">
        <v>579</v>
      </c>
      <c r="F324" s="16"/>
      <c r="G324" s="100" t="s">
        <v>385</v>
      </c>
      <c r="H324" s="41">
        <f>H325</f>
        <v>289.20000000000005</v>
      </c>
      <c r="I324" s="41">
        <f>I325</f>
        <v>289.2</v>
      </c>
      <c r="J324" s="96">
        <f t="shared" si="58"/>
        <v>100</v>
      </c>
    </row>
    <row r="325" spans="1:10" ht="39.6" x14ac:dyDescent="0.25">
      <c r="A325" s="148"/>
      <c r="B325" s="25"/>
      <c r="C325" s="84" t="s">
        <v>100</v>
      </c>
      <c r="D325" s="84" t="s">
        <v>98</v>
      </c>
      <c r="E325" s="21" t="s">
        <v>579</v>
      </c>
      <c r="F325" s="84" t="s">
        <v>212</v>
      </c>
      <c r="G325" s="100" t="s">
        <v>213</v>
      </c>
      <c r="H325" s="41">
        <f>500+162.5-29.3-344</f>
        <v>289.20000000000005</v>
      </c>
      <c r="I325" s="41">
        <v>289.2</v>
      </c>
      <c r="J325" s="96">
        <f t="shared" si="58"/>
        <v>100</v>
      </c>
    </row>
    <row r="326" spans="1:10" ht="52.8" x14ac:dyDescent="0.25">
      <c r="A326" s="148"/>
      <c r="B326" s="25"/>
      <c r="C326" s="84" t="s">
        <v>100</v>
      </c>
      <c r="D326" s="84" t="s">
        <v>98</v>
      </c>
      <c r="E326" s="21" t="s">
        <v>580</v>
      </c>
      <c r="F326" s="84"/>
      <c r="G326" s="100" t="s">
        <v>581</v>
      </c>
      <c r="H326" s="41">
        <f>H327</f>
        <v>29.3</v>
      </c>
      <c r="I326" s="41">
        <f>I327</f>
        <v>29.3</v>
      </c>
      <c r="J326" s="96">
        <f t="shared" si="58"/>
        <v>100</v>
      </c>
    </row>
    <row r="327" spans="1:10" ht="39.6" x14ac:dyDescent="0.25">
      <c r="A327" s="148"/>
      <c r="B327" s="25"/>
      <c r="C327" s="84" t="s">
        <v>100</v>
      </c>
      <c r="D327" s="84" t="s">
        <v>98</v>
      </c>
      <c r="E327" s="21" t="s">
        <v>580</v>
      </c>
      <c r="F327" s="84" t="s">
        <v>212</v>
      </c>
      <c r="G327" s="100" t="s">
        <v>213</v>
      </c>
      <c r="H327" s="41">
        <v>29.3</v>
      </c>
      <c r="I327" s="41">
        <v>29.3</v>
      </c>
      <c r="J327" s="96">
        <f t="shared" si="58"/>
        <v>100</v>
      </c>
    </row>
    <row r="328" spans="1:10" ht="52.8" x14ac:dyDescent="0.25">
      <c r="A328" s="148"/>
      <c r="B328" s="25"/>
      <c r="C328" s="16" t="s">
        <v>100</v>
      </c>
      <c r="D328" s="16" t="s">
        <v>98</v>
      </c>
      <c r="E328" s="21" t="s">
        <v>758</v>
      </c>
      <c r="F328" s="16"/>
      <c r="G328" s="100" t="s">
        <v>759</v>
      </c>
      <c r="H328" s="41">
        <f>H329+H332</f>
        <v>12877.899999999998</v>
      </c>
      <c r="I328" s="41">
        <f>I329+I332</f>
        <v>12244.599999999999</v>
      </c>
      <c r="J328" s="96">
        <f t="shared" si="58"/>
        <v>95.1</v>
      </c>
    </row>
    <row r="329" spans="1:10" ht="39.6" x14ac:dyDescent="0.25">
      <c r="A329" s="148"/>
      <c r="B329" s="25"/>
      <c r="C329" s="16" t="s">
        <v>100</v>
      </c>
      <c r="D329" s="16" t="s">
        <v>98</v>
      </c>
      <c r="E329" s="21" t="s">
        <v>582</v>
      </c>
      <c r="F329" s="84"/>
      <c r="G329" s="100" t="s">
        <v>583</v>
      </c>
      <c r="H329" s="41">
        <f>SUM(H330:H331)</f>
        <v>9492.1999999999989</v>
      </c>
      <c r="I329" s="41">
        <f>SUM(I330:I331)</f>
        <v>8858.9</v>
      </c>
      <c r="J329" s="96">
        <f t="shared" si="58"/>
        <v>93.3</v>
      </c>
    </row>
    <row r="330" spans="1:10" ht="39.6" x14ac:dyDescent="0.25">
      <c r="A330" s="148"/>
      <c r="B330" s="25"/>
      <c r="C330" s="16" t="s">
        <v>100</v>
      </c>
      <c r="D330" s="16" t="s">
        <v>98</v>
      </c>
      <c r="E330" s="21" t="s">
        <v>582</v>
      </c>
      <c r="F330" s="84" t="s">
        <v>212</v>
      </c>
      <c r="G330" s="100" t="s">
        <v>213</v>
      </c>
      <c r="H330" s="41">
        <f>9500-8.6</f>
        <v>9491.4</v>
      </c>
      <c r="I330" s="41">
        <v>8858.1</v>
      </c>
      <c r="J330" s="96">
        <f t="shared" si="58"/>
        <v>93.3</v>
      </c>
    </row>
    <row r="331" spans="1:10" x14ac:dyDescent="0.25">
      <c r="A331" s="148"/>
      <c r="B331" s="25"/>
      <c r="C331" s="16" t="s">
        <v>100</v>
      </c>
      <c r="D331" s="16" t="s">
        <v>98</v>
      </c>
      <c r="E331" s="21" t="s">
        <v>582</v>
      </c>
      <c r="F331" s="84" t="s">
        <v>308</v>
      </c>
      <c r="G331" s="54" t="s">
        <v>309</v>
      </c>
      <c r="H331" s="41">
        <v>0.8</v>
      </c>
      <c r="I331" s="41">
        <v>0.8</v>
      </c>
      <c r="J331" s="96">
        <f t="shared" si="58"/>
        <v>100</v>
      </c>
    </row>
    <row r="332" spans="1:10" ht="18" customHeight="1" x14ac:dyDescent="0.25">
      <c r="A332" s="148"/>
      <c r="B332" s="25"/>
      <c r="C332" s="16" t="s">
        <v>100</v>
      </c>
      <c r="D332" s="16" t="s">
        <v>98</v>
      </c>
      <c r="E332" s="21" t="s">
        <v>584</v>
      </c>
      <c r="F332" s="84"/>
      <c r="G332" s="100" t="s">
        <v>585</v>
      </c>
      <c r="H332" s="41">
        <f>H333</f>
        <v>3385.7</v>
      </c>
      <c r="I332" s="41">
        <f>I333</f>
        <v>3385.7</v>
      </c>
      <c r="J332" s="96">
        <f t="shared" si="58"/>
        <v>100</v>
      </c>
    </row>
    <row r="333" spans="1:10" ht="40.5" customHeight="1" x14ac:dyDescent="0.25">
      <c r="A333" s="148"/>
      <c r="B333" s="25"/>
      <c r="C333" s="16" t="s">
        <v>100</v>
      </c>
      <c r="D333" s="16" t="s">
        <v>98</v>
      </c>
      <c r="E333" s="21" t="s">
        <v>584</v>
      </c>
      <c r="F333" s="84" t="s">
        <v>212</v>
      </c>
      <c r="G333" s="100" t="s">
        <v>213</v>
      </c>
      <c r="H333" s="41">
        <f>3108.9-59.4+344-7.8</f>
        <v>3385.7</v>
      </c>
      <c r="I333" s="41">
        <v>3385.7</v>
      </c>
      <c r="J333" s="96">
        <f t="shared" si="58"/>
        <v>100</v>
      </c>
    </row>
    <row r="334" spans="1:10" ht="92.4" x14ac:dyDescent="0.25">
      <c r="A334" s="148"/>
      <c r="B334" s="25"/>
      <c r="C334" s="5" t="s">
        <v>100</v>
      </c>
      <c r="D334" s="5" t="s">
        <v>98</v>
      </c>
      <c r="E334" s="76">
        <v>1400000000</v>
      </c>
      <c r="F334" s="16"/>
      <c r="G334" s="196" t="s">
        <v>586</v>
      </c>
      <c r="H334" s="98">
        <f>H335</f>
        <v>46054.5</v>
      </c>
      <c r="I334" s="98">
        <f>I335</f>
        <v>33856.400000000001</v>
      </c>
      <c r="J334" s="62">
        <f t="shared" si="58"/>
        <v>73.5</v>
      </c>
    </row>
    <row r="335" spans="1:10" ht="92.4" x14ac:dyDescent="0.25">
      <c r="A335" s="148"/>
      <c r="B335" s="25"/>
      <c r="C335" s="47" t="s">
        <v>100</v>
      </c>
      <c r="D335" s="47" t="s">
        <v>98</v>
      </c>
      <c r="E335" s="75">
        <v>1410000000</v>
      </c>
      <c r="F335" s="16"/>
      <c r="G335" s="48" t="s">
        <v>217</v>
      </c>
      <c r="H335" s="95">
        <f>H336+H345</f>
        <v>46054.5</v>
      </c>
      <c r="I335" s="95">
        <f>I336+I345</f>
        <v>33856.400000000001</v>
      </c>
      <c r="J335" s="58">
        <f t="shared" si="58"/>
        <v>73.5</v>
      </c>
    </row>
    <row r="336" spans="1:10" ht="105.6" x14ac:dyDescent="0.25">
      <c r="A336" s="148"/>
      <c r="B336" s="25"/>
      <c r="C336" s="16" t="s">
        <v>100</v>
      </c>
      <c r="D336" s="16" t="s">
        <v>98</v>
      </c>
      <c r="E336" s="74">
        <v>1410200000</v>
      </c>
      <c r="F336" s="16"/>
      <c r="G336" s="100" t="s">
        <v>378</v>
      </c>
      <c r="H336" s="41">
        <f>H337+H339+H341+H343</f>
        <v>25897.1</v>
      </c>
      <c r="I336" s="41">
        <f>I337+I339+I341+I343</f>
        <v>13699</v>
      </c>
      <c r="J336" s="96">
        <f t="shared" si="58"/>
        <v>52.9</v>
      </c>
    </row>
    <row r="337" spans="1:10" ht="26.4" x14ac:dyDescent="0.25">
      <c r="A337" s="148"/>
      <c r="B337" s="25"/>
      <c r="C337" s="84" t="s">
        <v>100</v>
      </c>
      <c r="D337" s="84" t="s">
        <v>98</v>
      </c>
      <c r="E337" s="74">
        <v>1410223125</v>
      </c>
      <c r="F337" s="84"/>
      <c r="G337" s="100" t="s">
        <v>382</v>
      </c>
      <c r="H337" s="41">
        <f>H338</f>
        <v>689.6</v>
      </c>
      <c r="I337" s="41">
        <f>I338</f>
        <v>689.6</v>
      </c>
      <c r="J337" s="96">
        <f t="shared" si="58"/>
        <v>100</v>
      </c>
    </row>
    <row r="338" spans="1:10" ht="39.6" x14ac:dyDescent="0.25">
      <c r="A338" s="148"/>
      <c r="B338" s="25"/>
      <c r="C338" s="84" t="s">
        <v>100</v>
      </c>
      <c r="D338" s="84" t="s">
        <v>98</v>
      </c>
      <c r="E338" s="74">
        <v>1410223125</v>
      </c>
      <c r="F338" s="84" t="s">
        <v>212</v>
      </c>
      <c r="G338" s="100" t="s">
        <v>213</v>
      </c>
      <c r="H338" s="41">
        <f>538.6+60+278.4-16.5-174.4+3.5</f>
        <v>689.6</v>
      </c>
      <c r="I338" s="41">
        <f>538.6+60+278.4-16.5-174.4+3.5</f>
        <v>689.6</v>
      </c>
      <c r="J338" s="96">
        <f t="shared" si="58"/>
        <v>100</v>
      </c>
    </row>
    <row r="339" spans="1:10" ht="23.25" customHeight="1" x14ac:dyDescent="0.25">
      <c r="A339" s="148"/>
      <c r="B339" s="25"/>
      <c r="C339" s="84" t="s">
        <v>100</v>
      </c>
      <c r="D339" s="84" t="s">
        <v>98</v>
      </c>
      <c r="E339" s="74">
        <v>1410223130</v>
      </c>
      <c r="F339" s="84"/>
      <c r="G339" s="125" t="s">
        <v>416</v>
      </c>
      <c r="H339" s="41">
        <f>H340</f>
        <v>23651.1</v>
      </c>
      <c r="I339" s="41">
        <f>I340</f>
        <v>11453</v>
      </c>
      <c r="J339" s="96">
        <f t="shared" si="58"/>
        <v>48.4</v>
      </c>
    </row>
    <row r="340" spans="1:10" ht="39.6" x14ac:dyDescent="0.25">
      <c r="A340" s="148"/>
      <c r="B340" s="25"/>
      <c r="C340" s="84" t="s">
        <v>100</v>
      </c>
      <c r="D340" s="84" t="s">
        <v>98</v>
      </c>
      <c r="E340" s="74">
        <v>1410223130</v>
      </c>
      <c r="F340" s="84" t="s">
        <v>212</v>
      </c>
      <c r="G340" s="100" t="s">
        <v>213</v>
      </c>
      <c r="H340" s="41">
        <f>9651.1+14000</f>
        <v>23651.1</v>
      </c>
      <c r="I340" s="41">
        <v>11453</v>
      </c>
      <c r="J340" s="96">
        <f t="shared" si="58"/>
        <v>48.4</v>
      </c>
    </row>
    <row r="341" spans="1:10" ht="39.6" x14ac:dyDescent="0.25">
      <c r="A341" s="148"/>
      <c r="B341" s="25"/>
      <c r="C341" s="84" t="s">
        <v>100</v>
      </c>
      <c r="D341" s="84" t="s">
        <v>98</v>
      </c>
      <c r="E341" s="74">
        <v>1410223135</v>
      </c>
      <c r="F341" s="84"/>
      <c r="G341" s="151" t="s">
        <v>403</v>
      </c>
      <c r="H341" s="41">
        <f>H342</f>
        <v>556.4</v>
      </c>
      <c r="I341" s="101">
        <f t="shared" ref="I341" si="59">I342</f>
        <v>556.4</v>
      </c>
      <c r="J341" s="96">
        <f t="shared" si="58"/>
        <v>100</v>
      </c>
    </row>
    <row r="342" spans="1:10" ht="39.6" x14ac:dyDescent="0.25">
      <c r="A342" s="148"/>
      <c r="B342" s="25"/>
      <c r="C342" s="84" t="s">
        <v>100</v>
      </c>
      <c r="D342" s="84" t="s">
        <v>98</v>
      </c>
      <c r="E342" s="74">
        <v>1410223135</v>
      </c>
      <c r="F342" s="84" t="s">
        <v>212</v>
      </c>
      <c r="G342" s="100" t="s">
        <v>213</v>
      </c>
      <c r="H342" s="41">
        <f>84.4+284.9+12.7+174.4</f>
        <v>556.4</v>
      </c>
      <c r="I342" s="41">
        <v>556.4</v>
      </c>
      <c r="J342" s="96">
        <f t="shared" si="58"/>
        <v>100</v>
      </c>
    </row>
    <row r="343" spans="1:10" ht="26.4" x14ac:dyDescent="0.25">
      <c r="A343" s="148"/>
      <c r="B343" s="25"/>
      <c r="C343" s="84" t="s">
        <v>100</v>
      </c>
      <c r="D343" s="84" t="s">
        <v>98</v>
      </c>
      <c r="E343" s="74">
        <v>1410211180</v>
      </c>
      <c r="F343" s="84"/>
      <c r="G343" s="100" t="s">
        <v>587</v>
      </c>
      <c r="H343" s="41">
        <f>H344</f>
        <v>1000</v>
      </c>
      <c r="I343" s="41">
        <f>I344</f>
        <v>1000</v>
      </c>
      <c r="J343" s="96">
        <f t="shared" si="58"/>
        <v>100</v>
      </c>
    </row>
    <row r="344" spans="1:10" ht="39.75" customHeight="1" x14ac:dyDescent="0.25">
      <c r="A344" s="148"/>
      <c r="B344" s="25"/>
      <c r="C344" s="84" t="s">
        <v>100</v>
      </c>
      <c r="D344" s="84" t="s">
        <v>98</v>
      </c>
      <c r="E344" s="74">
        <v>1410211180</v>
      </c>
      <c r="F344" s="84" t="s">
        <v>212</v>
      </c>
      <c r="G344" s="100" t="s">
        <v>213</v>
      </c>
      <c r="H344" s="41">
        <v>1000</v>
      </c>
      <c r="I344" s="41">
        <v>1000</v>
      </c>
      <c r="J344" s="96">
        <f t="shared" si="58"/>
        <v>100</v>
      </c>
    </row>
    <row r="345" spans="1:10" ht="52.8" x14ac:dyDescent="0.25">
      <c r="A345" s="148"/>
      <c r="B345" s="25"/>
      <c r="C345" s="16" t="s">
        <v>100</v>
      </c>
      <c r="D345" s="16" t="s">
        <v>98</v>
      </c>
      <c r="E345" s="74" t="s">
        <v>404</v>
      </c>
      <c r="F345" s="84"/>
      <c r="G345" s="100" t="s">
        <v>409</v>
      </c>
      <c r="H345" s="41">
        <f>H346+H348</f>
        <v>20157.400000000001</v>
      </c>
      <c r="I345" s="41">
        <f>I346+I348</f>
        <v>20157.400000000001</v>
      </c>
      <c r="J345" s="96">
        <f t="shared" si="58"/>
        <v>100</v>
      </c>
    </row>
    <row r="346" spans="1:10" ht="39.6" x14ac:dyDescent="0.25">
      <c r="A346" s="148"/>
      <c r="B346" s="25"/>
      <c r="C346" s="16" t="s">
        <v>100</v>
      </c>
      <c r="D346" s="16" t="s">
        <v>98</v>
      </c>
      <c r="E346" s="74" t="s">
        <v>367</v>
      </c>
      <c r="F346" s="16"/>
      <c r="G346" s="100" t="s">
        <v>329</v>
      </c>
      <c r="H346" s="41">
        <f>H347</f>
        <v>12070.4</v>
      </c>
      <c r="I346" s="41">
        <f>I347</f>
        <v>12070.4</v>
      </c>
      <c r="J346" s="96">
        <f t="shared" si="58"/>
        <v>100</v>
      </c>
    </row>
    <row r="347" spans="1:10" ht="39.6" x14ac:dyDescent="0.25">
      <c r="A347" s="148"/>
      <c r="B347" s="25"/>
      <c r="C347" s="84" t="s">
        <v>100</v>
      </c>
      <c r="D347" s="16" t="s">
        <v>98</v>
      </c>
      <c r="E347" s="74" t="s">
        <v>367</v>
      </c>
      <c r="F347" s="84" t="s">
        <v>212</v>
      </c>
      <c r="G347" s="100" t="s">
        <v>213</v>
      </c>
      <c r="H347" s="41">
        <v>12070.4</v>
      </c>
      <c r="I347" s="41">
        <v>12070.4</v>
      </c>
      <c r="J347" s="96">
        <f t="shared" si="58"/>
        <v>100</v>
      </c>
    </row>
    <row r="348" spans="1:10" ht="66" x14ac:dyDescent="0.25">
      <c r="A348" s="148"/>
      <c r="B348" s="25"/>
      <c r="C348" s="84" t="s">
        <v>100</v>
      </c>
      <c r="D348" s="84" t="s">
        <v>98</v>
      </c>
      <c r="E348" s="204" t="s">
        <v>588</v>
      </c>
      <c r="F348" s="16"/>
      <c r="G348" s="100" t="s">
        <v>589</v>
      </c>
      <c r="H348" s="41">
        <f>H349</f>
        <v>8087</v>
      </c>
      <c r="I348" s="41">
        <f>I349</f>
        <v>8087</v>
      </c>
      <c r="J348" s="96">
        <f t="shared" si="58"/>
        <v>100</v>
      </c>
    </row>
    <row r="349" spans="1:10" ht="39.6" x14ac:dyDescent="0.25">
      <c r="A349" s="148"/>
      <c r="B349" s="25"/>
      <c r="C349" s="84" t="s">
        <v>100</v>
      </c>
      <c r="D349" s="16" t="s">
        <v>98</v>
      </c>
      <c r="E349" s="204" t="s">
        <v>588</v>
      </c>
      <c r="F349" s="84" t="s">
        <v>212</v>
      </c>
      <c r="G349" s="100" t="s">
        <v>213</v>
      </c>
      <c r="H349" s="41">
        <f>70000-61913</f>
        <v>8087</v>
      </c>
      <c r="I349" s="41">
        <v>8087</v>
      </c>
      <c r="J349" s="96">
        <f t="shared" si="58"/>
        <v>100</v>
      </c>
    </row>
    <row r="350" spans="1:10" ht="132" x14ac:dyDescent="0.25">
      <c r="A350" s="148"/>
      <c r="B350" s="25"/>
      <c r="C350" s="5" t="s">
        <v>100</v>
      </c>
      <c r="D350" s="5" t="s">
        <v>98</v>
      </c>
      <c r="E350" s="73" t="s">
        <v>512</v>
      </c>
      <c r="F350" s="84"/>
      <c r="G350" s="200" t="s">
        <v>513</v>
      </c>
      <c r="H350" s="98">
        <f>H351+H381</f>
        <v>9332.6</v>
      </c>
      <c r="I350" s="98">
        <f>I351+I381</f>
        <v>9330.7000000000007</v>
      </c>
      <c r="J350" s="62">
        <f t="shared" si="58"/>
        <v>100</v>
      </c>
    </row>
    <row r="351" spans="1:10" ht="52.5" customHeight="1" x14ac:dyDescent="0.25">
      <c r="A351" s="148"/>
      <c r="B351" s="25"/>
      <c r="C351" s="47" t="s">
        <v>100</v>
      </c>
      <c r="D351" s="47" t="s">
        <v>98</v>
      </c>
      <c r="E351" s="201">
        <v>1510000000</v>
      </c>
      <c r="F351" s="84"/>
      <c r="G351" s="48" t="s">
        <v>400</v>
      </c>
      <c r="H351" s="41">
        <f>H352</f>
        <v>6773.9000000000005</v>
      </c>
      <c r="I351" s="41">
        <f>I352</f>
        <v>6772</v>
      </c>
      <c r="J351" s="58">
        <f t="shared" si="58"/>
        <v>100</v>
      </c>
    </row>
    <row r="352" spans="1:10" ht="52.8" x14ac:dyDescent="0.25">
      <c r="A352" s="148"/>
      <c r="B352" s="25"/>
      <c r="C352" s="84" t="s">
        <v>100</v>
      </c>
      <c r="D352" s="16" t="s">
        <v>98</v>
      </c>
      <c r="E352" s="204">
        <v>1510300000</v>
      </c>
      <c r="F352" s="84"/>
      <c r="G352" s="100" t="s">
        <v>401</v>
      </c>
      <c r="H352" s="41">
        <f>H353+H355+H357+H359+H361+H363+H365+H367+H369+H371+H373+H375+H377+H379</f>
        <v>6773.9000000000005</v>
      </c>
      <c r="I352" s="41">
        <f>I353+I355+I357+I359+I361+I363+I365+I367+I369+I371+I373+I375+I377+I379</f>
        <v>6772</v>
      </c>
      <c r="J352" s="96">
        <f t="shared" si="58"/>
        <v>100</v>
      </c>
    </row>
    <row r="353" spans="1:10" ht="39" customHeight="1" x14ac:dyDescent="0.25">
      <c r="A353" s="148"/>
      <c r="B353" s="25"/>
      <c r="C353" s="84" t="s">
        <v>100</v>
      </c>
      <c r="D353" s="16" t="s">
        <v>98</v>
      </c>
      <c r="E353" s="51" t="s">
        <v>590</v>
      </c>
      <c r="F353" s="84"/>
      <c r="G353" s="125" t="s">
        <v>591</v>
      </c>
      <c r="H353" s="41">
        <f>H354</f>
        <v>262.5</v>
      </c>
      <c r="I353" s="41">
        <f>I354</f>
        <v>262.5</v>
      </c>
      <c r="J353" s="96">
        <f t="shared" si="58"/>
        <v>100</v>
      </c>
    </row>
    <row r="354" spans="1:10" ht="39.6" x14ac:dyDescent="0.25">
      <c r="A354" s="148"/>
      <c r="B354" s="25"/>
      <c r="C354" s="84" t="s">
        <v>100</v>
      </c>
      <c r="D354" s="16" t="s">
        <v>98</v>
      </c>
      <c r="E354" s="51" t="s">
        <v>590</v>
      </c>
      <c r="F354" s="84" t="s">
        <v>212</v>
      </c>
      <c r="G354" s="100" t="s">
        <v>213</v>
      </c>
      <c r="H354" s="41">
        <f>114.1+148.4</f>
        <v>262.5</v>
      </c>
      <c r="I354" s="41">
        <v>262.5</v>
      </c>
      <c r="J354" s="96">
        <f t="shared" si="58"/>
        <v>100</v>
      </c>
    </row>
    <row r="355" spans="1:10" ht="52.8" x14ac:dyDescent="0.25">
      <c r="A355" s="148"/>
      <c r="B355" s="25"/>
      <c r="C355" s="84" t="s">
        <v>100</v>
      </c>
      <c r="D355" s="16" t="s">
        <v>98</v>
      </c>
      <c r="E355" s="51" t="s">
        <v>592</v>
      </c>
      <c r="F355" s="84"/>
      <c r="G355" s="125" t="s">
        <v>593</v>
      </c>
      <c r="H355" s="41">
        <f>H356</f>
        <v>608.1</v>
      </c>
      <c r="I355" s="109">
        <f t="shared" ref="I355" si="60">I356</f>
        <v>608.1</v>
      </c>
      <c r="J355" s="96">
        <f t="shared" si="58"/>
        <v>100</v>
      </c>
    </row>
    <row r="356" spans="1:10" ht="39.6" x14ac:dyDescent="0.25">
      <c r="A356" s="148"/>
      <c r="B356" s="25"/>
      <c r="C356" s="84" t="s">
        <v>100</v>
      </c>
      <c r="D356" s="16" t="s">
        <v>98</v>
      </c>
      <c r="E356" s="51" t="s">
        <v>592</v>
      </c>
      <c r="F356" s="84" t="s">
        <v>212</v>
      </c>
      <c r="G356" s="100" t="s">
        <v>213</v>
      </c>
      <c r="H356" s="41">
        <f>496.8+127+0.5-3.3-12.9</f>
        <v>608.1</v>
      </c>
      <c r="I356" s="41">
        <v>608.1</v>
      </c>
      <c r="J356" s="96">
        <f t="shared" si="58"/>
        <v>100</v>
      </c>
    </row>
    <row r="357" spans="1:10" ht="52.8" x14ac:dyDescent="0.25">
      <c r="A357" s="148"/>
      <c r="B357" s="25"/>
      <c r="C357" s="84" t="s">
        <v>100</v>
      </c>
      <c r="D357" s="16" t="s">
        <v>98</v>
      </c>
      <c r="E357" s="51" t="s">
        <v>594</v>
      </c>
      <c r="F357" s="84"/>
      <c r="G357" s="125" t="s">
        <v>595</v>
      </c>
      <c r="H357" s="41">
        <f>H358</f>
        <v>685.1</v>
      </c>
      <c r="I357" s="41">
        <f>I358</f>
        <v>685.1</v>
      </c>
      <c r="J357" s="96">
        <f t="shared" si="58"/>
        <v>100</v>
      </c>
    </row>
    <row r="358" spans="1:10" ht="39.6" x14ac:dyDescent="0.25">
      <c r="A358" s="148"/>
      <c r="B358" s="25"/>
      <c r="C358" s="84" t="s">
        <v>100</v>
      </c>
      <c r="D358" s="16" t="s">
        <v>98</v>
      </c>
      <c r="E358" s="51" t="s">
        <v>594</v>
      </c>
      <c r="F358" s="84" t="s">
        <v>212</v>
      </c>
      <c r="G358" s="100" t="s">
        <v>213</v>
      </c>
      <c r="H358" s="41">
        <f>561+143.5-4+0.1-15.5</f>
        <v>685.1</v>
      </c>
      <c r="I358" s="41">
        <v>685.1</v>
      </c>
      <c r="J358" s="96">
        <f t="shared" si="58"/>
        <v>100</v>
      </c>
    </row>
    <row r="359" spans="1:10" ht="52.8" x14ac:dyDescent="0.25">
      <c r="A359" s="148"/>
      <c r="B359" s="25"/>
      <c r="C359" s="84" t="s">
        <v>100</v>
      </c>
      <c r="D359" s="16" t="s">
        <v>98</v>
      </c>
      <c r="E359" s="51" t="s">
        <v>596</v>
      </c>
      <c r="F359" s="84"/>
      <c r="G359" s="125" t="s">
        <v>597</v>
      </c>
      <c r="H359" s="41">
        <f>H360</f>
        <v>801.9</v>
      </c>
      <c r="I359" s="41">
        <f>I360</f>
        <v>801.9</v>
      </c>
      <c r="J359" s="96">
        <f t="shared" ref="J359:J422" si="61">ROUND((I359/H359*100),1)</f>
        <v>100</v>
      </c>
    </row>
    <row r="360" spans="1:10" ht="39.6" x14ac:dyDescent="0.25">
      <c r="A360" s="148"/>
      <c r="B360" s="25"/>
      <c r="C360" s="84" t="s">
        <v>100</v>
      </c>
      <c r="D360" s="16" t="s">
        <v>98</v>
      </c>
      <c r="E360" s="51" t="s">
        <v>596</v>
      </c>
      <c r="F360" s="84" t="s">
        <v>212</v>
      </c>
      <c r="G360" s="100" t="s">
        <v>213</v>
      </c>
      <c r="H360" s="41">
        <f>711.4+186.6-96.1</f>
        <v>801.9</v>
      </c>
      <c r="I360" s="41">
        <v>801.9</v>
      </c>
      <c r="J360" s="96">
        <f t="shared" si="61"/>
        <v>100</v>
      </c>
    </row>
    <row r="361" spans="1:10" ht="52.8" x14ac:dyDescent="0.25">
      <c r="A361" s="148"/>
      <c r="B361" s="25"/>
      <c r="C361" s="84" t="s">
        <v>100</v>
      </c>
      <c r="D361" s="16" t="s">
        <v>98</v>
      </c>
      <c r="E361" s="51" t="s">
        <v>598</v>
      </c>
      <c r="F361" s="84"/>
      <c r="G361" s="125" t="s">
        <v>599</v>
      </c>
      <c r="H361" s="41">
        <f>H362</f>
        <v>610.70000000000005</v>
      </c>
      <c r="I361" s="101">
        <f>I362</f>
        <v>610.70000000000005</v>
      </c>
      <c r="J361" s="96">
        <f t="shared" si="61"/>
        <v>100</v>
      </c>
    </row>
    <row r="362" spans="1:10" ht="39.6" x14ac:dyDescent="0.25">
      <c r="A362" s="148"/>
      <c r="B362" s="25"/>
      <c r="C362" s="84" t="s">
        <v>100</v>
      </c>
      <c r="D362" s="16" t="s">
        <v>98</v>
      </c>
      <c r="E362" s="51" t="s">
        <v>598</v>
      </c>
      <c r="F362" s="84" t="s">
        <v>212</v>
      </c>
      <c r="G362" s="100" t="s">
        <v>213</v>
      </c>
      <c r="H362" s="41">
        <f>498.6+128.4-3.3-0.1-13+0.1</f>
        <v>610.70000000000005</v>
      </c>
      <c r="I362" s="41">
        <v>610.70000000000005</v>
      </c>
      <c r="J362" s="96">
        <f t="shared" si="61"/>
        <v>100</v>
      </c>
    </row>
    <row r="363" spans="1:10" ht="52.8" x14ac:dyDescent="0.25">
      <c r="A363" s="148"/>
      <c r="B363" s="25"/>
      <c r="C363" s="84" t="s">
        <v>100</v>
      </c>
      <c r="D363" s="16" t="s">
        <v>98</v>
      </c>
      <c r="E363" s="150">
        <v>1510319313</v>
      </c>
      <c r="F363" s="84"/>
      <c r="G363" s="125" t="s">
        <v>593</v>
      </c>
      <c r="H363" s="41">
        <f>H364</f>
        <v>10</v>
      </c>
      <c r="I363" s="41">
        <f>I364</f>
        <v>9.6999999999999993</v>
      </c>
      <c r="J363" s="96">
        <f t="shared" si="61"/>
        <v>97</v>
      </c>
    </row>
    <row r="364" spans="1:10" ht="39.6" x14ac:dyDescent="0.25">
      <c r="A364" s="148"/>
      <c r="B364" s="25"/>
      <c r="C364" s="84" t="s">
        <v>100</v>
      </c>
      <c r="D364" s="16" t="s">
        <v>98</v>
      </c>
      <c r="E364" s="152">
        <v>1510319313</v>
      </c>
      <c r="F364" s="84" t="s">
        <v>212</v>
      </c>
      <c r="G364" s="100" t="s">
        <v>213</v>
      </c>
      <c r="H364" s="41">
        <v>10</v>
      </c>
      <c r="I364" s="109">
        <v>9.6999999999999993</v>
      </c>
      <c r="J364" s="96">
        <f t="shared" si="61"/>
        <v>97</v>
      </c>
    </row>
    <row r="365" spans="1:10" ht="52.8" x14ac:dyDescent="0.25">
      <c r="A365" s="148"/>
      <c r="B365" s="25"/>
      <c r="C365" s="84" t="s">
        <v>100</v>
      </c>
      <c r="D365" s="16" t="s">
        <v>98</v>
      </c>
      <c r="E365" s="152">
        <v>1510319314</v>
      </c>
      <c r="F365" s="84"/>
      <c r="G365" s="125" t="s">
        <v>595</v>
      </c>
      <c r="H365" s="41">
        <f>H366</f>
        <v>10</v>
      </c>
      <c r="I365" s="41">
        <f t="shared" ref="I365" si="62">I366</f>
        <v>9.6999999999999993</v>
      </c>
      <c r="J365" s="96">
        <f t="shared" si="61"/>
        <v>97</v>
      </c>
    </row>
    <row r="366" spans="1:10" ht="39.6" x14ac:dyDescent="0.25">
      <c r="A366" s="148"/>
      <c r="B366" s="25"/>
      <c r="C366" s="84" t="s">
        <v>100</v>
      </c>
      <c r="D366" s="16" t="s">
        <v>98</v>
      </c>
      <c r="E366" s="150">
        <v>1510319314</v>
      </c>
      <c r="F366" s="84" t="s">
        <v>212</v>
      </c>
      <c r="G366" s="100" t="s">
        <v>213</v>
      </c>
      <c r="H366" s="41">
        <v>10</v>
      </c>
      <c r="I366" s="41">
        <v>9.6999999999999993</v>
      </c>
      <c r="J366" s="96">
        <f t="shared" si="61"/>
        <v>97</v>
      </c>
    </row>
    <row r="367" spans="1:10" ht="51" customHeight="1" x14ac:dyDescent="0.25">
      <c r="A367" s="148"/>
      <c r="B367" s="25"/>
      <c r="C367" s="84" t="s">
        <v>100</v>
      </c>
      <c r="D367" s="16" t="s">
        <v>98</v>
      </c>
      <c r="E367" s="152">
        <v>1510319315</v>
      </c>
      <c r="F367" s="84"/>
      <c r="G367" s="125" t="s">
        <v>600</v>
      </c>
      <c r="H367" s="41">
        <f>H368</f>
        <v>10</v>
      </c>
      <c r="I367" s="41">
        <f>I368</f>
        <v>9</v>
      </c>
      <c r="J367" s="96">
        <f t="shared" si="61"/>
        <v>90</v>
      </c>
    </row>
    <row r="368" spans="1:10" ht="39.6" x14ac:dyDescent="0.25">
      <c r="A368" s="148"/>
      <c r="B368" s="25"/>
      <c r="C368" s="84" t="s">
        <v>100</v>
      </c>
      <c r="D368" s="16" t="s">
        <v>98</v>
      </c>
      <c r="E368" s="152">
        <v>1510319315</v>
      </c>
      <c r="F368" s="84" t="s">
        <v>212</v>
      </c>
      <c r="G368" s="100" t="s">
        <v>213</v>
      </c>
      <c r="H368" s="41">
        <v>10</v>
      </c>
      <c r="I368" s="109">
        <v>9</v>
      </c>
      <c r="J368" s="96">
        <f t="shared" si="61"/>
        <v>90</v>
      </c>
    </row>
    <row r="369" spans="1:10" ht="52.8" x14ac:dyDescent="0.25">
      <c r="A369" s="148"/>
      <c r="B369" s="25"/>
      <c r="C369" s="84" t="s">
        <v>100</v>
      </c>
      <c r="D369" s="16" t="s">
        <v>98</v>
      </c>
      <c r="E369" s="152">
        <v>1510319316</v>
      </c>
      <c r="F369" s="84"/>
      <c r="G369" s="125" t="s">
        <v>599</v>
      </c>
      <c r="H369" s="41">
        <f>H370</f>
        <v>10</v>
      </c>
      <c r="I369" s="41">
        <f>I370</f>
        <v>9.6999999999999993</v>
      </c>
      <c r="J369" s="96">
        <f t="shared" si="61"/>
        <v>97</v>
      </c>
    </row>
    <row r="370" spans="1:10" ht="39.75" customHeight="1" x14ac:dyDescent="0.25">
      <c r="A370" s="148"/>
      <c r="B370" s="25"/>
      <c r="C370" s="84" t="s">
        <v>100</v>
      </c>
      <c r="D370" s="16" t="s">
        <v>98</v>
      </c>
      <c r="E370" s="152">
        <v>1510319316</v>
      </c>
      <c r="F370" s="84" t="s">
        <v>212</v>
      </c>
      <c r="G370" s="100" t="s">
        <v>213</v>
      </c>
      <c r="H370" s="41">
        <v>10</v>
      </c>
      <c r="I370" s="39">
        <v>9.6999999999999993</v>
      </c>
      <c r="J370" s="96">
        <f t="shared" si="61"/>
        <v>97</v>
      </c>
    </row>
    <row r="371" spans="1:10" ht="38.25" customHeight="1" x14ac:dyDescent="0.25">
      <c r="A371" s="148"/>
      <c r="B371" s="25"/>
      <c r="C371" s="84" t="s">
        <v>100</v>
      </c>
      <c r="D371" s="16" t="s">
        <v>98</v>
      </c>
      <c r="E371" s="152">
        <v>1510319012</v>
      </c>
      <c r="F371" s="84"/>
      <c r="G371" s="125" t="s">
        <v>591</v>
      </c>
      <c r="H371" s="41">
        <f>H372</f>
        <v>1021.8</v>
      </c>
      <c r="I371" s="41">
        <f>I372</f>
        <v>1021.8</v>
      </c>
      <c r="J371" s="96">
        <f t="shared" si="61"/>
        <v>100</v>
      </c>
    </row>
    <row r="372" spans="1:10" ht="39.6" x14ac:dyDescent="0.25">
      <c r="A372" s="148"/>
      <c r="B372" s="25"/>
      <c r="C372" s="84" t="s">
        <v>100</v>
      </c>
      <c r="D372" s="16" t="s">
        <v>98</v>
      </c>
      <c r="E372" s="150">
        <v>1510319012</v>
      </c>
      <c r="F372" s="84" t="s">
        <v>212</v>
      </c>
      <c r="G372" s="100" t="s">
        <v>213</v>
      </c>
      <c r="H372" s="41">
        <v>1021.8</v>
      </c>
      <c r="I372" s="41">
        <v>1021.8</v>
      </c>
      <c r="J372" s="96">
        <f t="shared" si="61"/>
        <v>100</v>
      </c>
    </row>
    <row r="373" spans="1:10" ht="52.8" x14ac:dyDescent="0.25">
      <c r="A373" s="148"/>
      <c r="B373" s="25"/>
      <c r="C373" s="84" t="s">
        <v>100</v>
      </c>
      <c r="D373" s="16" t="s">
        <v>98</v>
      </c>
      <c r="E373" s="152">
        <v>1510319013</v>
      </c>
      <c r="F373" s="84"/>
      <c r="G373" s="125" t="s">
        <v>593</v>
      </c>
      <c r="H373" s="41">
        <f>H374</f>
        <v>617.9</v>
      </c>
      <c r="I373" s="41">
        <f>I374</f>
        <v>617.9</v>
      </c>
      <c r="J373" s="96">
        <f t="shared" si="61"/>
        <v>100</v>
      </c>
    </row>
    <row r="374" spans="1:10" ht="39.6" x14ac:dyDescent="0.25">
      <c r="A374" s="148"/>
      <c r="B374" s="25"/>
      <c r="C374" s="84" t="s">
        <v>100</v>
      </c>
      <c r="D374" s="16" t="s">
        <v>98</v>
      </c>
      <c r="E374" s="152">
        <v>1510319013</v>
      </c>
      <c r="F374" s="84" t="s">
        <v>212</v>
      </c>
      <c r="G374" s="100" t="s">
        <v>213</v>
      </c>
      <c r="H374" s="41">
        <f>634.4-16.5</f>
        <v>617.9</v>
      </c>
      <c r="I374" s="41">
        <f>634.4-16.5</f>
        <v>617.9</v>
      </c>
      <c r="J374" s="96">
        <f t="shared" si="61"/>
        <v>100</v>
      </c>
    </row>
    <row r="375" spans="1:10" ht="52.8" x14ac:dyDescent="0.25">
      <c r="A375" s="148"/>
      <c r="B375" s="25"/>
      <c r="C375" s="84" t="s">
        <v>100</v>
      </c>
      <c r="D375" s="16" t="s">
        <v>98</v>
      </c>
      <c r="E375" s="152">
        <v>1510319014</v>
      </c>
      <c r="F375" s="84"/>
      <c r="G375" s="125" t="s">
        <v>595</v>
      </c>
      <c r="H375" s="41">
        <f>H376</f>
        <v>694.8</v>
      </c>
      <c r="I375" s="41">
        <f>I376</f>
        <v>694.8</v>
      </c>
      <c r="J375" s="96">
        <f t="shared" si="61"/>
        <v>100</v>
      </c>
    </row>
    <row r="376" spans="1:10" ht="44.25" customHeight="1" x14ac:dyDescent="0.25">
      <c r="A376" s="148"/>
      <c r="B376" s="25"/>
      <c r="C376" s="84" t="s">
        <v>100</v>
      </c>
      <c r="D376" s="16" t="s">
        <v>98</v>
      </c>
      <c r="E376" s="152">
        <v>1510319014</v>
      </c>
      <c r="F376" s="84" t="s">
        <v>212</v>
      </c>
      <c r="G376" s="100" t="s">
        <v>213</v>
      </c>
      <c r="H376" s="41">
        <f>714.5-19.7</f>
        <v>694.8</v>
      </c>
      <c r="I376" s="41">
        <v>694.8</v>
      </c>
      <c r="J376" s="96">
        <f t="shared" si="61"/>
        <v>100</v>
      </c>
    </row>
    <row r="377" spans="1:10" ht="52.8" x14ac:dyDescent="0.25">
      <c r="A377" s="148"/>
      <c r="B377" s="25"/>
      <c r="C377" s="84" t="s">
        <v>100</v>
      </c>
      <c r="D377" s="16" t="s">
        <v>98</v>
      </c>
      <c r="E377" s="152">
        <v>1510319015</v>
      </c>
      <c r="F377" s="84"/>
      <c r="G377" s="125" t="s">
        <v>601</v>
      </c>
      <c r="H377" s="41">
        <f>H378</f>
        <v>810.8</v>
      </c>
      <c r="I377" s="41">
        <f>I378</f>
        <v>810.8</v>
      </c>
      <c r="J377" s="96">
        <f t="shared" si="61"/>
        <v>100</v>
      </c>
    </row>
    <row r="378" spans="1:10" ht="39.6" x14ac:dyDescent="0.25">
      <c r="A378" s="148"/>
      <c r="B378" s="25"/>
      <c r="C378" s="84" t="s">
        <v>100</v>
      </c>
      <c r="D378" s="16" t="s">
        <v>98</v>
      </c>
      <c r="E378" s="152">
        <v>1510319015</v>
      </c>
      <c r="F378" s="84" t="s">
        <v>212</v>
      </c>
      <c r="G378" s="100" t="s">
        <v>213</v>
      </c>
      <c r="H378" s="41">
        <f>908-97.2</f>
        <v>810.8</v>
      </c>
      <c r="I378" s="41">
        <v>810.8</v>
      </c>
      <c r="J378" s="96">
        <f t="shared" si="61"/>
        <v>100</v>
      </c>
    </row>
    <row r="379" spans="1:10" ht="52.8" x14ac:dyDescent="0.25">
      <c r="A379" s="148"/>
      <c r="B379" s="25"/>
      <c r="C379" s="84" t="s">
        <v>100</v>
      </c>
      <c r="D379" s="16" t="s">
        <v>98</v>
      </c>
      <c r="E379" s="152">
        <v>1510319016</v>
      </c>
      <c r="F379" s="84"/>
      <c r="G379" s="125" t="s">
        <v>602</v>
      </c>
      <c r="H379" s="41">
        <f>H380</f>
        <v>620.29999999999995</v>
      </c>
      <c r="I379" s="41">
        <f t="shared" ref="I379" si="63">I380</f>
        <v>620.29999999999995</v>
      </c>
      <c r="J379" s="96">
        <f t="shared" si="61"/>
        <v>100</v>
      </c>
    </row>
    <row r="380" spans="1:10" ht="39.6" x14ac:dyDescent="0.25">
      <c r="A380" s="148"/>
      <c r="B380" s="25"/>
      <c r="C380" s="84" t="s">
        <v>100</v>
      </c>
      <c r="D380" s="16" t="s">
        <v>98</v>
      </c>
      <c r="E380" s="152">
        <v>1510319016</v>
      </c>
      <c r="F380" s="84" t="s">
        <v>212</v>
      </c>
      <c r="G380" s="100" t="s">
        <v>213</v>
      </c>
      <c r="H380" s="41">
        <f>636.9-16.6</f>
        <v>620.29999999999995</v>
      </c>
      <c r="I380" s="41">
        <v>620.29999999999995</v>
      </c>
      <c r="J380" s="96">
        <f t="shared" si="61"/>
        <v>100</v>
      </c>
    </row>
    <row r="381" spans="1:10" ht="66" x14ac:dyDescent="0.25">
      <c r="A381" s="148"/>
      <c r="B381" s="25"/>
      <c r="C381" s="84" t="s">
        <v>100</v>
      </c>
      <c r="D381" s="84" t="s">
        <v>98</v>
      </c>
      <c r="E381" s="201">
        <v>1520000000</v>
      </c>
      <c r="F381" s="84"/>
      <c r="G381" s="48" t="s">
        <v>603</v>
      </c>
      <c r="H381" s="95">
        <f t="shared" ref="H381:I381" si="64">H382</f>
        <v>2558.6999999999998</v>
      </c>
      <c r="I381" s="95">
        <f t="shared" si="64"/>
        <v>2558.6999999999998</v>
      </c>
      <c r="J381" s="58">
        <f t="shared" si="61"/>
        <v>100</v>
      </c>
    </row>
    <row r="382" spans="1:10" ht="75" customHeight="1" x14ac:dyDescent="0.25">
      <c r="A382" s="148"/>
      <c r="B382" s="25"/>
      <c r="C382" s="84" t="s">
        <v>100</v>
      </c>
      <c r="D382" s="16" t="s">
        <v>98</v>
      </c>
      <c r="E382" s="201">
        <v>1520200000</v>
      </c>
      <c r="F382" s="84"/>
      <c r="G382" s="100" t="s">
        <v>398</v>
      </c>
      <c r="H382" s="41">
        <f>H383</f>
        <v>2558.6999999999998</v>
      </c>
      <c r="I382" s="41">
        <f>I383</f>
        <v>2558.6999999999998</v>
      </c>
      <c r="J382" s="96">
        <f t="shared" si="61"/>
        <v>100</v>
      </c>
    </row>
    <row r="383" spans="1:10" ht="26.4" x14ac:dyDescent="0.25">
      <c r="A383" s="148"/>
      <c r="B383" s="25"/>
      <c r="C383" s="111" t="s">
        <v>100</v>
      </c>
      <c r="D383" s="123" t="s">
        <v>98</v>
      </c>
      <c r="E383" s="205">
        <v>1520224007</v>
      </c>
      <c r="F383" s="111"/>
      <c r="G383" s="100" t="s">
        <v>604</v>
      </c>
      <c r="H383" s="109">
        <f>H384</f>
        <v>2558.6999999999998</v>
      </c>
      <c r="I383" s="109">
        <f>I384</f>
        <v>2558.6999999999998</v>
      </c>
      <c r="J383" s="96">
        <f t="shared" si="61"/>
        <v>100</v>
      </c>
    </row>
    <row r="384" spans="1:10" ht="39.6" x14ac:dyDescent="0.25">
      <c r="A384" s="148"/>
      <c r="B384" s="25"/>
      <c r="C384" s="111" t="s">
        <v>100</v>
      </c>
      <c r="D384" s="123" t="s">
        <v>98</v>
      </c>
      <c r="E384" s="205">
        <v>1520224007</v>
      </c>
      <c r="F384" s="111" t="s">
        <v>212</v>
      </c>
      <c r="G384" s="100" t="s">
        <v>213</v>
      </c>
      <c r="H384" s="41">
        <f>2222.1+336.7-0.2+0.1</f>
        <v>2558.6999999999998</v>
      </c>
      <c r="I384" s="41">
        <v>2558.6999999999998</v>
      </c>
      <c r="J384" s="96">
        <f t="shared" si="61"/>
        <v>100</v>
      </c>
    </row>
    <row r="385" spans="1:10" ht="22.5" customHeight="1" x14ac:dyDescent="0.25">
      <c r="A385" s="148"/>
      <c r="B385" s="25"/>
      <c r="C385" s="84" t="s">
        <v>100</v>
      </c>
      <c r="D385" s="16" t="s">
        <v>98</v>
      </c>
      <c r="E385" s="84" t="s">
        <v>29</v>
      </c>
      <c r="F385" s="84"/>
      <c r="G385" s="102" t="s">
        <v>43</v>
      </c>
      <c r="H385" s="41">
        <f>H386</f>
        <v>100</v>
      </c>
      <c r="I385" s="41">
        <f>I386</f>
        <v>100</v>
      </c>
      <c r="J385" s="96">
        <f t="shared" si="61"/>
        <v>100</v>
      </c>
    </row>
    <row r="386" spans="1:10" ht="52.8" x14ac:dyDescent="0.25">
      <c r="A386" s="148"/>
      <c r="B386" s="25"/>
      <c r="C386" s="84" t="s">
        <v>100</v>
      </c>
      <c r="D386" s="16" t="s">
        <v>98</v>
      </c>
      <c r="E386" s="84" t="s">
        <v>562</v>
      </c>
      <c r="F386" s="16"/>
      <c r="G386" s="54" t="s">
        <v>351</v>
      </c>
      <c r="H386" s="41">
        <f>SUM(H387:H387)</f>
        <v>100</v>
      </c>
      <c r="I386" s="41">
        <f>SUM(I387:I387)</f>
        <v>100</v>
      </c>
      <c r="J386" s="96">
        <f t="shared" si="61"/>
        <v>100</v>
      </c>
    </row>
    <row r="387" spans="1:10" ht="39.6" x14ac:dyDescent="0.25">
      <c r="A387" s="148"/>
      <c r="B387" s="25"/>
      <c r="C387" s="84" t="s">
        <v>100</v>
      </c>
      <c r="D387" s="16" t="s">
        <v>98</v>
      </c>
      <c r="E387" s="84" t="s">
        <v>562</v>
      </c>
      <c r="F387" s="84" t="s">
        <v>212</v>
      </c>
      <c r="G387" s="100" t="s">
        <v>213</v>
      </c>
      <c r="H387" s="39">
        <v>100</v>
      </c>
      <c r="I387" s="41">
        <v>100</v>
      </c>
      <c r="J387" s="96">
        <f t="shared" si="61"/>
        <v>100</v>
      </c>
    </row>
    <row r="388" spans="1:10" ht="28.8" x14ac:dyDescent="0.3">
      <c r="A388" s="148"/>
      <c r="B388" s="25"/>
      <c r="C388" s="30" t="s">
        <v>100</v>
      </c>
      <c r="D388" s="30" t="s">
        <v>100</v>
      </c>
      <c r="E388" s="30"/>
      <c r="F388" s="30"/>
      <c r="G388" s="50" t="s">
        <v>473</v>
      </c>
      <c r="H388" s="95">
        <f t="shared" ref="H388:I390" si="65">H389</f>
        <v>1409.1000000000001</v>
      </c>
      <c r="I388" s="95">
        <f t="shared" si="65"/>
        <v>1367</v>
      </c>
      <c r="J388" s="42">
        <f t="shared" si="61"/>
        <v>97</v>
      </c>
    </row>
    <row r="389" spans="1:10" ht="66.599999999999994" x14ac:dyDescent="0.3">
      <c r="A389" s="148"/>
      <c r="B389" s="25"/>
      <c r="C389" s="5" t="s">
        <v>100</v>
      </c>
      <c r="D389" s="5" t="s">
        <v>100</v>
      </c>
      <c r="E389" s="76">
        <v>400000000</v>
      </c>
      <c r="F389" s="30"/>
      <c r="G389" s="64" t="s">
        <v>551</v>
      </c>
      <c r="H389" s="98">
        <f t="shared" si="65"/>
        <v>1409.1000000000001</v>
      </c>
      <c r="I389" s="98">
        <f t="shared" si="65"/>
        <v>1367</v>
      </c>
      <c r="J389" s="62">
        <f t="shared" si="61"/>
        <v>97</v>
      </c>
    </row>
    <row r="390" spans="1:10" ht="126" customHeight="1" x14ac:dyDescent="0.25">
      <c r="A390" s="148"/>
      <c r="B390" s="25"/>
      <c r="C390" s="84" t="s">
        <v>100</v>
      </c>
      <c r="D390" s="84" t="s">
        <v>100</v>
      </c>
      <c r="E390" s="75">
        <v>430000000</v>
      </c>
      <c r="F390" s="16"/>
      <c r="G390" s="121" t="s">
        <v>605</v>
      </c>
      <c r="H390" s="95">
        <f t="shared" si="65"/>
        <v>1409.1000000000001</v>
      </c>
      <c r="I390" s="95">
        <f t="shared" si="65"/>
        <v>1367</v>
      </c>
      <c r="J390" s="58">
        <f t="shared" si="61"/>
        <v>97</v>
      </c>
    </row>
    <row r="391" spans="1:10" ht="50.25" customHeight="1" x14ac:dyDescent="0.3">
      <c r="A391" s="148"/>
      <c r="B391" s="25"/>
      <c r="C391" s="84" t="s">
        <v>100</v>
      </c>
      <c r="D391" s="84" t="s">
        <v>100</v>
      </c>
      <c r="E391" s="74">
        <v>430100000</v>
      </c>
      <c r="F391" s="30"/>
      <c r="G391" s="99" t="s">
        <v>234</v>
      </c>
      <c r="H391" s="101">
        <f>H392+H394</f>
        <v>1409.1000000000001</v>
      </c>
      <c r="I391" s="101">
        <f>I392+I394</f>
        <v>1367</v>
      </c>
      <c r="J391" s="96">
        <f t="shared" si="61"/>
        <v>97</v>
      </c>
    </row>
    <row r="392" spans="1:10" ht="105.6" x14ac:dyDescent="0.25">
      <c r="A392" s="148"/>
      <c r="B392" s="25"/>
      <c r="C392" s="84" t="s">
        <v>100</v>
      </c>
      <c r="D392" s="84" t="s">
        <v>100</v>
      </c>
      <c r="E392" s="80">
        <v>430127310</v>
      </c>
      <c r="F392" s="16"/>
      <c r="G392" s="100" t="s">
        <v>344</v>
      </c>
      <c r="H392" s="41">
        <f>H393</f>
        <v>1228.2</v>
      </c>
      <c r="I392" s="41">
        <f t="shared" ref="I392" si="66">I393</f>
        <v>1228.2</v>
      </c>
      <c r="J392" s="96">
        <f t="shared" si="61"/>
        <v>100</v>
      </c>
    </row>
    <row r="393" spans="1:10" ht="66" x14ac:dyDescent="0.25">
      <c r="A393" s="148"/>
      <c r="B393" s="25"/>
      <c r="C393" s="84" t="s">
        <v>100</v>
      </c>
      <c r="D393" s="84" t="s">
        <v>100</v>
      </c>
      <c r="E393" s="80">
        <v>430127310</v>
      </c>
      <c r="F393" s="16" t="s">
        <v>14</v>
      </c>
      <c r="G393" s="100" t="s">
        <v>331</v>
      </c>
      <c r="H393" s="41">
        <f>1000+235.4-7.2</f>
        <v>1228.2</v>
      </c>
      <c r="I393" s="41">
        <f>1000+235.4-7.2</f>
        <v>1228.2</v>
      </c>
      <c r="J393" s="96">
        <f t="shared" si="61"/>
        <v>100</v>
      </c>
    </row>
    <row r="394" spans="1:10" ht="107.25" customHeight="1" x14ac:dyDescent="0.25">
      <c r="A394" s="148"/>
      <c r="B394" s="25"/>
      <c r="C394" s="84" t="s">
        <v>100</v>
      </c>
      <c r="D394" s="84" t="s">
        <v>100</v>
      </c>
      <c r="E394" s="80">
        <v>430127320</v>
      </c>
      <c r="F394" s="16"/>
      <c r="G394" s="100" t="s">
        <v>606</v>
      </c>
      <c r="H394" s="41">
        <f>H395</f>
        <v>180.9</v>
      </c>
      <c r="I394" s="41">
        <f>I395</f>
        <v>138.80000000000001</v>
      </c>
      <c r="J394" s="96">
        <f t="shared" si="61"/>
        <v>76.7</v>
      </c>
    </row>
    <row r="395" spans="1:10" ht="66" x14ac:dyDescent="0.25">
      <c r="A395" s="148"/>
      <c r="B395" s="25"/>
      <c r="C395" s="84" t="s">
        <v>100</v>
      </c>
      <c r="D395" s="84" t="s">
        <v>100</v>
      </c>
      <c r="E395" s="80">
        <v>430127320</v>
      </c>
      <c r="F395" s="16" t="s">
        <v>14</v>
      </c>
      <c r="G395" s="100" t="s">
        <v>331</v>
      </c>
      <c r="H395" s="41">
        <v>180.9</v>
      </c>
      <c r="I395" s="41">
        <v>138.80000000000001</v>
      </c>
      <c r="J395" s="96">
        <f t="shared" si="61"/>
        <v>76.7</v>
      </c>
    </row>
    <row r="396" spans="1:10" ht="15.6" x14ac:dyDescent="0.3">
      <c r="A396" s="148"/>
      <c r="B396" s="93"/>
      <c r="C396" s="4" t="s">
        <v>115</v>
      </c>
      <c r="D396" s="3"/>
      <c r="E396" s="3"/>
      <c r="F396" s="3"/>
      <c r="G396" s="49" t="s">
        <v>116</v>
      </c>
      <c r="H396" s="94">
        <f>H397+H403+H413</f>
        <v>30241.899999999998</v>
      </c>
      <c r="I396" s="94">
        <f>I397+I403+I413</f>
        <v>30291.8</v>
      </c>
      <c r="J396" s="160">
        <f t="shared" si="61"/>
        <v>100.2</v>
      </c>
    </row>
    <row r="397" spans="1:10" ht="14.4" x14ac:dyDescent="0.3">
      <c r="A397" s="148"/>
      <c r="B397" s="93"/>
      <c r="C397" s="35" t="s">
        <v>115</v>
      </c>
      <c r="D397" s="35" t="s">
        <v>93</v>
      </c>
      <c r="E397" s="35"/>
      <c r="F397" s="35"/>
      <c r="G397" s="45" t="s">
        <v>117</v>
      </c>
      <c r="H397" s="42">
        <f t="shared" ref="H397:I398" si="67">H398</f>
        <v>1962.8000000000002</v>
      </c>
      <c r="I397" s="42">
        <f t="shared" si="67"/>
        <v>1962.8</v>
      </c>
      <c r="J397" s="42">
        <f t="shared" si="61"/>
        <v>100</v>
      </c>
    </row>
    <row r="398" spans="1:10" ht="39" customHeight="1" x14ac:dyDescent="0.3">
      <c r="A398" s="148"/>
      <c r="B398" s="93"/>
      <c r="C398" s="5" t="s">
        <v>115</v>
      </c>
      <c r="D398" s="5" t="s">
        <v>93</v>
      </c>
      <c r="E398" s="73" t="s">
        <v>40</v>
      </c>
      <c r="F398" s="3"/>
      <c r="G398" s="196" t="s">
        <v>730</v>
      </c>
      <c r="H398" s="98">
        <f t="shared" si="67"/>
        <v>1962.8000000000002</v>
      </c>
      <c r="I398" s="98">
        <f t="shared" si="67"/>
        <v>1962.8</v>
      </c>
      <c r="J398" s="62">
        <f t="shared" si="61"/>
        <v>100</v>
      </c>
    </row>
    <row r="399" spans="1:10" ht="27" x14ac:dyDescent="0.3">
      <c r="A399" s="148"/>
      <c r="B399" s="93"/>
      <c r="C399" s="16" t="s">
        <v>115</v>
      </c>
      <c r="D399" s="16" t="s">
        <v>93</v>
      </c>
      <c r="E399" s="52" t="s">
        <v>42</v>
      </c>
      <c r="F399" s="3"/>
      <c r="G399" s="46" t="s">
        <v>86</v>
      </c>
      <c r="H399" s="95">
        <f>H401</f>
        <v>1962.8000000000002</v>
      </c>
      <c r="I399" s="95">
        <f>I401</f>
        <v>1962.8</v>
      </c>
      <c r="J399" s="58">
        <f t="shared" si="61"/>
        <v>100</v>
      </c>
    </row>
    <row r="400" spans="1:10" ht="27" x14ac:dyDescent="0.3">
      <c r="A400" s="148"/>
      <c r="B400" s="93"/>
      <c r="C400" s="16" t="s">
        <v>115</v>
      </c>
      <c r="D400" s="16" t="s">
        <v>93</v>
      </c>
      <c r="E400" s="21" t="s">
        <v>282</v>
      </c>
      <c r="F400" s="3"/>
      <c r="G400" s="112" t="s">
        <v>285</v>
      </c>
      <c r="H400" s="101">
        <f t="shared" ref="H400:I401" si="68">H401</f>
        <v>1962.8000000000002</v>
      </c>
      <c r="I400" s="101">
        <f t="shared" si="68"/>
        <v>1962.8</v>
      </c>
      <c r="J400" s="96">
        <f t="shared" si="61"/>
        <v>100</v>
      </c>
    </row>
    <row r="401" spans="1:10" ht="27" x14ac:dyDescent="0.3">
      <c r="A401" s="148"/>
      <c r="B401" s="93"/>
      <c r="C401" s="16" t="s">
        <v>115</v>
      </c>
      <c r="D401" s="16" t="s">
        <v>93</v>
      </c>
      <c r="E401" s="80">
        <v>1320225100</v>
      </c>
      <c r="F401" s="3"/>
      <c r="G401" s="190" t="s">
        <v>377</v>
      </c>
      <c r="H401" s="41">
        <f t="shared" si="68"/>
        <v>1962.8000000000002</v>
      </c>
      <c r="I401" s="41">
        <f t="shared" si="68"/>
        <v>1962.8</v>
      </c>
      <c r="J401" s="96">
        <f t="shared" si="61"/>
        <v>100</v>
      </c>
    </row>
    <row r="402" spans="1:10" ht="26.4" x14ac:dyDescent="0.25">
      <c r="A402" s="148"/>
      <c r="B402" s="93"/>
      <c r="C402" s="16" t="s">
        <v>115</v>
      </c>
      <c r="D402" s="16" t="s">
        <v>93</v>
      </c>
      <c r="E402" s="80">
        <v>1320225100</v>
      </c>
      <c r="F402" s="84" t="s">
        <v>283</v>
      </c>
      <c r="G402" s="100" t="s">
        <v>284</v>
      </c>
      <c r="H402" s="39">
        <f>2710.8-801.4+53.4</f>
        <v>1962.8000000000002</v>
      </c>
      <c r="I402" s="41">
        <v>1962.8</v>
      </c>
      <c r="J402" s="96">
        <f t="shared" si="61"/>
        <v>100</v>
      </c>
    </row>
    <row r="403" spans="1:10" ht="14.4" x14ac:dyDescent="0.3">
      <c r="A403" s="148"/>
      <c r="B403" s="93"/>
      <c r="C403" s="35" t="s">
        <v>115</v>
      </c>
      <c r="D403" s="35" t="s">
        <v>98</v>
      </c>
      <c r="E403" s="35"/>
      <c r="F403" s="35"/>
      <c r="G403" s="45" t="s">
        <v>121</v>
      </c>
      <c r="H403" s="42">
        <f>H404+H409</f>
        <v>738</v>
      </c>
      <c r="I403" s="42">
        <f>I404+I409</f>
        <v>788</v>
      </c>
      <c r="J403" s="42">
        <f t="shared" si="61"/>
        <v>106.8</v>
      </c>
    </row>
    <row r="404" spans="1:10" ht="37.5" customHeight="1" x14ac:dyDescent="0.3">
      <c r="A404" s="148"/>
      <c r="B404" s="93"/>
      <c r="C404" s="5" t="s">
        <v>115</v>
      </c>
      <c r="D404" s="5" t="s">
        <v>98</v>
      </c>
      <c r="E404" s="73" t="s">
        <v>40</v>
      </c>
      <c r="F404" s="3"/>
      <c r="G404" s="196" t="s">
        <v>730</v>
      </c>
      <c r="H404" s="59">
        <f t="shared" ref="H404:I404" si="69">H405</f>
        <v>688</v>
      </c>
      <c r="I404" s="59">
        <f t="shared" si="69"/>
        <v>688</v>
      </c>
      <c r="J404" s="62">
        <f t="shared" si="61"/>
        <v>100</v>
      </c>
    </row>
    <row r="405" spans="1:10" ht="26.4" x14ac:dyDescent="0.25">
      <c r="A405" s="148"/>
      <c r="B405" s="93"/>
      <c r="C405" s="47" t="s">
        <v>115</v>
      </c>
      <c r="D405" s="47" t="s">
        <v>98</v>
      </c>
      <c r="E405" s="52" t="s">
        <v>42</v>
      </c>
      <c r="F405" s="16"/>
      <c r="G405" s="46" t="s">
        <v>86</v>
      </c>
      <c r="H405" s="95">
        <f>H407</f>
        <v>688</v>
      </c>
      <c r="I405" s="95">
        <f>I407</f>
        <v>688</v>
      </c>
      <c r="J405" s="58">
        <f t="shared" si="61"/>
        <v>100</v>
      </c>
    </row>
    <row r="406" spans="1:10" ht="52.8" x14ac:dyDescent="0.25">
      <c r="A406" s="148"/>
      <c r="B406" s="93"/>
      <c r="C406" s="16" t="s">
        <v>115</v>
      </c>
      <c r="D406" s="16" t="s">
        <v>98</v>
      </c>
      <c r="E406" s="21" t="s">
        <v>282</v>
      </c>
      <c r="F406" s="16"/>
      <c r="G406" s="112" t="s">
        <v>306</v>
      </c>
      <c r="H406" s="41">
        <f t="shared" ref="H406:I407" si="70">H407</f>
        <v>688</v>
      </c>
      <c r="I406" s="41">
        <f t="shared" si="70"/>
        <v>688</v>
      </c>
      <c r="J406" s="96">
        <f t="shared" si="61"/>
        <v>100</v>
      </c>
    </row>
    <row r="407" spans="1:10" ht="66.75" customHeight="1" x14ac:dyDescent="0.25">
      <c r="A407" s="148"/>
      <c r="B407" s="93"/>
      <c r="C407" s="16" t="s">
        <v>115</v>
      </c>
      <c r="D407" s="16" t="s">
        <v>98</v>
      </c>
      <c r="E407" s="80">
        <v>1320127100</v>
      </c>
      <c r="F407" s="16"/>
      <c r="G407" s="100" t="s">
        <v>3</v>
      </c>
      <c r="H407" s="41">
        <f t="shared" si="70"/>
        <v>688</v>
      </c>
      <c r="I407" s="41">
        <f t="shared" si="70"/>
        <v>688</v>
      </c>
      <c r="J407" s="96">
        <f t="shared" si="61"/>
        <v>100</v>
      </c>
    </row>
    <row r="408" spans="1:10" ht="79.2" x14ac:dyDescent="0.25">
      <c r="A408" s="148"/>
      <c r="B408" s="93"/>
      <c r="C408" s="16" t="s">
        <v>115</v>
      </c>
      <c r="D408" s="16" t="s">
        <v>98</v>
      </c>
      <c r="E408" s="80">
        <v>1320127100</v>
      </c>
      <c r="F408" s="16" t="s">
        <v>23</v>
      </c>
      <c r="G408" s="102" t="s">
        <v>376</v>
      </c>
      <c r="H408" s="41">
        <f>638+50</f>
        <v>688</v>
      </c>
      <c r="I408" s="41">
        <f>638+50</f>
        <v>688</v>
      </c>
      <c r="J408" s="96">
        <f t="shared" si="61"/>
        <v>100</v>
      </c>
    </row>
    <row r="409" spans="1:10" ht="30.75" customHeight="1" x14ac:dyDescent="0.25">
      <c r="A409" s="148"/>
      <c r="B409" s="93"/>
      <c r="C409" s="5" t="s">
        <v>115</v>
      </c>
      <c r="D409" s="5" t="s">
        <v>98</v>
      </c>
      <c r="E409" s="85">
        <v>9900000000</v>
      </c>
      <c r="F409" s="5"/>
      <c r="G409" s="86" t="s">
        <v>144</v>
      </c>
      <c r="H409" s="62">
        <f>H410</f>
        <v>50</v>
      </c>
      <c r="I409" s="62">
        <f>I410</f>
        <v>100</v>
      </c>
      <c r="J409" s="62">
        <f t="shared" si="61"/>
        <v>200</v>
      </c>
    </row>
    <row r="410" spans="1:10" ht="14.4" x14ac:dyDescent="0.3">
      <c r="A410" s="148"/>
      <c r="B410" s="93"/>
      <c r="C410" s="16" t="s">
        <v>115</v>
      </c>
      <c r="D410" s="16" t="s">
        <v>98</v>
      </c>
      <c r="E410" s="80">
        <v>9920000000</v>
      </c>
      <c r="F410" s="35"/>
      <c r="G410" s="154" t="s">
        <v>5</v>
      </c>
      <c r="H410" s="96">
        <f t="shared" ref="H410:I411" si="71">H411</f>
        <v>50</v>
      </c>
      <c r="I410" s="96">
        <f t="shared" si="71"/>
        <v>100</v>
      </c>
      <c r="J410" s="96">
        <f t="shared" si="61"/>
        <v>200</v>
      </c>
    </row>
    <row r="411" spans="1:10" ht="26.4" x14ac:dyDescent="0.25">
      <c r="A411" s="148"/>
      <c r="B411" s="93"/>
      <c r="C411" s="16" t="s">
        <v>115</v>
      </c>
      <c r="D411" s="16" t="s">
        <v>98</v>
      </c>
      <c r="E411" s="80">
        <v>9920026100</v>
      </c>
      <c r="F411" s="21"/>
      <c r="G411" s="22" t="s">
        <v>13</v>
      </c>
      <c r="H411" s="39">
        <f t="shared" si="71"/>
        <v>50</v>
      </c>
      <c r="I411" s="39">
        <f t="shared" si="71"/>
        <v>100</v>
      </c>
      <c r="J411" s="96">
        <f t="shared" si="61"/>
        <v>200</v>
      </c>
    </row>
    <row r="412" spans="1:10" x14ac:dyDescent="0.25">
      <c r="A412" s="148"/>
      <c r="B412" s="93"/>
      <c r="C412" s="16" t="s">
        <v>115</v>
      </c>
      <c r="D412" s="16" t="s">
        <v>98</v>
      </c>
      <c r="E412" s="80">
        <v>9920026100</v>
      </c>
      <c r="F412" s="84" t="s">
        <v>87</v>
      </c>
      <c r="G412" s="100" t="s">
        <v>88</v>
      </c>
      <c r="H412" s="39">
        <v>50</v>
      </c>
      <c r="I412" s="41">
        <v>100</v>
      </c>
      <c r="J412" s="96">
        <f t="shared" si="61"/>
        <v>200</v>
      </c>
    </row>
    <row r="413" spans="1:10" ht="14.4" x14ac:dyDescent="0.3">
      <c r="A413" s="148"/>
      <c r="B413" s="25"/>
      <c r="C413" s="35" t="s">
        <v>115</v>
      </c>
      <c r="D413" s="35" t="s">
        <v>99</v>
      </c>
      <c r="E413" s="35"/>
      <c r="F413" s="38"/>
      <c r="G413" s="50" t="s">
        <v>15</v>
      </c>
      <c r="H413" s="40">
        <f t="shared" ref="H413:I414" si="72">H414</f>
        <v>27541.1</v>
      </c>
      <c r="I413" s="40">
        <f t="shared" si="72"/>
        <v>27541</v>
      </c>
      <c r="J413" s="42">
        <f t="shared" si="61"/>
        <v>100</v>
      </c>
    </row>
    <row r="414" spans="1:10" ht="93" x14ac:dyDescent="0.3">
      <c r="A414" s="148"/>
      <c r="B414" s="25"/>
      <c r="C414" s="5" t="s">
        <v>115</v>
      </c>
      <c r="D414" s="5" t="s">
        <v>99</v>
      </c>
      <c r="E414" s="73" t="s">
        <v>40</v>
      </c>
      <c r="F414" s="3"/>
      <c r="G414" s="196" t="s">
        <v>730</v>
      </c>
      <c r="H414" s="98">
        <f t="shared" si="72"/>
        <v>27541.1</v>
      </c>
      <c r="I414" s="98">
        <f t="shared" si="72"/>
        <v>27541</v>
      </c>
      <c r="J414" s="62">
        <f t="shared" si="61"/>
        <v>100</v>
      </c>
    </row>
    <row r="415" spans="1:10" ht="27" x14ac:dyDescent="0.3">
      <c r="A415" s="148"/>
      <c r="B415" s="25"/>
      <c r="C415" s="47" t="s">
        <v>115</v>
      </c>
      <c r="D415" s="47" t="s">
        <v>99</v>
      </c>
      <c r="E415" s="52" t="s">
        <v>41</v>
      </c>
      <c r="F415" s="35"/>
      <c r="G415" s="46" t="s">
        <v>89</v>
      </c>
      <c r="H415" s="95">
        <f>H416+H421+H426</f>
        <v>27541.1</v>
      </c>
      <c r="I415" s="95">
        <f>I416+I421+I426</f>
        <v>27541</v>
      </c>
      <c r="J415" s="58">
        <f t="shared" si="61"/>
        <v>100</v>
      </c>
    </row>
    <row r="416" spans="1:10" ht="40.200000000000003" x14ac:dyDescent="0.3">
      <c r="A416" s="148"/>
      <c r="B416" s="25"/>
      <c r="C416" s="16" t="s">
        <v>115</v>
      </c>
      <c r="D416" s="16" t="s">
        <v>99</v>
      </c>
      <c r="E416" s="21" t="s">
        <v>278</v>
      </c>
      <c r="F416" s="3"/>
      <c r="G416" s="112" t="s">
        <v>279</v>
      </c>
      <c r="H416" s="41">
        <f>H417+H419</f>
        <v>3146</v>
      </c>
      <c r="I416" s="41">
        <f>I417+I419</f>
        <v>3146</v>
      </c>
      <c r="J416" s="96">
        <f t="shared" si="61"/>
        <v>100</v>
      </c>
    </row>
    <row r="417" spans="1:10" ht="40.200000000000003" x14ac:dyDescent="0.3">
      <c r="A417" s="148"/>
      <c r="B417" s="25"/>
      <c r="C417" s="16" t="s">
        <v>115</v>
      </c>
      <c r="D417" s="16" t="s">
        <v>99</v>
      </c>
      <c r="E417" s="21" t="s">
        <v>313</v>
      </c>
      <c r="F417" s="3"/>
      <c r="G417" s="193" t="s">
        <v>203</v>
      </c>
      <c r="H417" s="41">
        <f t="shared" ref="H417:I417" si="73">H418</f>
        <v>629.20000000000005</v>
      </c>
      <c r="I417" s="41">
        <f t="shared" si="73"/>
        <v>629.20000000000005</v>
      </c>
      <c r="J417" s="96">
        <f t="shared" si="61"/>
        <v>100</v>
      </c>
    </row>
    <row r="418" spans="1:10" x14ac:dyDescent="0.25">
      <c r="A418" s="148"/>
      <c r="B418" s="25"/>
      <c r="C418" s="16" t="s">
        <v>115</v>
      </c>
      <c r="D418" s="16" t="s">
        <v>99</v>
      </c>
      <c r="E418" s="21" t="s">
        <v>313</v>
      </c>
      <c r="F418" s="84" t="s">
        <v>252</v>
      </c>
      <c r="G418" s="105" t="s">
        <v>251</v>
      </c>
      <c r="H418" s="41">
        <v>629.20000000000005</v>
      </c>
      <c r="I418" s="41">
        <v>629.20000000000005</v>
      </c>
      <c r="J418" s="96">
        <f t="shared" si="61"/>
        <v>100</v>
      </c>
    </row>
    <row r="419" spans="1:10" ht="39.6" x14ac:dyDescent="0.25">
      <c r="A419" s="148"/>
      <c r="B419" s="25"/>
      <c r="C419" s="16" t="s">
        <v>115</v>
      </c>
      <c r="D419" s="16" t="s">
        <v>99</v>
      </c>
      <c r="E419" s="21" t="s">
        <v>414</v>
      </c>
      <c r="F419" s="84"/>
      <c r="G419" s="54" t="s">
        <v>413</v>
      </c>
      <c r="H419" s="41">
        <f>H420</f>
        <v>2516.8000000000002</v>
      </c>
      <c r="I419" s="41">
        <f t="shared" ref="I419" si="74">I420</f>
        <v>2516.8000000000002</v>
      </c>
      <c r="J419" s="96">
        <f t="shared" si="61"/>
        <v>100</v>
      </c>
    </row>
    <row r="420" spans="1:10" x14ac:dyDescent="0.25">
      <c r="A420" s="148"/>
      <c r="B420" s="25"/>
      <c r="C420" s="16" t="s">
        <v>115</v>
      </c>
      <c r="D420" s="16" t="s">
        <v>99</v>
      </c>
      <c r="E420" s="21" t="s">
        <v>414</v>
      </c>
      <c r="F420" s="84" t="s">
        <v>252</v>
      </c>
      <c r="G420" s="105" t="s">
        <v>251</v>
      </c>
      <c r="H420" s="41">
        <v>2516.8000000000002</v>
      </c>
      <c r="I420" s="41">
        <v>2516.8000000000002</v>
      </c>
      <c r="J420" s="96">
        <f t="shared" si="61"/>
        <v>100</v>
      </c>
    </row>
    <row r="421" spans="1:10" ht="93" x14ac:dyDescent="0.3">
      <c r="A421" s="148"/>
      <c r="B421" s="25"/>
      <c r="C421" s="16" t="s">
        <v>115</v>
      </c>
      <c r="D421" s="16" t="s">
        <v>99</v>
      </c>
      <c r="E421" s="21" t="s">
        <v>280</v>
      </c>
      <c r="F421" s="35"/>
      <c r="G421" s="99" t="s">
        <v>760</v>
      </c>
      <c r="H421" s="101">
        <f t="shared" ref="H421:I421" si="75">H422+H424</f>
        <v>11002.199999999999</v>
      </c>
      <c r="I421" s="101">
        <f t="shared" si="75"/>
        <v>11002.099999999999</v>
      </c>
      <c r="J421" s="96">
        <f t="shared" si="61"/>
        <v>100</v>
      </c>
    </row>
    <row r="422" spans="1:10" ht="52.8" x14ac:dyDescent="0.25">
      <c r="A422" s="148"/>
      <c r="B422" s="25"/>
      <c r="C422" s="16" t="s">
        <v>115</v>
      </c>
      <c r="D422" s="16" t="s">
        <v>99</v>
      </c>
      <c r="E422" s="80">
        <v>1310210820</v>
      </c>
      <c r="F422" s="16"/>
      <c r="G422" s="100" t="s">
        <v>169</v>
      </c>
      <c r="H422" s="39">
        <f>H423</f>
        <v>1375.2999999999997</v>
      </c>
      <c r="I422" s="39">
        <f>I423</f>
        <v>1375.3</v>
      </c>
      <c r="J422" s="96">
        <f t="shared" si="61"/>
        <v>100</v>
      </c>
    </row>
    <row r="423" spans="1:10" x14ac:dyDescent="0.25">
      <c r="A423" s="148"/>
      <c r="B423" s="25"/>
      <c r="C423" s="16" t="s">
        <v>115</v>
      </c>
      <c r="D423" s="16" t="s">
        <v>99</v>
      </c>
      <c r="E423" s="80">
        <v>1310210820</v>
      </c>
      <c r="F423" s="84" t="s">
        <v>252</v>
      </c>
      <c r="G423" s="105" t="s">
        <v>251</v>
      </c>
      <c r="H423" s="39">
        <f>3469.1-2093.8</f>
        <v>1375.2999999999997</v>
      </c>
      <c r="I423" s="41">
        <v>1375.3</v>
      </c>
      <c r="J423" s="96">
        <f t="shared" ref="J423:J486" si="76">ROUND((I423/H423*100),1)</f>
        <v>100</v>
      </c>
    </row>
    <row r="424" spans="1:10" ht="39.6" x14ac:dyDescent="0.25">
      <c r="A424" s="148"/>
      <c r="B424" s="25"/>
      <c r="C424" s="16" t="s">
        <v>115</v>
      </c>
      <c r="D424" s="16" t="s">
        <v>99</v>
      </c>
      <c r="E424" s="80" t="s">
        <v>353</v>
      </c>
      <c r="F424" s="16"/>
      <c r="G424" s="100" t="s">
        <v>322</v>
      </c>
      <c r="H424" s="39">
        <f>H425</f>
        <v>9626.9</v>
      </c>
      <c r="I424" s="39">
        <f>I425</f>
        <v>9626.7999999999993</v>
      </c>
      <c r="J424" s="96">
        <f t="shared" si="76"/>
        <v>100</v>
      </c>
    </row>
    <row r="425" spans="1:10" x14ac:dyDescent="0.25">
      <c r="A425" s="148"/>
      <c r="B425" s="25"/>
      <c r="C425" s="16" t="s">
        <v>115</v>
      </c>
      <c r="D425" s="16" t="s">
        <v>99</v>
      </c>
      <c r="E425" s="80" t="s">
        <v>353</v>
      </c>
      <c r="F425" s="84" t="s">
        <v>252</v>
      </c>
      <c r="G425" s="105" t="s">
        <v>251</v>
      </c>
      <c r="H425" s="39">
        <f>11563.4-1936.5</f>
        <v>9626.9</v>
      </c>
      <c r="I425" s="39">
        <v>9626.7999999999993</v>
      </c>
      <c r="J425" s="96">
        <f t="shared" si="76"/>
        <v>100</v>
      </c>
    </row>
    <row r="426" spans="1:10" ht="24" customHeight="1" x14ac:dyDescent="0.25">
      <c r="A426" s="148"/>
      <c r="B426" s="25"/>
      <c r="C426" s="16" t="s">
        <v>115</v>
      </c>
      <c r="D426" s="16" t="s">
        <v>99</v>
      </c>
      <c r="E426" s="21" t="s">
        <v>305</v>
      </c>
      <c r="F426" s="84"/>
      <c r="G426" s="112" t="s">
        <v>346</v>
      </c>
      <c r="H426" s="41">
        <f t="shared" ref="H426:I427" si="77">H427</f>
        <v>13392.9</v>
      </c>
      <c r="I426" s="41">
        <f t="shared" si="77"/>
        <v>13392.9</v>
      </c>
      <c r="J426" s="96">
        <f t="shared" si="76"/>
        <v>100</v>
      </c>
    </row>
    <row r="427" spans="1:10" ht="52.8" x14ac:dyDescent="0.25">
      <c r="A427" s="148"/>
      <c r="B427" s="25"/>
      <c r="C427" s="16" t="s">
        <v>115</v>
      </c>
      <c r="D427" s="16" t="s">
        <v>99</v>
      </c>
      <c r="E427" s="74" t="s">
        <v>345</v>
      </c>
      <c r="F427" s="16"/>
      <c r="G427" s="100" t="s">
        <v>330</v>
      </c>
      <c r="H427" s="96">
        <f t="shared" si="77"/>
        <v>13392.9</v>
      </c>
      <c r="I427" s="96">
        <f t="shared" si="77"/>
        <v>13392.9</v>
      </c>
      <c r="J427" s="96">
        <f t="shared" si="76"/>
        <v>100</v>
      </c>
    </row>
    <row r="428" spans="1:10" ht="39.6" x14ac:dyDescent="0.25">
      <c r="A428" s="148"/>
      <c r="B428" s="25"/>
      <c r="C428" s="16" t="s">
        <v>115</v>
      </c>
      <c r="D428" s="16" t="s">
        <v>99</v>
      </c>
      <c r="E428" s="74" t="s">
        <v>345</v>
      </c>
      <c r="F428" s="84" t="s">
        <v>265</v>
      </c>
      <c r="G428" s="100" t="s">
        <v>253</v>
      </c>
      <c r="H428" s="96">
        <f>2854.2+10714.3-175.6</f>
        <v>13392.9</v>
      </c>
      <c r="I428" s="41">
        <v>13392.9</v>
      </c>
      <c r="J428" s="96">
        <f t="shared" si="76"/>
        <v>100</v>
      </c>
    </row>
    <row r="429" spans="1:10" ht="16.5" customHeight="1" x14ac:dyDescent="0.3">
      <c r="A429" s="148"/>
      <c r="B429" s="25"/>
      <c r="C429" s="4" t="s">
        <v>127</v>
      </c>
      <c r="D429" s="3"/>
      <c r="E429" s="3"/>
      <c r="F429" s="3"/>
      <c r="G429" s="49" t="s">
        <v>8</v>
      </c>
      <c r="H429" s="94">
        <f t="shared" ref="H429:I429" si="78">H430</f>
        <v>3808.5</v>
      </c>
      <c r="I429" s="94">
        <f t="shared" si="78"/>
        <v>3807.5</v>
      </c>
      <c r="J429" s="160">
        <f t="shared" si="76"/>
        <v>100</v>
      </c>
    </row>
    <row r="430" spans="1:10" ht="28.8" x14ac:dyDescent="0.3">
      <c r="A430" s="148"/>
      <c r="B430" s="25"/>
      <c r="C430" s="35" t="s">
        <v>127</v>
      </c>
      <c r="D430" s="35" t="s">
        <v>99</v>
      </c>
      <c r="E430" s="35"/>
      <c r="F430" s="35"/>
      <c r="G430" s="50" t="s">
        <v>18</v>
      </c>
      <c r="H430" s="40">
        <f t="shared" ref="H430" si="79">H432</f>
        <v>3808.5</v>
      </c>
      <c r="I430" s="40">
        <f t="shared" ref="I430" si="80">I432</f>
        <v>3807.5</v>
      </c>
      <c r="J430" s="42">
        <f t="shared" si="76"/>
        <v>100</v>
      </c>
    </row>
    <row r="431" spans="1:10" ht="93" x14ac:dyDescent="0.3">
      <c r="A431" s="148"/>
      <c r="B431" s="25"/>
      <c r="C431" s="16" t="s">
        <v>127</v>
      </c>
      <c r="D431" s="16" t="s">
        <v>99</v>
      </c>
      <c r="E431" s="74">
        <v>400000000</v>
      </c>
      <c r="F431" s="30"/>
      <c r="G431" s="196" t="s">
        <v>503</v>
      </c>
      <c r="H431" s="98">
        <f t="shared" ref="H431:I431" si="81">H432</f>
        <v>3808.5</v>
      </c>
      <c r="I431" s="98">
        <f t="shared" si="81"/>
        <v>3807.5</v>
      </c>
      <c r="J431" s="62">
        <f t="shared" si="76"/>
        <v>100</v>
      </c>
    </row>
    <row r="432" spans="1:10" ht="53.4" x14ac:dyDescent="0.3">
      <c r="A432" s="148"/>
      <c r="B432" s="25"/>
      <c r="C432" s="47" t="s">
        <v>127</v>
      </c>
      <c r="D432" s="47" t="s">
        <v>99</v>
      </c>
      <c r="E432" s="75">
        <v>420000000</v>
      </c>
      <c r="F432" s="30"/>
      <c r="G432" s="46" t="s">
        <v>233</v>
      </c>
      <c r="H432" s="95">
        <f>H433+H440</f>
        <v>3808.5</v>
      </c>
      <c r="I432" s="95">
        <f>I433+I440</f>
        <v>3807.5</v>
      </c>
      <c r="J432" s="58">
        <f t="shared" si="76"/>
        <v>100</v>
      </c>
    </row>
    <row r="433" spans="1:10" ht="112.5" customHeight="1" x14ac:dyDescent="0.25">
      <c r="A433" s="148"/>
      <c r="B433" s="25"/>
      <c r="C433" s="16" t="s">
        <v>127</v>
      </c>
      <c r="D433" s="16" t="s">
        <v>99</v>
      </c>
      <c r="E433" s="74">
        <v>420100000</v>
      </c>
      <c r="F433" s="16"/>
      <c r="G433" s="99" t="s">
        <v>761</v>
      </c>
      <c r="H433" s="41">
        <f>H434+H436+H438</f>
        <v>2796.4</v>
      </c>
      <c r="I433" s="41">
        <f>I434+I436+I438</f>
        <v>2796.4</v>
      </c>
      <c r="J433" s="96">
        <f t="shared" si="76"/>
        <v>100</v>
      </c>
    </row>
    <row r="434" spans="1:10" ht="39.6" x14ac:dyDescent="0.25">
      <c r="A434" s="148"/>
      <c r="B434" s="25"/>
      <c r="C434" s="16" t="s">
        <v>127</v>
      </c>
      <c r="D434" s="16" t="s">
        <v>99</v>
      </c>
      <c r="E434" s="74" t="s">
        <v>314</v>
      </c>
      <c r="F434" s="16"/>
      <c r="G434" s="100" t="s">
        <v>370</v>
      </c>
      <c r="H434" s="41">
        <f>H435</f>
        <v>600</v>
      </c>
      <c r="I434" s="41">
        <f>I435</f>
        <v>600</v>
      </c>
      <c r="J434" s="96">
        <f t="shared" si="76"/>
        <v>100</v>
      </c>
    </row>
    <row r="435" spans="1:10" ht="79.2" x14ac:dyDescent="0.25">
      <c r="A435" s="148"/>
      <c r="B435" s="25"/>
      <c r="C435" s="16" t="s">
        <v>127</v>
      </c>
      <c r="D435" s="16" t="s">
        <v>99</v>
      </c>
      <c r="E435" s="74" t="s">
        <v>314</v>
      </c>
      <c r="F435" s="16" t="s">
        <v>23</v>
      </c>
      <c r="G435" s="102" t="s">
        <v>376</v>
      </c>
      <c r="H435" s="41">
        <f>300+300</f>
        <v>600</v>
      </c>
      <c r="I435" s="41">
        <f>300+300</f>
        <v>600</v>
      </c>
      <c r="J435" s="96">
        <f t="shared" si="76"/>
        <v>100</v>
      </c>
    </row>
    <row r="436" spans="1:10" ht="66" x14ac:dyDescent="0.25">
      <c r="A436" s="148"/>
      <c r="B436" s="25"/>
      <c r="C436" s="16" t="s">
        <v>127</v>
      </c>
      <c r="D436" s="16" t="s">
        <v>99</v>
      </c>
      <c r="E436" s="74">
        <v>420123230</v>
      </c>
      <c r="F436" s="16"/>
      <c r="G436" s="102" t="s">
        <v>737</v>
      </c>
      <c r="H436" s="41">
        <f>H437</f>
        <v>1300</v>
      </c>
      <c r="I436" s="41">
        <f>I437</f>
        <v>1300</v>
      </c>
      <c r="J436" s="96">
        <f t="shared" si="76"/>
        <v>100</v>
      </c>
    </row>
    <row r="437" spans="1:10" ht="39.6" x14ac:dyDescent="0.25">
      <c r="A437" s="148"/>
      <c r="B437" s="25"/>
      <c r="C437" s="16" t="s">
        <v>127</v>
      </c>
      <c r="D437" s="16" t="s">
        <v>99</v>
      </c>
      <c r="E437" s="74">
        <v>420123230</v>
      </c>
      <c r="F437" s="84" t="s">
        <v>212</v>
      </c>
      <c r="G437" s="100" t="s">
        <v>213</v>
      </c>
      <c r="H437" s="41">
        <f>1290+10</f>
        <v>1300</v>
      </c>
      <c r="I437" s="41">
        <f>1290+10</f>
        <v>1300</v>
      </c>
      <c r="J437" s="96">
        <f t="shared" si="76"/>
        <v>100</v>
      </c>
    </row>
    <row r="438" spans="1:10" ht="39.6" x14ac:dyDescent="0.25">
      <c r="A438" s="148"/>
      <c r="B438" s="25"/>
      <c r="C438" s="16" t="s">
        <v>127</v>
      </c>
      <c r="D438" s="16" t="s">
        <v>99</v>
      </c>
      <c r="E438" s="74">
        <v>420110320</v>
      </c>
      <c r="F438" s="148"/>
      <c r="G438" s="191" t="s">
        <v>738</v>
      </c>
      <c r="H438" s="41">
        <f>H439</f>
        <v>896.4</v>
      </c>
      <c r="I438" s="41">
        <f>I439</f>
        <v>896.4</v>
      </c>
      <c r="J438" s="96">
        <f t="shared" si="76"/>
        <v>100</v>
      </c>
    </row>
    <row r="439" spans="1:10" ht="79.2" x14ac:dyDescent="0.25">
      <c r="A439" s="148"/>
      <c r="B439" s="25"/>
      <c r="C439" s="16" t="s">
        <v>127</v>
      </c>
      <c r="D439" s="16" t="s">
        <v>99</v>
      </c>
      <c r="E439" s="74">
        <v>420110320</v>
      </c>
      <c r="F439" s="16" t="s">
        <v>23</v>
      </c>
      <c r="G439" s="102" t="s">
        <v>376</v>
      </c>
      <c r="H439" s="41">
        <v>896.4</v>
      </c>
      <c r="I439" s="41">
        <v>896.4</v>
      </c>
      <c r="J439" s="96">
        <f t="shared" si="76"/>
        <v>100</v>
      </c>
    </row>
    <row r="440" spans="1:10" ht="132" x14ac:dyDescent="0.25">
      <c r="A440" s="148"/>
      <c r="B440" s="25"/>
      <c r="C440" s="16" t="s">
        <v>127</v>
      </c>
      <c r="D440" s="16" t="s">
        <v>99</v>
      </c>
      <c r="E440" s="74">
        <v>420200000</v>
      </c>
      <c r="F440" s="16"/>
      <c r="G440" s="99" t="s">
        <v>762</v>
      </c>
      <c r="H440" s="41">
        <f>H441+H443</f>
        <v>1012.0999999999999</v>
      </c>
      <c r="I440" s="41">
        <f>I441+I443</f>
        <v>1011.0999999999999</v>
      </c>
      <c r="J440" s="96">
        <f t="shared" si="76"/>
        <v>99.9</v>
      </c>
    </row>
    <row r="441" spans="1:10" ht="67.5" customHeight="1" x14ac:dyDescent="0.3">
      <c r="A441" s="148"/>
      <c r="B441" s="25"/>
      <c r="C441" s="16" t="s">
        <v>127</v>
      </c>
      <c r="D441" s="16" t="s">
        <v>99</v>
      </c>
      <c r="E441" s="74">
        <v>420223235</v>
      </c>
      <c r="F441" s="30"/>
      <c r="G441" s="100" t="s">
        <v>739</v>
      </c>
      <c r="H441" s="41">
        <f>H442</f>
        <v>575.29999999999995</v>
      </c>
      <c r="I441" s="41">
        <f t="shared" ref="I441" si="82">I442</f>
        <v>575.29999999999995</v>
      </c>
      <c r="J441" s="96">
        <f t="shared" si="76"/>
        <v>100</v>
      </c>
    </row>
    <row r="442" spans="1:10" ht="39.6" x14ac:dyDescent="0.25">
      <c r="A442" s="148"/>
      <c r="B442" s="25"/>
      <c r="C442" s="16" t="s">
        <v>127</v>
      </c>
      <c r="D442" s="16" t="s">
        <v>99</v>
      </c>
      <c r="E442" s="74">
        <v>420223235</v>
      </c>
      <c r="F442" s="84" t="s">
        <v>212</v>
      </c>
      <c r="G442" s="100" t="s">
        <v>213</v>
      </c>
      <c r="H442" s="41">
        <v>575.29999999999995</v>
      </c>
      <c r="I442" s="41">
        <v>575.29999999999995</v>
      </c>
      <c r="J442" s="96">
        <f t="shared" si="76"/>
        <v>100</v>
      </c>
    </row>
    <row r="443" spans="1:10" ht="66" x14ac:dyDescent="0.25">
      <c r="A443" s="148"/>
      <c r="B443" s="25"/>
      <c r="C443" s="16" t="s">
        <v>127</v>
      </c>
      <c r="D443" s="16" t="s">
        <v>99</v>
      </c>
      <c r="E443" s="74">
        <v>420223240</v>
      </c>
      <c r="F443" s="84"/>
      <c r="G443" s="100" t="s">
        <v>740</v>
      </c>
      <c r="H443" s="41">
        <f>H444</f>
        <v>436.8</v>
      </c>
      <c r="I443" s="41">
        <f>I444</f>
        <v>435.8</v>
      </c>
      <c r="J443" s="58">
        <f t="shared" si="76"/>
        <v>99.8</v>
      </c>
    </row>
    <row r="444" spans="1:10" ht="39.6" x14ac:dyDescent="0.25">
      <c r="A444" s="148"/>
      <c r="B444" s="25"/>
      <c r="C444" s="16" t="s">
        <v>127</v>
      </c>
      <c r="D444" s="16" t="s">
        <v>99</v>
      </c>
      <c r="E444" s="74">
        <v>420223240</v>
      </c>
      <c r="F444" s="84" t="s">
        <v>212</v>
      </c>
      <c r="G444" s="100" t="s">
        <v>213</v>
      </c>
      <c r="H444" s="41">
        <v>436.8</v>
      </c>
      <c r="I444" s="101">
        <v>435.8</v>
      </c>
      <c r="J444" s="96">
        <f t="shared" si="76"/>
        <v>99.8</v>
      </c>
    </row>
    <row r="445" spans="1:10" ht="74.25" customHeight="1" x14ac:dyDescent="0.3">
      <c r="A445" s="148"/>
      <c r="B445" s="93">
        <v>929</v>
      </c>
      <c r="C445" s="13"/>
      <c r="D445" s="13"/>
      <c r="E445" s="13"/>
      <c r="F445" s="13"/>
      <c r="G445" s="14" t="s">
        <v>208</v>
      </c>
      <c r="H445" s="59">
        <f>H446+H590</f>
        <v>574553.70000000007</v>
      </c>
      <c r="I445" s="59">
        <f>I446+I590</f>
        <v>570076.30000000005</v>
      </c>
      <c r="J445" s="160">
        <f t="shared" si="76"/>
        <v>99.2</v>
      </c>
    </row>
    <row r="446" spans="1:10" ht="15.6" x14ac:dyDescent="0.3">
      <c r="A446" s="148"/>
      <c r="B446" s="93"/>
      <c r="C446" s="4" t="s">
        <v>109</v>
      </c>
      <c r="D446" s="3"/>
      <c r="E446" s="3"/>
      <c r="F446" s="3"/>
      <c r="G446" s="49" t="s">
        <v>110</v>
      </c>
      <c r="H446" s="59">
        <f>H447+H464+H504+H541+H547+H556</f>
        <v>562989.20000000007</v>
      </c>
      <c r="I446" s="59">
        <f>I447+I464+I504+I541+I547+I556</f>
        <v>561246.70000000007</v>
      </c>
      <c r="J446" s="160">
        <f t="shared" si="76"/>
        <v>99.7</v>
      </c>
    </row>
    <row r="447" spans="1:10" ht="18" customHeight="1" x14ac:dyDescent="0.3">
      <c r="A447" s="148"/>
      <c r="B447" s="70"/>
      <c r="C447" s="35" t="s">
        <v>109</v>
      </c>
      <c r="D447" s="35" t="s">
        <v>93</v>
      </c>
      <c r="E447" s="35"/>
      <c r="F447" s="35"/>
      <c r="G447" s="45" t="s">
        <v>112</v>
      </c>
      <c r="H447" s="58">
        <f t="shared" ref="H447:I448" si="83">H448</f>
        <v>150863.9</v>
      </c>
      <c r="I447" s="58">
        <f t="shared" si="83"/>
        <v>150863.9</v>
      </c>
      <c r="J447" s="42">
        <f t="shared" si="76"/>
        <v>100</v>
      </c>
    </row>
    <row r="448" spans="1:10" ht="79.8" x14ac:dyDescent="0.3">
      <c r="A448" s="148"/>
      <c r="B448" s="70"/>
      <c r="C448" s="16" t="s">
        <v>109</v>
      </c>
      <c r="D448" s="16" t="s">
        <v>93</v>
      </c>
      <c r="E448" s="21" t="s">
        <v>79</v>
      </c>
      <c r="F448" s="35"/>
      <c r="G448" s="64" t="s">
        <v>607</v>
      </c>
      <c r="H448" s="62">
        <f t="shared" si="83"/>
        <v>150863.9</v>
      </c>
      <c r="I448" s="62">
        <f t="shared" si="83"/>
        <v>150863.9</v>
      </c>
      <c r="J448" s="62">
        <f t="shared" si="76"/>
        <v>100</v>
      </c>
    </row>
    <row r="449" spans="1:10" ht="28.5" customHeight="1" x14ac:dyDescent="0.3">
      <c r="A449" s="148"/>
      <c r="B449" s="70"/>
      <c r="C449" s="16" t="s">
        <v>109</v>
      </c>
      <c r="D449" s="16" t="s">
        <v>93</v>
      </c>
      <c r="E449" s="52" t="s">
        <v>80</v>
      </c>
      <c r="F449" s="35"/>
      <c r="G449" s="46" t="s">
        <v>608</v>
      </c>
      <c r="H449" s="58">
        <f>H450+H459</f>
        <v>150863.9</v>
      </c>
      <c r="I449" s="58">
        <f>I450+I459</f>
        <v>150863.9</v>
      </c>
      <c r="J449" s="58">
        <f t="shared" si="76"/>
        <v>100</v>
      </c>
    </row>
    <row r="450" spans="1:10" ht="53.4" x14ac:dyDescent="0.3">
      <c r="A450" s="148"/>
      <c r="B450" s="70"/>
      <c r="C450" s="56" t="s">
        <v>109</v>
      </c>
      <c r="D450" s="56" t="s">
        <v>93</v>
      </c>
      <c r="E450" s="21" t="s">
        <v>347</v>
      </c>
      <c r="F450" s="35"/>
      <c r="G450" s="99" t="s">
        <v>763</v>
      </c>
      <c r="H450" s="96">
        <f>H451+H453+H455+H457</f>
        <v>150448.9</v>
      </c>
      <c r="I450" s="96">
        <f>I451+I453+I455+I457</f>
        <v>150448.9</v>
      </c>
      <c r="J450" s="96">
        <f t="shared" si="76"/>
        <v>100</v>
      </c>
    </row>
    <row r="451" spans="1:10" ht="52.8" x14ac:dyDescent="0.25">
      <c r="A451" s="148"/>
      <c r="B451" s="70"/>
      <c r="C451" s="56" t="s">
        <v>109</v>
      </c>
      <c r="D451" s="56" t="s">
        <v>93</v>
      </c>
      <c r="E451" s="21" t="s">
        <v>609</v>
      </c>
      <c r="F451" s="21"/>
      <c r="G451" s="100" t="s">
        <v>610</v>
      </c>
      <c r="H451" s="96">
        <f>H452</f>
        <v>84139.6</v>
      </c>
      <c r="I451" s="109">
        <f t="shared" ref="I451" si="84">I452</f>
        <v>84139.6</v>
      </c>
      <c r="J451" s="96">
        <f t="shared" si="76"/>
        <v>100</v>
      </c>
    </row>
    <row r="452" spans="1:10" x14ac:dyDescent="0.25">
      <c r="A452" s="148"/>
      <c r="B452" s="70"/>
      <c r="C452" s="56" t="s">
        <v>109</v>
      </c>
      <c r="D452" s="56" t="s">
        <v>93</v>
      </c>
      <c r="E452" s="21" t="s">
        <v>609</v>
      </c>
      <c r="F452" s="21" t="s">
        <v>226</v>
      </c>
      <c r="G452" s="100" t="s">
        <v>225</v>
      </c>
      <c r="H452" s="197">
        <f>79437.3+4702.3</f>
        <v>84139.6</v>
      </c>
      <c r="I452" s="197">
        <f>79437.3+4702.3</f>
        <v>84139.6</v>
      </c>
      <c r="J452" s="96">
        <f t="shared" si="76"/>
        <v>100</v>
      </c>
    </row>
    <row r="453" spans="1:10" ht="79.2" x14ac:dyDescent="0.25">
      <c r="A453" s="148"/>
      <c r="B453" s="70"/>
      <c r="C453" s="56" t="s">
        <v>109</v>
      </c>
      <c r="D453" s="56" t="s">
        <v>93</v>
      </c>
      <c r="E453" s="207" t="s">
        <v>611</v>
      </c>
      <c r="F453" s="21"/>
      <c r="G453" s="100" t="s">
        <v>612</v>
      </c>
      <c r="H453" s="96">
        <f>H454</f>
        <v>65418.399999999994</v>
      </c>
      <c r="I453" s="109">
        <f t="shared" ref="I453" si="85">I454</f>
        <v>65418.399999999994</v>
      </c>
      <c r="J453" s="96">
        <f t="shared" si="76"/>
        <v>100</v>
      </c>
    </row>
    <row r="454" spans="1:10" ht="13.8" x14ac:dyDescent="0.25">
      <c r="A454" s="148"/>
      <c r="B454" s="70"/>
      <c r="C454" s="56" t="s">
        <v>109</v>
      </c>
      <c r="D454" s="56" t="s">
        <v>93</v>
      </c>
      <c r="E454" s="207" t="s">
        <v>611</v>
      </c>
      <c r="F454" s="21" t="s">
        <v>226</v>
      </c>
      <c r="G454" s="100" t="s">
        <v>225</v>
      </c>
      <c r="H454" s="161">
        <f>65069.6-432+23.2-16.3+402.8+363.7+7.4</f>
        <v>65418.399999999994</v>
      </c>
      <c r="I454" s="161">
        <f>65069.6-432+23.2-16.3+402.8+363.7+7.4</f>
        <v>65418.399999999994</v>
      </c>
      <c r="J454" s="96">
        <f t="shared" si="76"/>
        <v>100</v>
      </c>
    </row>
    <row r="455" spans="1:10" ht="50.25" customHeight="1" x14ac:dyDescent="0.25">
      <c r="A455" s="148"/>
      <c r="B455" s="70"/>
      <c r="C455" s="56" t="s">
        <v>109</v>
      </c>
      <c r="D455" s="56" t="s">
        <v>93</v>
      </c>
      <c r="E455" s="208" t="s">
        <v>613</v>
      </c>
      <c r="F455" s="21"/>
      <c r="G455" s="100" t="s">
        <v>614</v>
      </c>
      <c r="H455" s="96">
        <f>H456</f>
        <v>882</v>
      </c>
      <c r="I455" s="96">
        <f>I456</f>
        <v>882</v>
      </c>
      <c r="J455" s="96">
        <f t="shared" si="76"/>
        <v>100</v>
      </c>
    </row>
    <row r="456" spans="1:10" ht="13.8" x14ac:dyDescent="0.25">
      <c r="A456" s="148"/>
      <c r="B456" s="70"/>
      <c r="C456" s="56" t="s">
        <v>109</v>
      </c>
      <c r="D456" s="56" t="s">
        <v>93</v>
      </c>
      <c r="E456" s="209" t="s">
        <v>613</v>
      </c>
      <c r="F456" s="21" t="s">
        <v>226</v>
      </c>
      <c r="G456" s="100" t="s">
        <v>225</v>
      </c>
      <c r="H456" s="158">
        <f>874.7+7.3</f>
        <v>882</v>
      </c>
      <c r="I456" s="158">
        <f>874.7+7.3</f>
        <v>882</v>
      </c>
      <c r="J456" s="96">
        <f t="shared" si="76"/>
        <v>100</v>
      </c>
    </row>
    <row r="457" spans="1:10" ht="63.75" customHeight="1" x14ac:dyDescent="0.25">
      <c r="A457" s="148"/>
      <c r="B457" s="70"/>
      <c r="C457" s="56" t="s">
        <v>109</v>
      </c>
      <c r="D457" s="56" t="s">
        <v>93</v>
      </c>
      <c r="E457" s="208" t="s">
        <v>615</v>
      </c>
      <c r="F457" s="21"/>
      <c r="G457" s="125" t="s">
        <v>616</v>
      </c>
      <c r="H457" s="96">
        <f>H458</f>
        <v>8.9</v>
      </c>
      <c r="I457" s="96">
        <f>I458</f>
        <v>8.9</v>
      </c>
      <c r="J457" s="96">
        <f t="shared" si="76"/>
        <v>100</v>
      </c>
    </row>
    <row r="458" spans="1:10" ht="13.8" x14ac:dyDescent="0.25">
      <c r="A458" s="148"/>
      <c r="B458" s="70"/>
      <c r="C458" s="56" t="s">
        <v>109</v>
      </c>
      <c r="D458" s="56" t="s">
        <v>93</v>
      </c>
      <c r="E458" s="208" t="s">
        <v>615</v>
      </c>
      <c r="F458" s="21" t="s">
        <v>226</v>
      </c>
      <c r="G458" s="100" t="s">
        <v>225</v>
      </c>
      <c r="H458" s="197">
        <f>16.3-7.4</f>
        <v>8.9</v>
      </c>
      <c r="I458" s="197">
        <f>16.3-7.4</f>
        <v>8.9</v>
      </c>
      <c r="J458" s="96">
        <f t="shared" si="76"/>
        <v>100</v>
      </c>
    </row>
    <row r="459" spans="1:10" ht="40.200000000000003" x14ac:dyDescent="0.3">
      <c r="A459" s="148"/>
      <c r="B459" s="70"/>
      <c r="C459" s="56" t="s">
        <v>109</v>
      </c>
      <c r="D459" s="56" t="s">
        <v>93</v>
      </c>
      <c r="E459" s="21" t="s">
        <v>287</v>
      </c>
      <c r="F459" s="35"/>
      <c r="G459" s="99" t="s">
        <v>764</v>
      </c>
      <c r="H459" s="96">
        <f>H460+H462</f>
        <v>415</v>
      </c>
      <c r="I459" s="96">
        <f>I460+I462</f>
        <v>415</v>
      </c>
      <c r="J459" s="96">
        <f t="shared" si="76"/>
        <v>100</v>
      </c>
    </row>
    <row r="460" spans="1:10" ht="52.8" x14ac:dyDescent="0.25">
      <c r="A460" s="148"/>
      <c r="B460" s="70"/>
      <c r="C460" s="56" t="s">
        <v>109</v>
      </c>
      <c r="D460" s="56" t="s">
        <v>93</v>
      </c>
      <c r="E460" s="21" t="s">
        <v>617</v>
      </c>
      <c r="F460" s="57"/>
      <c r="G460" s="116" t="s">
        <v>415</v>
      </c>
      <c r="H460" s="96">
        <f>H461</f>
        <v>300</v>
      </c>
      <c r="I460" s="96">
        <f>I461</f>
        <v>300</v>
      </c>
      <c r="J460" s="96">
        <f t="shared" si="76"/>
        <v>100</v>
      </c>
    </row>
    <row r="461" spans="1:10" x14ac:dyDescent="0.25">
      <c r="A461" s="148"/>
      <c r="B461" s="70"/>
      <c r="C461" s="56" t="s">
        <v>109</v>
      </c>
      <c r="D461" s="56" t="s">
        <v>93</v>
      </c>
      <c r="E461" s="21" t="s">
        <v>617</v>
      </c>
      <c r="F461" s="21" t="s">
        <v>226</v>
      </c>
      <c r="G461" s="100" t="s">
        <v>225</v>
      </c>
      <c r="H461" s="96">
        <v>300</v>
      </c>
      <c r="I461" s="96">
        <v>300</v>
      </c>
      <c r="J461" s="96">
        <f t="shared" si="76"/>
        <v>100</v>
      </c>
    </row>
    <row r="462" spans="1:10" ht="66" x14ac:dyDescent="0.25">
      <c r="A462" s="148"/>
      <c r="B462" s="70"/>
      <c r="C462" s="56" t="s">
        <v>109</v>
      </c>
      <c r="D462" s="56" t="s">
        <v>93</v>
      </c>
      <c r="E462" s="57" t="s">
        <v>618</v>
      </c>
      <c r="F462" s="21"/>
      <c r="G462" s="100" t="s">
        <v>387</v>
      </c>
      <c r="H462" s="96">
        <f>H463</f>
        <v>115</v>
      </c>
      <c r="I462" s="96">
        <f>I463</f>
        <v>115</v>
      </c>
      <c r="J462" s="96">
        <f t="shared" si="76"/>
        <v>100</v>
      </c>
    </row>
    <row r="463" spans="1:10" ht="18.75" customHeight="1" x14ac:dyDescent="0.25">
      <c r="A463" s="148"/>
      <c r="B463" s="70"/>
      <c r="C463" s="56" t="s">
        <v>109</v>
      </c>
      <c r="D463" s="56" t="s">
        <v>93</v>
      </c>
      <c r="E463" s="57" t="s">
        <v>618</v>
      </c>
      <c r="F463" s="21" t="s">
        <v>226</v>
      </c>
      <c r="G463" s="100" t="s">
        <v>225</v>
      </c>
      <c r="H463" s="96">
        <v>115</v>
      </c>
      <c r="I463" s="96">
        <v>115</v>
      </c>
      <c r="J463" s="96">
        <f t="shared" si="76"/>
        <v>100</v>
      </c>
    </row>
    <row r="464" spans="1:10" ht="14.4" x14ac:dyDescent="0.3">
      <c r="A464" s="148"/>
      <c r="B464" s="70"/>
      <c r="C464" s="35" t="s">
        <v>109</v>
      </c>
      <c r="D464" s="35" t="s">
        <v>94</v>
      </c>
      <c r="E464" s="35"/>
      <c r="F464" s="35"/>
      <c r="G464" s="45" t="s">
        <v>113</v>
      </c>
      <c r="H464" s="42">
        <f>H465</f>
        <v>354536.00000000006</v>
      </c>
      <c r="I464" s="42">
        <f>I465</f>
        <v>354191.4</v>
      </c>
      <c r="J464" s="42">
        <f t="shared" si="76"/>
        <v>99.9</v>
      </c>
    </row>
    <row r="465" spans="1:10" ht="79.8" x14ac:dyDescent="0.3">
      <c r="A465" s="148"/>
      <c r="B465" s="70"/>
      <c r="C465" s="16" t="s">
        <v>109</v>
      </c>
      <c r="D465" s="16" t="s">
        <v>94</v>
      </c>
      <c r="E465" s="21" t="s">
        <v>79</v>
      </c>
      <c r="F465" s="35"/>
      <c r="G465" s="64" t="s">
        <v>607</v>
      </c>
      <c r="H465" s="65">
        <f t="shared" ref="H465:I465" si="86">H466</f>
        <v>354536.00000000006</v>
      </c>
      <c r="I465" s="65">
        <f t="shared" si="86"/>
        <v>354191.4</v>
      </c>
      <c r="J465" s="62">
        <f t="shared" si="76"/>
        <v>99.9</v>
      </c>
    </row>
    <row r="466" spans="1:10" ht="39.6" x14ac:dyDescent="0.25">
      <c r="A466" s="148"/>
      <c r="B466" s="70"/>
      <c r="C466" s="47" t="s">
        <v>109</v>
      </c>
      <c r="D466" s="47" t="s">
        <v>94</v>
      </c>
      <c r="E466" s="52" t="s">
        <v>81</v>
      </c>
      <c r="F466" s="21"/>
      <c r="G466" s="46" t="s">
        <v>619</v>
      </c>
      <c r="H466" s="96">
        <f>H467+H478+H487+H494+H499</f>
        <v>354536.00000000006</v>
      </c>
      <c r="I466" s="96">
        <f>I467+I478+I487+I494+I499</f>
        <v>354191.4</v>
      </c>
      <c r="J466" s="58">
        <f t="shared" si="76"/>
        <v>99.9</v>
      </c>
    </row>
    <row r="467" spans="1:10" ht="52.5" customHeight="1" x14ac:dyDescent="0.3">
      <c r="A467" s="148"/>
      <c r="B467" s="70"/>
      <c r="C467" s="56" t="s">
        <v>109</v>
      </c>
      <c r="D467" s="91" t="s">
        <v>94</v>
      </c>
      <c r="E467" s="21" t="s">
        <v>292</v>
      </c>
      <c r="F467" s="35"/>
      <c r="G467" s="99" t="s">
        <v>765</v>
      </c>
      <c r="H467" s="96">
        <f>H468+H470+H472+H474+H476</f>
        <v>307341.60000000003</v>
      </c>
      <c r="I467" s="96">
        <f>I468+I470+I472+I474+I476</f>
        <v>307341.60000000003</v>
      </c>
      <c r="J467" s="96">
        <f t="shared" si="76"/>
        <v>100</v>
      </c>
    </row>
    <row r="468" spans="1:10" ht="79.2" x14ac:dyDescent="0.25">
      <c r="A468" s="148"/>
      <c r="B468" s="70"/>
      <c r="C468" s="56" t="s">
        <v>109</v>
      </c>
      <c r="D468" s="91" t="s">
        <v>94</v>
      </c>
      <c r="E468" s="83" t="s">
        <v>620</v>
      </c>
      <c r="F468" s="84"/>
      <c r="G468" s="100" t="s">
        <v>621</v>
      </c>
      <c r="H468" s="96">
        <f>H469</f>
        <v>214831.2</v>
      </c>
      <c r="I468" s="96">
        <f>I469</f>
        <v>214831.2</v>
      </c>
      <c r="J468" s="96">
        <f t="shared" si="76"/>
        <v>100</v>
      </c>
    </row>
    <row r="469" spans="1:10" x14ac:dyDescent="0.25">
      <c r="A469" s="148"/>
      <c r="B469" s="70"/>
      <c r="C469" s="56" t="s">
        <v>109</v>
      </c>
      <c r="D469" s="91" t="s">
        <v>94</v>
      </c>
      <c r="E469" s="57" t="s">
        <v>620</v>
      </c>
      <c r="F469" s="21" t="s">
        <v>226</v>
      </c>
      <c r="G469" s="100" t="s">
        <v>225</v>
      </c>
      <c r="H469" s="158">
        <f>210061.5-147.4+4917.1</f>
        <v>214831.2</v>
      </c>
      <c r="I469" s="158">
        <f>210061.5-147.4+4917.1</f>
        <v>214831.2</v>
      </c>
      <c r="J469" s="96">
        <f t="shared" si="76"/>
        <v>100</v>
      </c>
    </row>
    <row r="470" spans="1:10" ht="66" x14ac:dyDescent="0.25">
      <c r="A470" s="148"/>
      <c r="B470" s="70"/>
      <c r="C470" s="16" t="s">
        <v>109</v>
      </c>
      <c r="D470" s="16" t="s">
        <v>94</v>
      </c>
      <c r="E470" s="57" t="s">
        <v>622</v>
      </c>
      <c r="F470" s="21"/>
      <c r="G470" s="100" t="s">
        <v>291</v>
      </c>
      <c r="H470" s="96">
        <f>H471</f>
        <v>76153.700000000012</v>
      </c>
      <c r="I470" s="96">
        <f>I471</f>
        <v>76153.700000000012</v>
      </c>
      <c r="J470" s="96">
        <f t="shared" si="76"/>
        <v>100</v>
      </c>
    </row>
    <row r="471" spans="1:10" x14ac:dyDescent="0.25">
      <c r="A471" s="148"/>
      <c r="B471" s="70"/>
      <c r="C471" s="56" t="s">
        <v>109</v>
      </c>
      <c r="D471" s="91" t="s">
        <v>94</v>
      </c>
      <c r="E471" s="57" t="s">
        <v>622</v>
      </c>
      <c r="F471" s="21" t="s">
        <v>226</v>
      </c>
      <c r="G471" s="100" t="s">
        <v>225</v>
      </c>
      <c r="H471" s="161">
        <f>76437.5-496+281.2+149.5+452-10.9-402.8-261.9+5.1</f>
        <v>76153.700000000012</v>
      </c>
      <c r="I471" s="161">
        <f>76437.5-496+281.2+149.5+452-10.9-402.8-261.9+5.1</f>
        <v>76153.700000000012</v>
      </c>
      <c r="J471" s="96">
        <f t="shared" si="76"/>
        <v>100</v>
      </c>
    </row>
    <row r="472" spans="1:10" ht="66" x14ac:dyDescent="0.25">
      <c r="A472" s="148"/>
      <c r="B472" s="70"/>
      <c r="C472" s="56" t="s">
        <v>109</v>
      </c>
      <c r="D472" s="91" t="s">
        <v>94</v>
      </c>
      <c r="E472" s="57" t="s">
        <v>623</v>
      </c>
      <c r="F472" s="21"/>
      <c r="G472" s="100" t="s">
        <v>624</v>
      </c>
      <c r="H472" s="96">
        <f>H473</f>
        <v>15780.2</v>
      </c>
      <c r="I472" s="96">
        <f>I473</f>
        <v>15780.2</v>
      </c>
      <c r="J472" s="96">
        <f t="shared" si="76"/>
        <v>100</v>
      </c>
    </row>
    <row r="473" spans="1:10" x14ac:dyDescent="0.25">
      <c r="A473" s="148"/>
      <c r="B473" s="70"/>
      <c r="C473" s="16" t="s">
        <v>109</v>
      </c>
      <c r="D473" s="16" t="s">
        <v>94</v>
      </c>
      <c r="E473" s="21" t="s">
        <v>623</v>
      </c>
      <c r="F473" s="21" t="s">
        <v>226</v>
      </c>
      <c r="G473" s="100" t="s">
        <v>225</v>
      </c>
      <c r="H473" s="197">
        <v>15780.2</v>
      </c>
      <c r="I473" s="197">
        <v>15780.2</v>
      </c>
      <c r="J473" s="96">
        <f t="shared" si="76"/>
        <v>100</v>
      </c>
    </row>
    <row r="474" spans="1:10" ht="52.8" x14ac:dyDescent="0.25">
      <c r="A474" s="148"/>
      <c r="B474" s="70"/>
      <c r="C474" s="56" t="s">
        <v>109</v>
      </c>
      <c r="D474" s="91" t="s">
        <v>94</v>
      </c>
      <c r="E474" s="208" t="s">
        <v>625</v>
      </c>
      <c r="F474" s="21"/>
      <c r="G474" s="125" t="s">
        <v>626</v>
      </c>
      <c r="H474" s="158">
        <f>H475</f>
        <v>570.70000000000005</v>
      </c>
      <c r="I474" s="158">
        <f>I475</f>
        <v>570.70000000000005</v>
      </c>
      <c r="J474" s="96">
        <f t="shared" si="76"/>
        <v>100</v>
      </c>
    </row>
    <row r="475" spans="1:10" ht="13.8" x14ac:dyDescent="0.25">
      <c r="A475" s="148"/>
      <c r="B475" s="70"/>
      <c r="C475" s="16" t="s">
        <v>109</v>
      </c>
      <c r="D475" s="16" t="s">
        <v>94</v>
      </c>
      <c r="E475" s="208" t="s">
        <v>625</v>
      </c>
      <c r="F475" s="21" t="s">
        <v>226</v>
      </c>
      <c r="G475" s="100" t="s">
        <v>225</v>
      </c>
      <c r="H475" s="197">
        <f>580.5-9.8</f>
        <v>570.70000000000005</v>
      </c>
      <c r="I475" s="197">
        <f>580.5-9.8</f>
        <v>570.70000000000005</v>
      </c>
      <c r="J475" s="96">
        <f t="shared" si="76"/>
        <v>100</v>
      </c>
    </row>
    <row r="476" spans="1:10" ht="66" x14ac:dyDescent="0.25">
      <c r="A476" s="148"/>
      <c r="B476" s="70"/>
      <c r="C476" s="56" t="s">
        <v>109</v>
      </c>
      <c r="D476" s="91" t="s">
        <v>94</v>
      </c>
      <c r="E476" s="208" t="s">
        <v>627</v>
      </c>
      <c r="F476" s="21"/>
      <c r="G476" s="125" t="s">
        <v>628</v>
      </c>
      <c r="H476" s="197">
        <f>H477</f>
        <v>5.8000000000000007</v>
      </c>
      <c r="I476" s="197">
        <f>I477</f>
        <v>5.8000000000000007</v>
      </c>
      <c r="J476" s="96">
        <f t="shared" si="76"/>
        <v>100</v>
      </c>
    </row>
    <row r="477" spans="1:10" ht="13.8" x14ac:dyDescent="0.25">
      <c r="A477" s="148"/>
      <c r="B477" s="70"/>
      <c r="C477" s="56" t="s">
        <v>109</v>
      </c>
      <c r="D477" s="91" t="s">
        <v>94</v>
      </c>
      <c r="E477" s="208" t="s">
        <v>627</v>
      </c>
      <c r="F477" s="21" t="s">
        <v>226</v>
      </c>
      <c r="G477" s="100" t="s">
        <v>225</v>
      </c>
      <c r="H477" s="197">
        <f>10.9-5.1</f>
        <v>5.8000000000000007</v>
      </c>
      <c r="I477" s="197">
        <f>10.9-5.1</f>
        <v>5.8000000000000007</v>
      </c>
      <c r="J477" s="96">
        <f t="shared" si="76"/>
        <v>100</v>
      </c>
    </row>
    <row r="478" spans="1:10" ht="39.6" x14ac:dyDescent="0.25">
      <c r="A478" s="148"/>
      <c r="B478" s="70"/>
      <c r="C478" s="16" t="s">
        <v>109</v>
      </c>
      <c r="D478" s="16" t="s">
        <v>94</v>
      </c>
      <c r="E478" s="21" t="s">
        <v>411</v>
      </c>
      <c r="F478" s="83"/>
      <c r="G478" s="99" t="s">
        <v>766</v>
      </c>
      <c r="H478" s="96">
        <f>H479+H481+H483+H485</f>
        <v>4290.2000000000007</v>
      </c>
      <c r="I478" s="96">
        <f>I479+I481+I483+I485</f>
        <v>4290.2000000000007</v>
      </c>
      <c r="J478" s="96">
        <f t="shared" si="76"/>
        <v>100</v>
      </c>
    </row>
    <row r="479" spans="1:10" ht="52.8" x14ac:dyDescent="0.25">
      <c r="A479" s="148"/>
      <c r="B479" s="70"/>
      <c r="C479" s="16" t="s">
        <v>109</v>
      </c>
      <c r="D479" s="16" t="s">
        <v>94</v>
      </c>
      <c r="E479" s="57" t="s">
        <v>629</v>
      </c>
      <c r="F479" s="21"/>
      <c r="G479" s="100" t="s">
        <v>630</v>
      </c>
      <c r="H479" s="96">
        <f>H480</f>
        <v>2953.8</v>
      </c>
      <c r="I479" s="96">
        <f>I480</f>
        <v>2953.8</v>
      </c>
      <c r="J479" s="96">
        <f t="shared" si="76"/>
        <v>100</v>
      </c>
    </row>
    <row r="480" spans="1:10" x14ac:dyDescent="0.25">
      <c r="A480" s="148"/>
      <c r="B480" s="70"/>
      <c r="C480" s="16" t="s">
        <v>109</v>
      </c>
      <c r="D480" s="16" t="s">
        <v>94</v>
      </c>
      <c r="E480" s="57" t="s">
        <v>629</v>
      </c>
      <c r="F480" s="21" t="s">
        <v>226</v>
      </c>
      <c r="G480" s="100" t="s">
        <v>225</v>
      </c>
      <c r="H480" s="96">
        <f>1491+1294.4+168.4</f>
        <v>2953.8</v>
      </c>
      <c r="I480" s="96">
        <f>1491+1294.4+168.4</f>
        <v>2953.8</v>
      </c>
      <c r="J480" s="96">
        <f t="shared" si="76"/>
        <v>100</v>
      </c>
    </row>
    <row r="481" spans="1:10" ht="64.5" customHeight="1" x14ac:dyDescent="0.25">
      <c r="A481" s="148"/>
      <c r="B481" s="70"/>
      <c r="C481" s="16" t="s">
        <v>109</v>
      </c>
      <c r="D481" s="16" t="s">
        <v>94</v>
      </c>
      <c r="E481" s="57" t="s">
        <v>631</v>
      </c>
      <c r="F481" s="57"/>
      <c r="G481" s="151" t="s">
        <v>632</v>
      </c>
      <c r="H481" s="96">
        <f>H482</f>
        <v>676.4</v>
      </c>
      <c r="I481" s="41">
        <f t="shared" ref="I481" si="87">I482</f>
        <v>676.4</v>
      </c>
      <c r="J481" s="96">
        <f t="shared" si="76"/>
        <v>100</v>
      </c>
    </row>
    <row r="482" spans="1:10" x14ac:dyDescent="0.25">
      <c r="A482" s="148"/>
      <c r="B482" s="70"/>
      <c r="C482" s="16" t="s">
        <v>109</v>
      </c>
      <c r="D482" s="16" t="s">
        <v>94</v>
      </c>
      <c r="E482" s="57" t="s">
        <v>631</v>
      </c>
      <c r="F482" s="21" t="s">
        <v>226</v>
      </c>
      <c r="G482" s="100" t="s">
        <v>225</v>
      </c>
      <c r="H482" s="96">
        <f>423.8+200+52.6</f>
        <v>676.4</v>
      </c>
      <c r="I482" s="96">
        <f>423.8+200+52.6</f>
        <v>676.4</v>
      </c>
      <c r="J482" s="96">
        <f t="shared" si="76"/>
        <v>100</v>
      </c>
    </row>
    <row r="483" spans="1:10" ht="39.6" x14ac:dyDescent="0.25">
      <c r="A483" s="148"/>
      <c r="B483" s="70"/>
      <c r="C483" s="16" t="s">
        <v>109</v>
      </c>
      <c r="D483" s="16" t="s">
        <v>94</v>
      </c>
      <c r="E483" s="57" t="s">
        <v>633</v>
      </c>
      <c r="F483" s="21"/>
      <c r="G483" s="54" t="s">
        <v>634</v>
      </c>
      <c r="H483" s="96">
        <f>H484</f>
        <v>500</v>
      </c>
      <c r="I483" s="96">
        <f>I484</f>
        <v>500</v>
      </c>
      <c r="J483" s="96">
        <f t="shared" si="76"/>
        <v>100</v>
      </c>
    </row>
    <row r="484" spans="1:10" x14ac:dyDescent="0.25">
      <c r="A484" s="148"/>
      <c r="B484" s="70"/>
      <c r="C484" s="16" t="s">
        <v>109</v>
      </c>
      <c r="D484" s="16" t="s">
        <v>94</v>
      </c>
      <c r="E484" s="57" t="s">
        <v>633</v>
      </c>
      <c r="F484" s="21" t="s">
        <v>226</v>
      </c>
      <c r="G484" s="100" t="s">
        <v>225</v>
      </c>
      <c r="H484" s="96">
        <v>500</v>
      </c>
      <c r="I484" s="96">
        <v>500</v>
      </c>
      <c r="J484" s="96">
        <f t="shared" si="76"/>
        <v>100</v>
      </c>
    </row>
    <row r="485" spans="1:10" ht="40.200000000000003" x14ac:dyDescent="0.3">
      <c r="A485" s="3"/>
      <c r="B485" s="70"/>
      <c r="C485" s="16" t="s">
        <v>109</v>
      </c>
      <c r="D485" s="16" t="s">
        <v>94</v>
      </c>
      <c r="E485" s="210" t="s">
        <v>410</v>
      </c>
      <c r="F485" s="21"/>
      <c r="G485" s="151" t="s">
        <v>635</v>
      </c>
      <c r="H485" s="96">
        <f>H486</f>
        <v>160</v>
      </c>
      <c r="I485" s="96">
        <f>I486</f>
        <v>160</v>
      </c>
      <c r="J485" s="96">
        <f t="shared" si="76"/>
        <v>100</v>
      </c>
    </row>
    <row r="486" spans="1:10" ht="15.6" x14ac:dyDescent="0.3">
      <c r="A486" s="3"/>
      <c r="B486" s="70"/>
      <c r="C486" s="16" t="s">
        <v>109</v>
      </c>
      <c r="D486" s="16" t="s">
        <v>94</v>
      </c>
      <c r="E486" s="210" t="s">
        <v>410</v>
      </c>
      <c r="F486" s="21" t="s">
        <v>226</v>
      </c>
      <c r="G486" s="100" t="s">
        <v>225</v>
      </c>
      <c r="H486" s="96">
        <v>160</v>
      </c>
      <c r="I486" s="96">
        <v>160</v>
      </c>
      <c r="J486" s="96">
        <f t="shared" si="76"/>
        <v>100</v>
      </c>
    </row>
    <row r="487" spans="1:10" ht="64.5" customHeight="1" x14ac:dyDescent="0.3">
      <c r="A487" s="3"/>
      <c r="B487" s="70"/>
      <c r="C487" s="16" t="s">
        <v>109</v>
      </c>
      <c r="D487" s="16" t="s">
        <v>94</v>
      </c>
      <c r="E487" s="21" t="s">
        <v>767</v>
      </c>
      <c r="F487" s="21"/>
      <c r="G487" s="99" t="s">
        <v>768</v>
      </c>
      <c r="H487" s="96">
        <f>H488+H490+H492</f>
        <v>20418.199999999997</v>
      </c>
      <c r="I487" s="96">
        <f>I488+I490+I492</f>
        <v>20411</v>
      </c>
      <c r="J487" s="96">
        <f t="shared" ref="J487:J488" si="88">ROUND((I487/H487*100),1)</f>
        <v>100</v>
      </c>
    </row>
    <row r="488" spans="1:10" ht="39.6" x14ac:dyDescent="0.3">
      <c r="A488" s="3"/>
      <c r="B488" s="70"/>
      <c r="C488" s="16" t="s">
        <v>109</v>
      </c>
      <c r="D488" s="16" t="s">
        <v>94</v>
      </c>
      <c r="E488" s="57" t="s">
        <v>636</v>
      </c>
      <c r="F488" s="21"/>
      <c r="G488" s="100" t="s">
        <v>316</v>
      </c>
      <c r="H488" s="96">
        <f>H489</f>
        <v>5360.4</v>
      </c>
      <c r="I488" s="96">
        <f>I489</f>
        <v>5360.4</v>
      </c>
      <c r="J488" s="96">
        <f t="shared" si="88"/>
        <v>100</v>
      </c>
    </row>
    <row r="489" spans="1:10" ht="15.6" x14ac:dyDescent="0.3">
      <c r="A489" s="3"/>
      <c r="B489" s="70"/>
      <c r="C489" s="16" t="s">
        <v>109</v>
      </c>
      <c r="D489" s="16" t="s">
        <v>94</v>
      </c>
      <c r="E489" s="57" t="s">
        <v>636</v>
      </c>
      <c r="F489" s="21" t="s">
        <v>226</v>
      </c>
      <c r="G489" s="100" t="s">
        <v>225</v>
      </c>
      <c r="H489" s="158">
        <v>5360.4</v>
      </c>
      <c r="I489" s="158">
        <v>5360.4</v>
      </c>
      <c r="J489" s="58">
        <f t="shared" ref="J489:J550" si="89">ROUND((I489/H489*100),1)</f>
        <v>100</v>
      </c>
    </row>
    <row r="490" spans="1:10" ht="79.2" x14ac:dyDescent="0.3">
      <c r="A490" s="3"/>
      <c r="B490" s="70"/>
      <c r="C490" s="16" t="s">
        <v>109</v>
      </c>
      <c r="D490" s="16" t="s">
        <v>94</v>
      </c>
      <c r="E490" s="21" t="s">
        <v>637</v>
      </c>
      <c r="F490" s="21"/>
      <c r="G490" s="100" t="s">
        <v>138</v>
      </c>
      <c r="H490" s="96">
        <f>H491</f>
        <v>14770.3</v>
      </c>
      <c r="I490" s="96">
        <f>I491</f>
        <v>14763.6</v>
      </c>
      <c r="J490" s="96">
        <f t="shared" si="89"/>
        <v>100</v>
      </c>
    </row>
    <row r="491" spans="1:10" ht="15.6" x14ac:dyDescent="0.3">
      <c r="A491" s="3"/>
      <c r="B491" s="70"/>
      <c r="C491" s="84" t="s">
        <v>109</v>
      </c>
      <c r="D491" s="16" t="s">
        <v>94</v>
      </c>
      <c r="E491" s="21" t="s">
        <v>637</v>
      </c>
      <c r="F491" s="21" t="s">
        <v>226</v>
      </c>
      <c r="G491" s="100" t="s">
        <v>225</v>
      </c>
      <c r="H491" s="96">
        <v>14770.3</v>
      </c>
      <c r="I491" s="109">
        <v>14763.6</v>
      </c>
      <c r="J491" s="96">
        <f t="shared" si="89"/>
        <v>100</v>
      </c>
    </row>
    <row r="492" spans="1:10" ht="64.5" customHeight="1" x14ac:dyDescent="0.3">
      <c r="A492" s="3"/>
      <c r="B492" s="70"/>
      <c r="C492" s="16" t="s">
        <v>109</v>
      </c>
      <c r="D492" s="16" t="s">
        <v>94</v>
      </c>
      <c r="E492" s="21" t="s">
        <v>638</v>
      </c>
      <c r="F492" s="21"/>
      <c r="G492" s="100" t="s">
        <v>639</v>
      </c>
      <c r="H492" s="96">
        <f>H493</f>
        <v>287.5</v>
      </c>
      <c r="I492" s="96">
        <f>I493</f>
        <v>287</v>
      </c>
      <c r="J492" s="96">
        <f t="shared" si="89"/>
        <v>99.8</v>
      </c>
    </row>
    <row r="493" spans="1:10" ht="18.75" customHeight="1" x14ac:dyDescent="0.3">
      <c r="A493" s="3"/>
      <c r="B493" s="70"/>
      <c r="C493" s="16" t="s">
        <v>109</v>
      </c>
      <c r="D493" s="16" t="s">
        <v>94</v>
      </c>
      <c r="E493" s="21" t="s">
        <v>638</v>
      </c>
      <c r="F493" s="21" t="s">
        <v>226</v>
      </c>
      <c r="G493" s="100" t="s">
        <v>225</v>
      </c>
      <c r="H493" s="41">
        <f>497-78-131.5</f>
        <v>287.5</v>
      </c>
      <c r="I493" s="96">
        <v>287</v>
      </c>
      <c r="J493" s="96">
        <f t="shared" si="89"/>
        <v>99.8</v>
      </c>
    </row>
    <row r="494" spans="1:10" ht="53.4" x14ac:dyDescent="0.3">
      <c r="A494" s="3"/>
      <c r="B494" s="70"/>
      <c r="C494" s="84" t="s">
        <v>109</v>
      </c>
      <c r="D494" s="84" t="s">
        <v>94</v>
      </c>
      <c r="E494" s="21" t="s">
        <v>769</v>
      </c>
      <c r="F494" s="21"/>
      <c r="G494" s="99" t="s">
        <v>770</v>
      </c>
      <c r="H494" s="41">
        <f>H495+H497</f>
        <v>21816</v>
      </c>
      <c r="I494" s="41">
        <f>I495+I497</f>
        <v>21478.600000000002</v>
      </c>
      <c r="J494" s="96">
        <f t="shared" si="89"/>
        <v>98.5</v>
      </c>
    </row>
    <row r="495" spans="1:10" ht="66" x14ac:dyDescent="0.3">
      <c r="A495" s="3"/>
      <c r="B495" s="70"/>
      <c r="C495" s="16" t="s">
        <v>109</v>
      </c>
      <c r="D495" s="16" t="s">
        <v>94</v>
      </c>
      <c r="E495" s="21" t="s">
        <v>640</v>
      </c>
      <c r="F495" s="84"/>
      <c r="G495" s="55" t="s">
        <v>391</v>
      </c>
      <c r="H495" s="41">
        <f>H496</f>
        <v>18083.2</v>
      </c>
      <c r="I495" s="41">
        <f>I496</f>
        <v>18083.2</v>
      </c>
      <c r="J495" s="96">
        <f t="shared" si="89"/>
        <v>100</v>
      </c>
    </row>
    <row r="496" spans="1:10" ht="15.6" x14ac:dyDescent="0.3">
      <c r="A496" s="3"/>
      <c r="B496" s="70"/>
      <c r="C496" s="16" t="s">
        <v>109</v>
      </c>
      <c r="D496" s="16" t="s">
        <v>94</v>
      </c>
      <c r="E496" s="21" t="s">
        <v>640</v>
      </c>
      <c r="F496" s="21" t="s">
        <v>226</v>
      </c>
      <c r="G496" s="100" t="s">
        <v>225</v>
      </c>
      <c r="H496" s="197">
        <v>18083.2</v>
      </c>
      <c r="I496" s="197">
        <v>18083.2</v>
      </c>
      <c r="J496" s="96">
        <f t="shared" si="89"/>
        <v>100</v>
      </c>
    </row>
    <row r="497" spans="1:10" ht="66" x14ac:dyDescent="0.3">
      <c r="A497" s="3"/>
      <c r="B497" s="70"/>
      <c r="C497" s="16" t="s">
        <v>109</v>
      </c>
      <c r="D497" s="16" t="s">
        <v>94</v>
      </c>
      <c r="E497" s="57" t="s">
        <v>641</v>
      </c>
      <c r="F497" s="16"/>
      <c r="G497" s="100" t="s">
        <v>642</v>
      </c>
      <c r="H497" s="41">
        <f>H498</f>
        <v>3732.8</v>
      </c>
      <c r="I497" s="41">
        <f>I498</f>
        <v>3395.4</v>
      </c>
      <c r="J497" s="96">
        <f t="shared" si="89"/>
        <v>91</v>
      </c>
    </row>
    <row r="498" spans="1:10" ht="15.6" x14ac:dyDescent="0.3">
      <c r="A498" s="3"/>
      <c r="B498" s="70"/>
      <c r="C498" s="16" t="s">
        <v>109</v>
      </c>
      <c r="D498" s="16" t="s">
        <v>94</v>
      </c>
      <c r="E498" s="57" t="s">
        <v>641</v>
      </c>
      <c r="F498" s="21" t="s">
        <v>226</v>
      </c>
      <c r="G498" s="100" t="s">
        <v>225</v>
      </c>
      <c r="H498" s="41">
        <f>4063-330.2</f>
        <v>3732.8</v>
      </c>
      <c r="I498" s="41">
        <v>3395.4</v>
      </c>
      <c r="J498" s="96">
        <f t="shared" si="89"/>
        <v>91</v>
      </c>
    </row>
    <row r="499" spans="1:10" ht="39.6" x14ac:dyDescent="0.3">
      <c r="A499" s="3"/>
      <c r="B499" s="70"/>
      <c r="C499" s="16" t="s">
        <v>109</v>
      </c>
      <c r="D499" s="16" t="s">
        <v>94</v>
      </c>
      <c r="E499" s="57" t="s">
        <v>771</v>
      </c>
      <c r="F499" s="21"/>
      <c r="G499" s="153" t="s">
        <v>772</v>
      </c>
      <c r="H499" s="41">
        <f>H500+H502</f>
        <v>670</v>
      </c>
      <c r="I499" s="41">
        <f>I500+I502</f>
        <v>670</v>
      </c>
      <c r="J499" s="96">
        <f t="shared" si="89"/>
        <v>100</v>
      </c>
    </row>
    <row r="500" spans="1:10" ht="40.200000000000003" x14ac:dyDescent="0.3">
      <c r="A500" s="3"/>
      <c r="B500" s="70"/>
      <c r="C500" s="16" t="s">
        <v>109</v>
      </c>
      <c r="D500" s="16" t="s">
        <v>94</v>
      </c>
      <c r="E500" s="57" t="s">
        <v>643</v>
      </c>
      <c r="F500" s="21"/>
      <c r="G500" s="99" t="s">
        <v>644</v>
      </c>
      <c r="H500" s="41">
        <f>H501</f>
        <v>247</v>
      </c>
      <c r="I500" s="41">
        <f>I501</f>
        <v>247</v>
      </c>
      <c r="J500" s="96">
        <f t="shared" si="89"/>
        <v>100</v>
      </c>
    </row>
    <row r="501" spans="1:10" x14ac:dyDescent="0.25">
      <c r="A501" s="148"/>
      <c r="B501" s="70"/>
      <c r="C501" s="16" t="s">
        <v>109</v>
      </c>
      <c r="D501" s="16" t="s">
        <v>94</v>
      </c>
      <c r="E501" s="57" t="s">
        <v>643</v>
      </c>
      <c r="F501" s="21" t="s">
        <v>226</v>
      </c>
      <c r="G501" s="100" t="s">
        <v>225</v>
      </c>
      <c r="H501" s="41">
        <v>247</v>
      </c>
      <c r="I501" s="41">
        <v>247</v>
      </c>
      <c r="J501" s="96">
        <f t="shared" si="89"/>
        <v>100</v>
      </c>
    </row>
    <row r="502" spans="1:10" ht="39.6" x14ac:dyDescent="0.25">
      <c r="A502" s="148"/>
      <c r="B502" s="70"/>
      <c r="C502" s="16" t="s">
        <v>109</v>
      </c>
      <c r="D502" s="16" t="s">
        <v>94</v>
      </c>
      <c r="E502" s="57" t="s">
        <v>645</v>
      </c>
      <c r="F502" s="21"/>
      <c r="G502" s="99" t="s">
        <v>644</v>
      </c>
      <c r="H502" s="41">
        <f>H503</f>
        <v>423</v>
      </c>
      <c r="I502" s="41">
        <f>I503</f>
        <v>423</v>
      </c>
      <c r="J502" s="96">
        <f t="shared" si="89"/>
        <v>100</v>
      </c>
    </row>
    <row r="503" spans="1:10" ht="19.5" customHeight="1" x14ac:dyDescent="0.25">
      <c r="A503" s="148"/>
      <c r="B503" s="70"/>
      <c r="C503" s="16" t="s">
        <v>109</v>
      </c>
      <c r="D503" s="16" t="s">
        <v>94</v>
      </c>
      <c r="E503" s="57" t="s">
        <v>645</v>
      </c>
      <c r="F503" s="21" t="s">
        <v>226</v>
      </c>
      <c r="G503" s="100" t="s">
        <v>225</v>
      </c>
      <c r="H503" s="41">
        <v>423</v>
      </c>
      <c r="I503" s="41">
        <v>423</v>
      </c>
      <c r="J503" s="58">
        <f t="shared" si="89"/>
        <v>100</v>
      </c>
    </row>
    <row r="504" spans="1:10" ht="15.6" x14ac:dyDescent="0.3">
      <c r="A504" s="3"/>
      <c r="B504" s="70"/>
      <c r="C504" s="35" t="s">
        <v>109</v>
      </c>
      <c r="D504" s="35" t="s">
        <v>98</v>
      </c>
      <c r="E504" s="35"/>
      <c r="F504" s="35"/>
      <c r="G504" s="46" t="s">
        <v>157</v>
      </c>
      <c r="H504" s="42">
        <f>H505+H538</f>
        <v>44379.400000000009</v>
      </c>
      <c r="I504" s="42">
        <f>I505+I538</f>
        <v>44317.100000000013</v>
      </c>
      <c r="J504" s="42">
        <f t="shared" si="89"/>
        <v>99.9</v>
      </c>
    </row>
    <row r="505" spans="1:10" ht="79.8" x14ac:dyDescent="0.3">
      <c r="A505" s="3"/>
      <c r="B505" s="70"/>
      <c r="C505" s="5" t="s">
        <v>109</v>
      </c>
      <c r="D505" s="5" t="s">
        <v>98</v>
      </c>
      <c r="E505" s="73" t="s">
        <v>79</v>
      </c>
      <c r="F505" s="21"/>
      <c r="G505" s="64" t="s">
        <v>607</v>
      </c>
      <c r="H505" s="62">
        <f>H506+H534</f>
        <v>44079.400000000009</v>
      </c>
      <c r="I505" s="62">
        <f>I506+I534</f>
        <v>44017.100000000013</v>
      </c>
      <c r="J505" s="62">
        <f t="shared" si="89"/>
        <v>99.9</v>
      </c>
    </row>
    <row r="506" spans="1:10" ht="40.200000000000003" x14ac:dyDescent="0.3">
      <c r="A506" s="3"/>
      <c r="B506" s="70"/>
      <c r="C506" s="16" t="s">
        <v>109</v>
      </c>
      <c r="D506" s="84" t="s">
        <v>98</v>
      </c>
      <c r="E506" s="52" t="s">
        <v>646</v>
      </c>
      <c r="F506" s="35"/>
      <c r="G506" s="46" t="s">
        <v>647</v>
      </c>
      <c r="H506" s="96">
        <f>H507+H520+H525</f>
        <v>44029.400000000009</v>
      </c>
      <c r="I506" s="96">
        <f>I507+I520+I525</f>
        <v>43967.100000000013</v>
      </c>
      <c r="J506" s="58">
        <f t="shared" si="89"/>
        <v>99.9</v>
      </c>
    </row>
    <row r="507" spans="1:10" ht="53.4" x14ac:dyDescent="0.3">
      <c r="A507" s="3"/>
      <c r="B507" s="70"/>
      <c r="C507" s="16" t="s">
        <v>109</v>
      </c>
      <c r="D507" s="84" t="s">
        <v>98</v>
      </c>
      <c r="E507" s="21" t="s">
        <v>773</v>
      </c>
      <c r="F507" s="21"/>
      <c r="G507" s="99" t="s">
        <v>774</v>
      </c>
      <c r="H507" s="41">
        <f>H508+H510+H512+H514+H516+H518</f>
        <v>42105.500000000007</v>
      </c>
      <c r="I507" s="41">
        <f>I508+I510+I512+I514+I516+I518</f>
        <v>42105.500000000007</v>
      </c>
      <c r="J507" s="96">
        <f t="shared" si="89"/>
        <v>100</v>
      </c>
    </row>
    <row r="508" spans="1:10" ht="79.2" x14ac:dyDescent="0.3">
      <c r="A508" s="3"/>
      <c r="B508" s="70"/>
      <c r="C508" s="16" t="s">
        <v>109</v>
      </c>
      <c r="D508" s="84" t="s">
        <v>98</v>
      </c>
      <c r="E508" s="57" t="s">
        <v>648</v>
      </c>
      <c r="F508" s="16"/>
      <c r="G508" s="100" t="s">
        <v>649</v>
      </c>
      <c r="H508" s="96">
        <f>H509</f>
        <v>31117.900000000005</v>
      </c>
      <c r="I508" s="96">
        <f>I509</f>
        <v>31117.900000000005</v>
      </c>
      <c r="J508" s="96">
        <f t="shared" si="89"/>
        <v>100</v>
      </c>
    </row>
    <row r="509" spans="1:10" ht="15.6" x14ac:dyDescent="0.3">
      <c r="A509" s="3"/>
      <c r="B509" s="70"/>
      <c r="C509" s="16" t="s">
        <v>109</v>
      </c>
      <c r="D509" s="84" t="s">
        <v>98</v>
      </c>
      <c r="E509" s="57" t="s">
        <v>648</v>
      </c>
      <c r="F509" s="21" t="s">
        <v>226</v>
      </c>
      <c r="G509" s="100" t="s">
        <v>225</v>
      </c>
      <c r="H509" s="96">
        <f>32611.3-72+140.7-4583.6-20.6-4.3+344.8+1.9+83.2+2616.5</f>
        <v>31117.900000000005</v>
      </c>
      <c r="I509" s="96">
        <f>32611.3-72+140.7-4583.6-20.6-4.3+344.8+1.9+83.2+2616.5</f>
        <v>31117.900000000005</v>
      </c>
      <c r="J509" s="96">
        <f t="shared" si="89"/>
        <v>100</v>
      </c>
    </row>
    <row r="510" spans="1:10" ht="38.25" customHeight="1" x14ac:dyDescent="0.25">
      <c r="A510" s="148"/>
      <c r="B510" s="70"/>
      <c r="C510" s="16" t="s">
        <v>109</v>
      </c>
      <c r="D510" s="84" t="s">
        <v>98</v>
      </c>
      <c r="E510" s="57" t="s">
        <v>650</v>
      </c>
      <c r="F510" s="21"/>
      <c r="G510" s="151" t="s">
        <v>651</v>
      </c>
      <c r="H510" s="96">
        <f>SUM(H511:H511)</f>
        <v>1992.0999999999995</v>
      </c>
      <c r="I510" s="96">
        <f>SUM(I511:I511)</f>
        <v>1992.0999999999995</v>
      </c>
      <c r="J510" s="96">
        <f t="shared" si="89"/>
        <v>100</v>
      </c>
    </row>
    <row r="511" spans="1:10" ht="19.5" customHeight="1" x14ac:dyDescent="0.25">
      <c r="A511" s="148"/>
      <c r="B511" s="70"/>
      <c r="C511" s="16" t="s">
        <v>109</v>
      </c>
      <c r="D511" s="84" t="s">
        <v>98</v>
      </c>
      <c r="E511" s="57" t="s">
        <v>650</v>
      </c>
      <c r="F511" s="21" t="s">
        <v>226</v>
      </c>
      <c r="G511" s="100" t="s">
        <v>225</v>
      </c>
      <c r="H511" s="96">
        <f>4629.4-20.8-2616.5</f>
        <v>1992.0999999999995</v>
      </c>
      <c r="I511" s="96">
        <f>4629.4-20.8-2616.5</f>
        <v>1992.0999999999995</v>
      </c>
      <c r="J511" s="96">
        <f t="shared" si="89"/>
        <v>100</v>
      </c>
    </row>
    <row r="512" spans="1:10" ht="79.2" x14ac:dyDescent="0.25">
      <c r="A512" s="148"/>
      <c r="B512" s="70"/>
      <c r="C512" s="16" t="s">
        <v>109</v>
      </c>
      <c r="D512" s="84" t="s">
        <v>98</v>
      </c>
      <c r="E512" s="57" t="s">
        <v>652</v>
      </c>
      <c r="F512" s="21"/>
      <c r="G512" s="100" t="s">
        <v>653</v>
      </c>
      <c r="H512" s="96">
        <f>H513</f>
        <v>8668.6</v>
      </c>
      <c r="I512" s="96">
        <f>I513</f>
        <v>8668.6</v>
      </c>
      <c r="J512" s="58">
        <f t="shared" si="89"/>
        <v>100</v>
      </c>
    </row>
    <row r="513" spans="1:10" x14ac:dyDescent="0.25">
      <c r="A513" s="148"/>
      <c r="B513" s="70"/>
      <c r="C513" s="16" t="s">
        <v>109</v>
      </c>
      <c r="D513" s="84" t="s">
        <v>98</v>
      </c>
      <c r="E513" s="57" t="s">
        <v>652</v>
      </c>
      <c r="F513" s="21" t="s">
        <v>226</v>
      </c>
      <c r="G513" s="100" t="s">
        <v>225</v>
      </c>
      <c r="H513" s="211">
        <f>6585.8+2082.8</f>
        <v>8668.6</v>
      </c>
      <c r="I513" s="211">
        <f>6585.8+2082.8</f>
        <v>8668.6</v>
      </c>
      <c r="J513" s="96">
        <f t="shared" si="89"/>
        <v>100</v>
      </c>
    </row>
    <row r="514" spans="1:10" ht="79.2" x14ac:dyDescent="0.25">
      <c r="A514" s="148"/>
      <c r="B514" s="70"/>
      <c r="C514" s="16" t="s">
        <v>109</v>
      </c>
      <c r="D514" s="84" t="s">
        <v>98</v>
      </c>
      <c r="E514" s="57" t="s">
        <v>654</v>
      </c>
      <c r="F514" s="57"/>
      <c r="G514" s="100" t="s">
        <v>655</v>
      </c>
      <c r="H514" s="101">
        <f>H515</f>
        <v>87.300000000000011</v>
      </c>
      <c r="I514" s="41">
        <f t="shared" ref="I514" si="90">I515</f>
        <v>87.300000000000011</v>
      </c>
      <c r="J514" s="96">
        <f t="shared" si="89"/>
        <v>100</v>
      </c>
    </row>
    <row r="515" spans="1:10" x14ac:dyDescent="0.25">
      <c r="A515" s="148"/>
      <c r="B515" s="70"/>
      <c r="C515" s="16" t="s">
        <v>109</v>
      </c>
      <c r="D515" s="84" t="s">
        <v>98</v>
      </c>
      <c r="E515" s="21" t="s">
        <v>654</v>
      </c>
      <c r="F515" s="21" t="s">
        <v>226</v>
      </c>
      <c r="G515" s="100" t="s">
        <v>225</v>
      </c>
      <c r="H515" s="41">
        <f>66.7+20.6</f>
        <v>87.300000000000011</v>
      </c>
      <c r="I515" s="41">
        <f>66.7+20.6</f>
        <v>87.300000000000011</v>
      </c>
      <c r="J515" s="96">
        <f t="shared" si="89"/>
        <v>100</v>
      </c>
    </row>
    <row r="516" spans="1:10" ht="48.75" customHeight="1" x14ac:dyDescent="0.25">
      <c r="A516" s="148"/>
      <c r="B516" s="70"/>
      <c r="C516" s="16" t="s">
        <v>109</v>
      </c>
      <c r="D516" s="84" t="s">
        <v>98</v>
      </c>
      <c r="E516" s="21" t="s">
        <v>656</v>
      </c>
      <c r="F516" s="21"/>
      <c r="G516" s="125" t="s">
        <v>657</v>
      </c>
      <c r="H516" s="41">
        <f>H517</f>
        <v>237.20000000000002</v>
      </c>
      <c r="I516" s="41">
        <f t="shared" ref="I516" si="91">I517</f>
        <v>237.20000000000002</v>
      </c>
      <c r="J516" s="96">
        <f t="shared" si="89"/>
        <v>100</v>
      </c>
    </row>
    <row r="517" spans="1:10" x14ac:dyDescent="0.25">
      <c r="A517" s="148"/>
      <c r="B517" s="70"/>
      <c r="C517" s="16" t="s">
        <v>109</v>
      </c>
      <c r="D517" s="84" t="s">
        <v>98</v>
      </c>
      <c r="E517" s="21" t="s">
        <v>656</v>
      </c>
      <c r="F517" s="21" t="s">
        <v>226</v>
      </c>
      <c r="G517" s="100" t="s">
        <v>225</v>
      </c>
      <c r="H517" s="41">
        <f>235.3+1.9</f>
        <v>237.20000000000002</v>
      </c>
      <c r="I517" s="41">
        <f>235.3+1.9</f>
        <v>237.20000000000002</v>
      </c>
      <c r="J517" s="96">
        <f t="shared" si="89"/>
        <v>100</v>
      </c>
    </row>
    <row r="518" spans="1:10" ht="64.5" customHeight="1" x14ac:dyDescent="0.25">
      <c r="A518" s="148"/>
      <c r="B518" s="70"/>
      <c r="C518" s="16" t="s">
        <v>109</v>
      </c>
      <c r="D518" s="84" t="s">
        <v>98</v>
      </c>
      <c r="E518" s="21" t="s">
        <v>658</v>
      </c>
      <c r="F518" s="21"/>
      <c r="G518" s="125" t="s">
        <v>659</v>
      </c>
      <c r="H518" s="41">
        <f>H519</f>
        <v>2.4</v>
      </c>
      <c r="I518" s="41">
        <f>I519</f>
        <v>2.4</v>
      </c>
      <c r="J518" s="96">
        <f t="shared" si="89"/>
        <v>100</v>
      </c>
    </row>
    <row r="519" spans="1:10" x14ac:dyDescent="0.25">
      <c r="A519" s="148"/>
      <c r="B519" s="70"/>
      <c r="C519" s="16" t="s">
        <v>109</v>
      </c>
      <c r="D519" s="84" t="s">
        <v>98</v>
      </c>
      <c r="E519" s="21" t="s">
        <v>658</v>
      </c>
      <c r="F519" s="21" t="s">
        <v>226</v>
      </c>
      <c r="G519" s="100" t="s">
        <v>225</v>
      </c>
      <c r="H519" s="41">
        <f>4.3-1.9</f>
        <v>2.4</v>
      </c>
      <c r="I519" s="41">
        <f>4.3-1.9</f>
        <v>2.4</v>
      </c>
      <c r="J519" s="96">
        <f>ROUND((I519/H519*100),1)</f>
        <v>100</v>
      </c>
    </row>
    <row r="520" spans="1:10" ht="40.200000000000003" x14ac:dyDescent="0.3">
      <c r="A520" s="148"/>
      <c r="B520" s="70"/>
      <c r="C520" s="16" t="s">
        <v>109</v>
      </c>
      <c r="D520" s="84" t="s">
        <v>98</v>
      </c>
      <c r="E520" s="21" t="s">
        <v>775</v>
      </c>
      <c r="F520" s="35"/>
      <c r="G520" s="99" t="s">
        <v>776</v>
      </c>
      <c r="H520" s="41">
        <f>H521+H523</f>
        <v>1007.8</v>
      </c>
      <c r="I520" s="41">
        <f>I521+I523</f>
        <v>1007.8</v>
      </c>
      <c r="J520" s="96">
        <f>ROUND((I520/H520*100),1)</f>
        <v>100</v>
      </c>
    </row>
    <row r="521" spans="1:10" ht="66" x14ac:dyDescent="0.25">
      <c r="A521" s="148"/>
      <c r="B521" s="70"/>
      <c r="C521" s="16" t="s">
        <v>109</v>
      </c>
      <c r="D521" s="84" t="s">
        <v>98</v>
      </c>
      <c r="E521" s="57" t="s">
        <v>660</v>
      </c>
      <c r="F521" s="84"/>
      <c r="G521" s="100" t="s">
        <v>661</v>
      </c>
      <c r="H521" s="41">
        <f>H522</f>
        <v>470</v>
      </c>
      <c r="I521" s="41">
        <f>I522</f>
        <v>470</v>
      </c>
      <c r="J521" s="96">
        <f>ROUND((I521/H521*100),1)</f>
        <v>100</v>
      </c>
    </row>
    <row r="522" spans="1:10" x14ac:dyDescent="0.25">
      <c r="A522" s="148"/>
      <c r="B522" s="70"/>
      <c r="C522" s="16" t="s">
        <v>109</v>
      </c>
      <c r="D522" s="84" t="s">
        <v>98</v>
      </c>
      <c r="E522" s="57" t="s">
        <v>660</v>
      </c>
      <c r="F522" s="21" t="s">
        <v>226</v>
      </c>
      <c r="G522" s="100" t="s">
        <v>225</v>
      </c>
      <c r="H522" s="41">
        <f>500-30</f>
        <v>470</v>
      </c>
      <c r="I522" s="41">
        <f>500-30</f>
        <v>470</v>
      </c>
      <c r="J522" s="96">
        <f>ROUND((I522/H522*100),1)</f>
        <v>100</v>
      </c>
    </row>
    <row r="523" spans="1:10" ht="23.25" customHeight="1" x14ac:dyDescent="0.25">
      <c r="A523" s="148"/>
      <c r="B523" s="70"/>
      <c r="C523" s="16" t="s">
        <v>109</v>
      </c>
      <c r="D523" s="84" t="s">
        <v>98</v>
      </c>
      <c r="E523" s="57" t="s">
        <v>662</v>
      </c>
      <c r="F523" s="21"/>
      <c r="G523" s="54" t="s">
        <v>663</v>
      </c>
      <c r="H523" s="41">
        <f>H524</f>
        <v>537.79999999999995</v>
      </c>
      <c r="I523" s="41">
        <f>I524</f>
        <v>537.79999999999995</v>
      </c>
      <c r="J523" s="96">
        <f t="shared" si="89"/>
        <v>100</v>
      </c>
    </row>
    <row r="524" spans="1:10" x14ac:dyDescent="0.25">
      <c r="A524" s="148"/>
      <c r="B524" s="70"/>
      <c r="C524" s="16" t="s">
        <v>109</v>
      </c>
      <c r="D524" s="84" t="s">
        <v>98</v>
      </c>
      <c r="E524" s="57" t="s">
        <v>662</v>
      </c>
      <c r="F524" s="21" t="s">
        <v>226</v>
      </c>
      <c r="G524" s="100" t="s">
        <v>225</v>
      </c>
      <c r="H524" s="41">
        <v>537.79999999999995</v>
      </c>
      <c r="I524" s="41">
        <v>537.79999999999995</v>
      </c>
      <c r="J524" s="96">
        <f t="shared" si="89"/>
        <v>100</v>
      </c>
    </row>
    <row r="525" spans="1:10" ht="39.6" x14ac:dyDescent="0.25">
      <c r="A525" s="148"/>
      <c r="B525" s="70"/>
      <c r="C525" s="16" t="s">
        <v>109</v>
      </c>
      <c r="D525" s="84" t="s">
        <v>98</v>
      </c>
      <c r="E525" s="21" t="s">
        <v>777</v>
      </c>
      <c r="F525" s="84"/>
      <c r="G525" s="99" t="s">
        <v>778</v>
      </c>
      <c r="H525" s="41">
        <f>H526+H528+H530+H532</f>
        <v>916.1</v>
      </c>
      <c r="I525" s="41">
        <f>I526+I528+I530+I532</f>
        <v>853.80000000000007</v>
      </c>
      <c r="J525" s="96">
        <f t="shared" si="89"/>
        <v>93.2</v>
      </c>
    </row>
    <row r="526" spans="1:10" ht="52.5" customHeight="1" x14ac:dyDescent="0.25">
      <c r="A526" s="148"/>
      <c r="B526" s="70"/>
      <c r="C526" s="16" t="s">
        <v>109</v>
      </c>
      <c r="D526" s="84" t="s">
        <v>98</v>
      </c>
      <c r="E526" s="57" t="s">
        <v>664</v>
      </c>
      <c r="F526" s="21"/>
      <c r="G526" s="125" t="s">
        <v>665</v>
      </c>
      <c r="H526" s="96">
        <f>H527</f>
        <v>530</v>
      </c>
      <c r="I526" s="96">
        <f>I527</f>
        <v>467.7</v>
      </c>
      <c r="J526" s="96">
        <f t="shared" si="89"/>
        <v>88.2</v>
      </c>
    </row>
    <row r="527" spans="1:10" x14ac:dyDescent="0.25">
      <c r="A527" s="148"/>
      <c r="B527" s="70"/>
      <c r="C527" s="16" t="s">
        <v>109</v>
      </c>
      <c r="D527" s="84" t="s">
        <v>98</v>
      </c>
      <c r="E527" s="57" t="s">
        <v>664</v>
      </c>
      <c r="F527" s="21" t="s">
        <v>226</v>
      </c>
      <c r="G527" s="100" t="s">
        <v>225</v>
      </c>
      <c r="H527" s="96">
        <v>530</v>
      </c>
      <c r="I527" s="41">
        <v>467.7</v>
      </c>
      <c r="J527" s="96">
        <f t="shared" si="89"/>
        <v>88.2</v>
      </c>
    </row>
    <row r="528" spans="1:10" ht="66.75" customHeight="1" x14ac:dyDescent="0.25">
      <c r="A528" s="148"/>
      <c r="B528" s="70"/>
      <c r="C528" s="16" t="s">
        <v>109</v>
      </c>
      <c r="D528" s="84" t="s">
        <v>98</v>
      </c>
      <c r="E528" s="57" t="s">
        <v>666</v>
      </c>
      <c r="F528" s="21"/>
      <c r="G528" s="100" t="s">
        <v>639</v>
      </c>
      <c r="H528" s="96">
        <f>H529</f>
        <v>30</v>
      </c>
      <c r="I528" s="96">
        <f>I529</f>
        <v>30</v>
      </c>
      <c r="J528" s="96">
        <f t="shared" si="89"/>
        <v>100</v>
      </c>
    </row>
    <row r="529" spans="1:10" x14ac:dyDescent="0.25">
      <c r="A529" s="148"/>
      <c r="B529" s="70"/>
      <c r="C529" s="16" t="s">
        <v>109</v>
      </c>
      <c r="D529" s="84" t="s">
        <v>98</v>
      </c>
      <c r="E529" s="57" t="s">
        <v>666</v>
      </c>
      <c r="F529" s="21" t="s">
        <v>226</v>
      </c>
      <c r="G529" s="100" t="s">
        <v>225</v>
      </c>
      <c r="H529" s="96">
        <v>30</v>
      </c>
      <c r="I529" s="96">
        <v>30</v>
      </c>
      <c r="J529" s="96">
        <f t="shared" si="89"/>
        <v>100</v>
      </c>
    </row>
    <row r="530" spans="1:10" ht="39.6" x14ac:dyDescent="0.25">
      <c r="A530" s="148"/>
      <c r="B530" s="70"/>
      <c r="C530" s="16" t="s">
        <v>109</v>
      </c>
      <c r="D530" s="84" t="s">
        <v>98</v>
      </c>
      <c r="E530" s="57" t="s">
        <v>667</v>
      </c>
      <c r="F530" s="21"/>
      <c r="G530" s="100" t="s">
        <v>185</v>
      </c>
      <c r="H530" s="41">
        <f>H531</f>
        <v>250</v>
      </c>
      <c r="I530" s="41">
        <f>I531</f>
        <v>250</v>
      </c>
      <c r="J530" s="96">
        <f t="shared" si="89"/>
        <v>100</v>
      </c>
    </row>
    <row r="531" spans="1:10" ht="19.5" customHeight="1" x14ac:dyDescent="0.25">
      <c r="A531" s="148"/>
      <c r="B531" s="70"/>
      <c r="C531" s="16" t="s">
        <v>109</v>
      </c>
      <c r="D531" s="84" t="s">
        <v>98</v>
      </c>
      <c r="E531" s="57" t="s">
        <v>667</v>
      </c>
      <c r="F531" s="21" t="s">
        <v>226</v>
      </c>
      <c r="G531" s="100" t="s">
        <v>225</v>
      </c>
      <c r="H531" s="41">
        <v>250</v>
      </c>
      <c r="I531" s="41">
        <v>250</v>
      </c>
      <c r="J531" s="96">
        <f t="shared" si="89"/>
        <v>100</v>
      </c>
    </row>
    <row r="532" spans="1:10" ht="39.6" x14ac:dyDescent="0.25">
      <c r="A532" s="148"/>
      <c r="B532" s="70"/>
      <c r="C532" s="16" t="s">
        <v>109</v>
      </c>
      <c r="D532" s="84" t="s">
        <v>98</v>
      </c>
      <c r="E532" s="126" t="s">
        <v>668</v>
      </c>
      <c r="F532" s="124"/>
      <c r="G532" s="100" t="s">
        <v>669</v>
      </c>
      <c r="H532" s="109">
        <f>H533</f>
        <v>106.1</v>
      </c>
      <c r="I532" s="109">
        <f>I533</f>
        <v>106.1</v>
      </c>
      <c r="J532" s="96">
        <f t="shared" si="89"/>
        <v>100</v>
      </c>
    </row>
    <row r="533" spans="1:10" ht="19.5" customHeight="1" x14ac:dyDescent="0.25">
      <c r="A533" s="148"/>
      <c r="B533" s="70"/>
      <c r="C533" s="16" t="s">
        <v>109</v>
      </c>
      <c r="D533" s="84" t="s">
        <v>98</v>
      </c>
      <c r="E533" s="126" t="s">
        <v>668</v>
      </c>
      <c r="F533" s="21" t="s">
        <v>226</v>
      </c>
      <c r="G533" s="100" t="s">
        <v>225</v>
      </c>
      <c r="H533" s="109">
        <f>150-43.9</f>
        <v>106.1</v>
      </c>
      <c r="I533" s="109">
        <f>150-43.9</f>
        <v>106.1</v>
      </c>
      <c r="J533" s="96">
        <f t="shared" si="89"/>
        <v>100</v>
      </c>
    </row>
    <row r="534" spans="1:10" ht="26.4" x14ac:dyDescent="0.25">
      <c r="A534" s="148"/>
      <c r="B534" s="70"/>
      <c r="C534" s="47" t="s">
        <v>109</v>
      </c>
      <c r="D534" s="47" t="s">
        <v>98</v>
      </c>
      <c r="E534" s="52" t="s">
        <v>670</v>
      </c>
      <c r="F534" s="84"/>
      <c r="G534" s="46" t="s">
        <v>671</v>
      </c>
      <c r="H534" s="122">
        <f t="shared" ref="H534:I536" si="92">H535</f>
        <v>50</v>
      </c>
      <c r="I534" s="122">
        <f t="shared" si="92"/>
        <v>50</v>
      </c>
      <c r="J534" s="96">
        <f t="shared" si="89"/>
        <v>100</v>
      </c>
    </row>
    <row r="535" spans="1:10" ht="26.4" x14ac:dyDescent="0.25">
      <c r="A535" s="148"/>
      <c r="B535" s="70"/>
      <c r="C535" s="16" t="s">
        <v>109</v>
      </c>
      <c r="D535" s="84" t="s">
        <v>98</v>
      </c>
      <c r="E535" s="21" t="s">
        <v>779</v>
      </c>
      <c r="F535" s="21"/>
      <c r="G535" s="99" t="s">
        <v>780</v>
      </c>
      <c r="H535" s="109">
        <f t="shared" si="92"/>
        <v>50</v>
      </c>
      <c r="I535" s="109">
        <f t="shared" si="92"/>
        <v>50</v>
      </c>
      <c r="J535" s="96">
        <f t="shared" si="89"/>
        <v>100</v>
      </c>
    </row>
    <row r="536" spans="1:10" ht="79.2" x14ac:dyDescent="0.25">
      <c r="A536" s="148"/>
      <c r="B536" s="70"/>
      <c r="C536" s="16" t="s">
        <v>109</v>
      </c>
      <c r="D536" s="84" t="s">
        <v>98</v>
      </c>
      <c r="E536" s="57" t="s">
        <v>672</v>
      </c>
      <c r="F536" s="16"/>
      <c r="G536" s="100" t="s">
        <v>412</v>
      </c>
      <c r="H536" s="41">
        <f t="shared" si="92"/>
        <v>50</v>
      </c>
      <c r="I536" s="41">
        <f t="shared" si="92"/>
        <v>50</v>
      </c>
      <c r="J536" s="96">
        <f t="shared" si="89"/>
        <v>100</v>
      </c>
    </row>
    <row r="537" spans="1:10" x14ac:dyDescent="0.25">
      <c r="A537" s="148"/>
      <c r="B537" s="70"/>
      <c r="C537" s="16" t="s">
        <v>109</v>
      </c>
      <c r="D537" s="84" t="s">
        <v>98</v>
      </c>
      <c r="E537" s="57" t="s">
        <v>672</v>
      </c>
      <c r="F537" s="21" t="s">
        <v>226</v>
      </c>
      <c r="G537" s="100" t="s">
        <v>225</v>
      </c>
      <c r="H537" s="41">
        <v>50</v>
      </c>
      <c r="I537" s="41">
        <v>50</v>
      </c>
      <c r="J537" s="96">
        <f t="shared" si="89"/>
        <v>100</v>
      </c>
    </row>
    <row r="538" spans="1:10" ht="25.5" customHeight="1" x14ac:dyDescent="0.25">
      <c r="A538" s="148"/>
      <c r="B538" s="70"/>
      <c r="C538" s="84" t="s">
        <v>109</v>
      </c>
      <c r="D538" s="84" t="s">
        <v>98</v>
      </c>
      <c r="E538" s="84" t="s">
        <v>29</v>
      </c>
      <c r="F538" s="84"/>
      <c r="G538" s="102" t="s">
        <v>43</v>
      </c>
      <c r="H538" s="41">
        <f>H539</f>
        <v>300</v>
      </c>
      <c r="I538" s="41">
        <f>I539</f>
        <v>300</v>
      </c>
      <c r="J538" s="96">
        <f t="shared" si="89"/>
        <v>100</v>
      </c>
    </row>
    <row r="539" spans="1:10" ht="40.5" customHeight="1" x14ac:dyDescent="0.25">
      <c r="A539" s="148"/>
      <c r="B539" s="70"/>
      <c r="C539" s="16" t="s">
        <v>109</v>
      </c>
      <c r="D539" s="84" t="s">
        <v>98</v>
      </c>
      <c r="E539" s="84" t="s">
        <v>682</v>
      </c>
      <c r="F539" s="16"/>
      <c r="G539" s="54" t="s">
        <v>351</v>
      </c>
      <c r="H539" s="41">
        <f>SUM(H540:H540)</f>
        <v>300</v>
      </c>
      <c r="I539" s="41">
        <f>SUM(I540:I540)</f>
        <v>300</v>
      </c>
      <c r="J539" s="96">
        <f t="shared" si="89"/>
        <v>100</v>
      </c>
    </row>
    <row r="540" spans="1:10" x14ac:dyDescent="0.25">
      <c r="A540" s="148"/>
      <c r="B540" s="70"/>
      <c r="C540" s="16" t="s">
        <v>109</v>
      </c>
      <c r="D540" s="84" t="s">
        <v>98</v>
      </c>
      <c r="E540" s="84" t="s">
        <v>682</v>
      </c>
      <c r="F540" s="21" t="s">
        <v>226</v>
      </c>
      <c r="G540" s="100" t="s">
        <v>225</v>
      </c>
      <c r="H540" s="39">
        <v>300</v>
      </c>
      <c r="I540" s="39">
        <v>300</v>
      </c>
      <c r="J540" s="96">
        <f t="shared" si="89"/>
        <v>100</v>
      </c>
    </row>
    <row r="541" spans="1:10" ht="40.200000000000003" x14ac:dyDescent="0.3">
      <c r="A541" s="148"/>
      <c r="B541" s="70"/>
      <c r="C541" s="35" t="s">
        <v>109</v>
      </c>
      <c r="D541" s="35" t="s">
        <v>100</v>
      </c>
      <c r="E541" s="35"/>
      <c r="F541" s="35"/>
      <c r="G541" s="46" t="s">
        <v>2</v>
      </c>
      <c r="H541" s="42">
        <f t="shared" ref="H541:I542" si="93">H542</f>
        <v>152.4</v>
      </c>
      <c r="I541" s="42">
        <f t="shared" si="93"/>
        <v>143.80000000000001</v>
      </c>
      <c r="J541" s="42">
        <f t="shared" si="89"/>
        <v>94.4</v>
      </c>
    </row>
    <row r="542" spans="1:10" ht="79.8" x14ac:dyDescent="0.3">
      <c r="A542" s="148"/>
      <c r="B542" s="70"/>
      <c r="C542" s="16" t="s">
        <v>109</v>
      </c>
      <c r="D542" s="16" t="s">
        <v>100</v>
      </c>
      <c r="E542" s="21" t="s">
        <v>79</v>
      </c>
      <c r="F542" s="35"/>
      <c r="G542" s="64" t="s">
        <v>607</v>
      </c>
      <c r="H542" s="62">
        <f t="shared" si="93"/>
        <v>152.4</v>
      </c>
      <c r="I542" s="62">
        <f t="shared" si="93"/>
        <v>143.80000000000001</v>
      </c>
      <c r="J542" s="62">
        <f t="shared" si="89"/>
        <v>94.4</v>
      </c>
    </row>
    <row r="543" spans="1:10" ht="27" x14ac:dyDescent="0.3">
      <c r="A543" s="148"/>
      <c r="B543" s="70"/>
      <c r="C543" s="16" t="s">
        <v>109</v>
      </c>
      <c r="D543" s="16" t="s">
        <v>100</v>
      </c>
      <c r="E543" s="52" t="s">
        <v>670</v>
      </c>
      <c r="F543" s="35"/>
      <c r="G543" s="46" t="s">
        <v>671</v>
      </c>
      <c r="H543" s="58">
        <f>H545</f>
        <v>152.4</v>
      </c>
      <c r="I543" s="58">
        <f>I545</f>
        <v>143.80000000000001</v>
      </c>
      <c r="J543" s="58">
        <f t="shared" si="89"/>
        <v>94.4</v>
      </c>
    </row>
    <row r="544" spans="1:10" ht="39.6" x14ac:dyDescent="0.25">
      <c r="A544" s="148"/>
      <c r="B544" s="70"/>
      <c r="C544" s="16" t="s">
        <v>109</v>
      </c>
      <c r="D544" s="16" t="s">
        <v>100</v>
      </c>
      <c r="E544" s="21" t="s">
        <v>781</v>
      </c>
      <c r="F544" s="21"/>
      <c r="G544" s="99" t="s">
        <v>782</v>
      </c>
      <c r="H544" s="101">
        <f>H545</f>
        <v>152.4</v>
      </c>
      <c r="I544" s="101">
        <f>I545</f>
        <v>143.80000000000001</v>
      </c>
      <c r="J544" s="96">
        <f t="shared" si="89"/>
        <v>94.4</v>
      </c>
    </row>
    <row r="545" spans="1:10" s="8" customFormat="1" ht="40.5" customHeight="1" x14ac:dyDescent="0.3">
      <c r="A545" s="3">
        <v>4</v>
      </c>
      <c r="B545" s="70"/>
      <c r="C545" s="16" t="s">
        <v>109</v>
      </c>
      <c r="D545" s="16" t="s">
        <v>100</v>
      </c>
      <c r="E545" s="57" t="s">
        <v>683</v>
      </c>
      <c r="F545" s="16"/>
      <c r="G545" s="100" t="s">
        <v>49</v>
      </c>
      <c r="H545" s="41">
        <f>H546</f>
        <v>152.4</v>
      </c>
      <c r="I545" s="41">
        <f>I546</f>
        <v>143.80000000000001</v>
      </c>
      <c r="J545" s="96">
        <f t="shared" si="89"/>
        <v>94.4</v>
      </c>
    </row>
    <row r="546" spans="1:10" ht="15.6" x14ac:dyDescent="0.3">
      <c r="A546" s="3"/>
      <c r="B546" s="25"/>
      <c r="C546" s="16" t="s">
        <v>109</v>
      </c>
      <c r="D546" s="16" t="s">
        <v>100</v>
      </c>
      <c r="E546" s="57" t="s">
        <v>683</v>
      </c>
      <c r="F546" s="21" t="s">
        <v>226</v>
      </c>
      <c r="G546" s="100" t="s">
        <v>225</v>
      </c>
      <c r="H546" s="96">
        <f>250-97.6</f>
        <v>152.4</v>
      </c>
      <c r="I546" s="96">
        <v>143.80000000000001</v>
      </c>
      <c r="J546" s="96">
        <f t="shared" si="89"/>
        <v>94.4</v>
      </c>
    </row>
    <row r="547" spans="1:10" s="37" customFormat="1" ht="14.4" x14ac:dyDescent="0.3">
      <c r="A547" s="27"/>
      <c r="B547" s="70"/>
      <c r="C547" s="35" t="s">
        <v>109</v>
      </c>
      <c r="D547" s="35" t="s">
        <v>109</v>
      </c>
      <c r="E547" s="35"/>
      <c r="F547" s="35"/>
      <c r="G547" s="46" t="s">
        <v>156</v>
      </c>
      <c r="H547" s="42">
        <f t="shared" ref="H547:I549" si="94">H548</f>
        <v>4111.8999999999996</v>
      </c>
      <c r="I547" s="42">
        <f t="shared" si="94"/>
        <v>2987.8999999999996</v>
      </c>
      <c r="J547" s="42">
        <f t="shared" si="89"/>
        <v>72.7</v>
      </c>
    </row>
    <row r="548" spans="1:10" s="37" customFormat="1" ht="79.8" x14ac:dyDescent="0.3">
      <c r="A548" s="27"/>
      <c r="B548" s="70"/>
      <c r="C548" s="16" t="s">
        <v>109</v>
      </c>
      <c r="D548" s="16" t="s">
        <v>109</v>
      </c>
      <c r="E548" s="21" t="s">
        <v>79</v>
      </c>
      <c r="F548" s="35"/>
      <c r="G548" s="64" t="s">
        <v>607</v>
      </c>
      <c r="H548" s="62">
        <f t="shared" si="94"/>
        <v>4111.8999999999996</v>
      </c>
      <c r="I548" s="62">
        <f t="shared" si="94"/>
        <v>2987.8999999999996</v>
      </c>
      <c r="J548" s="62">
        <f t="shared" si="89"/>
        <v>72.7</v>
      </c>
    </row>
    <row r="549" spans="1:10" s="37" customFormat="1" ht="40.200000000000003" x14ac:dyDescent="0.3">
      <c r="A549" s="27"/>
      <c r="B549" s="70"/>
      <c r="C549" s="16" t="s">
        <v>109</v>
      </c>
      <c r="D549" s="16" t="s">
        <v>109</v>
      </c>
      <c r="E549" s="52" t="s">
        <v>81</v>
      </c>
      <c r="F549" s="35"/>
      <c r="G549" s="46" t="s">
        <v>619</v>
      </c>
      <c r="H549" s="96">
        <f t="shared" si="94"/>
        <v>4111.8999999999996</v>
      </c>
      <c r="I549" s="96">
        <f t="shared" si="94"/>
        <v>2987.8999999999996</v>
      </c>
      <c r="J549" s="58">
        <f t="shared" si="89"/>
        <v>72.7</v>
      </c>
    </row>
    <row r="550" spans="1:10" s="37" customFormat="1" ht="53.25" customHeight="1" x14ac:dyDescent="0.3">
      <c r="A550" s="27"/>
      <c r="B550" s="70"/>
      <c r="C550" s="16" t="s">
        <v>109</v>
      </c>
      <c r="D550" s="16" t="s">
        <v>109</v>
      </c>
      <c r="E550" s="21" t="s">
        <v>769</v>
      </c>
      <c r="F550" s="35"/>
      <c r="G550" s="99" t="s">
        <v>770</v>
      </c>
      <c r="H550" s="41">
        <f t="shared" ref="H550:I550" si="95">H551+H553</f>
        <v>4111.8999999999996</v>
      </c>
      <c r="I550" s="41">
        <f t="shared" si="95"/>
        <v>2987.8999999999996</v>
      </c>
      <c r="J550" s="96">
        <f t="shared" si="89"/>
        <v>72.7</v>
      </c>
    </row>
    <row r="551" spans="1:10" s="37" customFormat="1" ht="14.4" x14ac:dyDescent="0.3">
      <c r="A551" s="27"/>
      <c r="B551" s="70"/>
      <c r="C551" s="16" t="s">
        <v>109</v>
      </c>
      <c r="D551" s="16" t="s">
        <v>109</v>
      </c>
      <c r="E551" s="57" t="s">
        <v>684</v>
      </c>
      <c r="F551" s="21"/>
      <c r="G551" s="100" t="s">
        <v>50</v>
      </c>
      <c r="H551" s="41">
        <f>H552</f>
        <v>1342.4</v>
      </c>
      <c r="I551" s="96">
        <f>I552</f>
        <v>1313.2</v>
      </c>
      <c r="J551" s="96">
        <f t="shared" ref="J551:J614" si="96">ROUND((I551/H551*100),1)</f>
        <v>97.8</v>
      </c>
    </row>
    <row r="552" spans="1:10" s="37" customFormat="1" ht="14.4" x14ac:dyDescent="0.3">
      <c r="A552" s="27"/>
      <c r="B552" s="70"/>
      <c r="C552" s="16" t="s">
        <v>109</v>
      </c>
      <c r="D552" s="16" t="s">
        <v>109</v>
      </c>
      <c r="E552" s="57" t="s">
        <v>684</v>
      </c>
      <c r="F552" s="21" t="s">
        <v>226</v>
      </c>
      <c r="G552" s="100" t="s">
        <v>225</v>
      </c>
      <c r="H552" s="41">
        <f>1200.2+142.2</f>
        <v>1342.4</v>
      </c>
      <c r="I552" s="96">
        <v>1313.2</v>
      </c>
      <c r="J552" s="96">
        <f t="shared" si="96"/>
        <v>97.8</v>
      </c>
    </row>
    <row r="553" spans="1:10" s="37" customFormat="1" ht="39.6" x14ac:dyDescent="0.3">
      <c r="A553" s="27"/>
      <c r="B553" s="70"/>
      <c r="C553" s="16" t="s">
        <v>109</v>
      </c>
      <c r="D553" s="16" t="s">
        <v>109</v>
      </c>
      <c r="E553" s="57" t="s">
        <v>685</v>
      </c>
      <c r="F553" s="21"/>
      <c r="G553" s="100" t="s">
        <v>686</v>
      </c>
      <c r="H553" s="41">
        <f>SUM(H554:H555)</f>
        <v>2769.5</v>
      </c>
      <c r="I553" s="41">
        <f>SUM(I554:I555)</f>
        <v>1674.6999999999998</v>
      </c>
      <c r="J553" s="96">
        <f t="shared" si="96"/>
        <v>60.5</v>
      </c>
    </row>
    <row r="554" spans="1:10" s="37" customFormat="1" ht="14.4" x14ac:dyDescent="0.3">
      <c r="A554" s="27"/>
      <c r="B554" s="70"/>
      <c r="C554" s="16" t="s">
        <v>109</v>
      </c>
      <c r="D554" s="16" t="s">
        <v>109</v>
      </c>
      <c r="E554" s="57" t="s">
        <v>685</v>
      </c>
      <c r="F554" s="21" t="s">
        <v>226</v>
      </c>
      <c r="G554" s="100" t="s">
        <v>225</v>
      </c>
      <c r="H554" s="158">
        <v>2049</v>
      </c>
      <c r="I554" s="96">
        <v>1597.6</v>
      </c>
      <c r="J554" s="96">
        <f t="shared" si="96"/>
        <v>78</v>
      </c>
    </row>
    <row r="555" spans="1:10" s="37" customFormat="1" ht="66" x14ac:dyDescent="0.3">
      <c r="A555" s="27"/>
      <c r="B555" s="70"/>
      <c r="C555" s="16" t="s">
        <v>109</v>
      </c>
      <c r="D555" s="16" t="s">
        <v>109</v>
      </c>
      <c r="E555" s="57" t="s">
        <v>685</v>
      </c>
      <c r="F555" s="16" t="s">
        <v>14</v>
      </c>
      <c r="G555" s="100" t="s">
        <v>380</v>
      </c>
      <c r="H555" s="41">
        <v>720.5</v>
      </c>
      <c r="I555" s="96">
        <v>77.099999999999994</v>
      </c>
      <c r="J555" s="96">
        <f t="shared" si="96"/>
        <v>10.7</v>
      </c>
    </row>
    <row r="556" spans="1:10" s="37" customFormat="1" ht="14.4" x14ac:dyDescent="0.3">
      <c r="A556" s="27"/>
      <c r="B556" s="70"/>
      <c r="C556" s="35" t="s">
        <v>109</v>
      </c>
      <c r="D556" s="35" t="s">
        <v>104</v>
      </c>
      <c r="E556" s="35"/>
      <c r="F556" s="35"/>
      <c r="G556" s="45" t="s">
        <v>114</v>
      </c>
      <c r="H556" s="42">
        <f t="shared" ref="H556:I556" si="97">H557</f>
        <v>8945.6</v>
      </c>
      <c r="I556" s="42">
        <f t="shared" si="97"/>
        <v>8742.5999999999985</v>
      </c>
      <c r="J556" s="42">
        <f t="shared" si="96"/>
        <v>97.7</v>
      </c>
    </row>
    <row r="557" spans="1:10" s="37" customFormat="1" ht="79.8" x14ac:dyDescent="0.3">
      <c r="A557" s="27"/>
      <c r="B557" s="70"/>
      <c r="C557" s="16" t="s">
        <v>109</v>
      </c>
      <c r="D557" s="16" t="s">
        <v>104</v>
      </c>
      <c r="E557" s="21" t="s">
        <v>79</v>
      </c>
      <c r="F557" s="35"/>
      <c r="G557" s="64" t="s">
        <v>607</v>
      </c>
      <c r="H557" s="62">
        <f>H558+H563+H585</f>
        <v>8945.6</v>
      </c>
      <c r="I557" s="62">
        <f>I558+I563+I585</f>
        <v>8742.5999999999985</v>
      </c>
      <c r="J557" s="62">
        <f t="shared" si="96"/>
        <v>97.7</v>
      </c>
    </row>
    <row r="558" spans="1:10" s="37" customFormat="1" ht="40.200000000000003" x14ac:dyDescent="0.3">
      <c r="A558" s="27"/>
      <c r="B558" s="70"/>
      <c r="C558" s="16" t="s">
        <v>109</v>
      </c>
      <c r="D558" s="16" t="s">
        <v>104</v>
      </c>
      <c r="E558" s="52" t="s">
        <v>81</v>
      </c>
      <c r="F558" s="21"/>
      <c r="G558" s="46" t="s">
        <v>619</v>
      </c>
      <c r="H558" s="58">
        <f>H559</f>
        <v>135.30000000000001</v>
      </c>
      <c r="I558" s="58">
        <f>I559</f>
        <v>135.30000000000001</v>
      </c>
      <c r="J558" s="58">
        <f t="shared" si="96"/>
        <v>100</v>
      </c>
    </row>
    <row r="559" spans="1:10" s="37" customFormat="1" ht="53.4" x14ac:dyDescent="0.3">
      <c r="A559" s="27"/>
      <c r="B559" s="70"/>
      <c r="C559" s="16" t="s">
        <v>109</v>
      </c>
      <c r="D559" s="16" t="s">
        <v>104</v>
      </c>
      <c r="E559" s="21" t="s">
        <v>769</v>
      </c>
      <c r="F559" s="21"/>
      <c r="G559" s="99" t="s">
        <v>770</v>
      </c>
      <c r="H559" s="96">
        <f>H560</f>
        <v>135.30000000000001</v>
      </c>
      <c r="I559" s="96">
        <f>I560</f>
        <v>135.30000000000001</v>
      </c>
      <c r="J559" s="96">
        <f t="shared" si="96"/>
        <v>100</v>
      </c>
    </row>
    <row r="560" spans="1:10" s="37" customFormat="1" ht="39.6" x14ac:dyDescent="0.3">
      <c r="A560" s="27"/>
      <c r="B560" s="70"/>
      <c r="C560" s="16" t="s">
        <v>109</v>
      </c>
      <c r="D560" s="16" t="s">
        <v>104</v>
      </c>
      <c r="E560" s="57" t="s">
        <v>698</v>
      </c>
      <c r="F560" s="21"/>
      <c r="G560" s="100" t="s">
        <v>137</v>
      </c>
      <c r="H560" s="41">
        <f>SUM(H561:H562)</f>
        <v>135.30000000000001</v>
      </c>
      <c r="I560" s="41">
        <f>SUM(I561:I562)</f>
        <v>135.30000000000001</v>
      </c>
      <c r="J560" s="96">
        <f t="shared" si="96"/>
        <v>100</v>
      </c>
    </row>
    <row r="561" spans="1:10" s="37" customFormat="1" ht="26.4" x14ac:dyDescent="0.3">
      <c r="A561" s="27"/>
      <c r="B561" s="70"/>
      <c r="C561" s="16" t="s">
        <v>109</v>
      </c>
      <c r="D561" s="16" t="s">
        <v>104</v>
      </c>
      <c r="E561" s="57" t="s">
        <v>698</v>
      </c>
      <c r="F561" s="84" t="s">
        <v>70</v>
      </c>
      <c r="G561" s="55" t="s">
        <v>133</v>
      </c>
      <c r="H561" s="41">
        <f>64.4-26.3-14.3</f>
        <v>23.800000000000008</v>
      </c>
      <c r="I561" s="41">
        <f>64.4-26.3-14.3</f>
        <v>23.800000000000008</v>
      </c>
      <c r="J561" s="96">
        <f t="shared" si="96"/>
        <v>100</v>
      </c>
    </row>
    <row r="562" spans="1:10" s="37" customFormat="1" ht="39.6" x14ac:dyDescent="0.3">
      <c r="A562" s="27"/>
      <c r="B562" s="70"/>
      <c r="C562" s="16" t="s">
        <v>109</v>
      </c>
      <c r="D562" s="16" t="s">
        <v>104</v>
      </c>
      <c r="E562" s="57" t="s">
        <v>698</v>
      </c>
      <c r="F562" s="84" t="s">
        <v>212</v>
      </c>
      <c r="G562" s="100" t="s">
        <v>213</v>
      </c>
      <c r="H562" s="41">
        <f>70.9+26.3+14.3</f>
        <v>111.5</v>
      </c>
      <c r="I562" s="41">
        <f>70.9+26.3+14.3</f>
        <v>111.5</v>
      </c>
      <c r="J562" s="96">
        <f t="shared" si="96"/>
        <v>100</v>
      </c>
    </row>
    <row r="563" spans="1:10" s="37" customFormat="1" ht="27" x14ac:dyDescent="0.3">
      <c r="A563" s="27"/>
      <c r="B563" s="70"/>
      <c r="C563" s="16" t="s">
        <v>109</v>
      </c>
      <c r="D563" s="16" t="s">
        <v>104</v>
      </c>
      <c r="E563" s="52" t="s">
        <v>670</v>
      </c>
      <c r="F563" s="84"/>
      <c r="G563" s="46" t="s">
        <v>671</v>
      </c>
      <c r="H563" s="122">
        <f>H564+H569+H572+H582</f>
        <v>1497</v>
      </c>
      <c r="I563" s="122">
        <f>I564+I569+I572+I582</f>
        <v>1306.5</v>
      </c>
      <c r="J563" s="58">
        <f t="shared" si="96"/>
        <v>87.3</v>
      </c>
    </row>
    <row r="564" spans="1:10" s="37" customFormat="1" ht="27" x14ac:dyDescent="0.3">
      <c r="A564" s="27"/>
      <c r="B564" s="70"/>
      <c r="C564" s="16" t="s">
        <v>109</v>
      </c>
      <c r="D564" s="16" t="s">
        <v>104</v>
      </c>
      <c r="E564" s="21" t="s">
        <v>779</v>
      </c>
      <c r="F564" s="21"/>
      <c r="G564" s="99" t="s">
        <v>780</v>
      </c>
      <c r="H564" s="109">
        <f>H565+H567</f>
        <v>298.2</v>
      </c>
      <c r="I564" s="109">
        <f>I565+I567</f>
        <v>298.2</v>
      </c>
      <c r="J564" s="96">
        <f t="shared" si="96"/>
        <v>100</v>
      </c>
    </row>
    <row r="565" spans="1:10" s="37" customFormat="1" ht="36" customHeight="1" x14ac:dyDescent="0.3">
      <c r="A565" s="27"/>
      <c r="B565" s="70"/>
      <c r="C565" s="16" t="s">
        <v>109</v>
      </c>
      <c r="D565" s="16" t="s">
        <v>104</v>
      </c>
      <c r="E565" s="21" t="s">
        <v>699</v>
      </c>
      <c r="F565" s="16"/>
      <c r="G565" s="99" t="s">
        <v>700</v>
      </c>
      <c r="H565" s="101">
        <f>H566</f>
        <v>120.1</v>
      </c>
      <c r="I565" s="101">
        <f>I566</f>
        <v>120.1</v>
      </c>
      <c r="J565" s="96">
        <f t="shared" si="96"/>
        <v>100</v>
      </c>
    </row>
    <row r="566" spans="1:10" s="37" customFormat="1" ht="14.4" x14ac:dyDescent="0.3">
      <c r="A566" s="27"/>
      <c r="B566" s="70"/>
      <c r="C566" s="16" t="s">
        <v>109</v>
      </c>
      <c r="D566" s="16" t="s">
        <v>104</v>
      </c>
      <c r="E566" s="21" t="s">
        <v>699</v>
      </c>
      <c r="F566" s="84" t="s">
        <v>373</v>
      </c>
      <c r="G566" s="100" t="s">
        <v>374</v>
      </c>
      <c r="H566" s="41">
        <f>129.1-9</f>
        <v>120.1</v>
      </c>
      <c r="I566" s="41">
        <f>129.1-9</f>
        <v>120.1</v>
      </c>
      <c r="J566" s="96">
        <f t="shared" si="96"/>
        <v>100</v>
      </c>
    </row>
    <row r="567" spans="1:10" s="37" customFormat="1" ht="39.6" x14ac:dyDescent="0.3">
      <c r="A567" s="27"/>
      <c r="B567" s="70"/>
      <c r="C567" s="16" t="s">
        <v>109</v>
      </c>
      <c r="D567" s="16" t="s">
        <v>104</v>
      </c>
      <c r="E567" s="57" t="s">
        <v>701</v>
      </c>
      <c r="F567" s="16"/>
      <c r="G567" s="100" t="s">
        <v>54</v>
      </c>
      <c r="H567" s="41">
        <f>H568</f>
        <v>178.1</v>
      </c>
      <c r="I567" s="41">
        <f>I568</f>
        <v>178.1</v>
      </c>
      <c r="J567" s="96">
        <f t="shared" si="96"/>
        <v>100</v>
      </c>
    </row>
    <row r="568" spans="1:10" s="37" customFormat="1" ht="39.6" x14ac:dyDescent="0.3">
      <c r="A568" s="27"/>
      <c r="B568" s="70"/>
      <c r="C568" s="16" t="s">
        <v>109</v>
      </c>
      <c r="D568" s="16" t="s">
        <v>104</v>
      </c>
      <c r="E568" s="57" t="s">
        <v>701</v>
      </c>
      <c r="F568" s="84" t="s">
        <v>212</v>
      </c>
      <c r="G568" s="100" t="s">
        <v>213</v>
      </c>
      <c r="H568" s="41">
        <f>176.1-4.6+6.6</f>
        <v>178.1</v>
      </c>
      <c r="I568" s="41">
        <v>178.1</v>
      </c>
      <c r="J568" s="96">
        <f t="shared" si="96"/>
        <v>100</v>
      </c>
    </row>
    <row r="569" spans="1:10" s="37" customFormat="1" ht="40.200000000000003" x14ac:dyDescent="0.3">
      <c r="A569" s="27"/>
      <c r="B569" s="70"/>
      <c r="C569" s="16" t="s">
        <v>109</v>
      </c>
      <c r="D569" s="16" t="s">
        <v>104</v>
      </c>
      <c r="E569" s="21" t="s">
        <v>781</v>
      </c>
      <c r="F569" s="21"/>
      <c r="G569" s="99" t="s">
        <v>783</v>
      </c>
      <c r="H569" s="101">
        <f>H570</f>
        <v>68.8</v>
      </c>
      <c r="I569" s="101">
        <f>I570</f>
        <v>68.8</v>
      </c>
      <c r="J569" s="96">
        <f t="shared" si="96"/>
        <v>100</v>
      </c>
    </row>
    <row r="570" spans="1:10" s="37" customFormat="1" ht="40.200000000000003" x14ac:dyDescent="0.3">
      <c r="A570" s="27"/>
      <c r="B570" s="70"/>
      <c r="C570" s="16" t="s">
        <v>109</v>
      </c>
      <c r="D570" s="16" t="s">
        <v>104</v>
      </c>
      <c r="E570" s="57" t="s">
        <v>702</v>
      </c>
      <c r="F570" s="16"/>
      <c r="G570" s="151" t="s">
        <v>703</v>
      </c>
      <c r="H570" s="96">
        <f>H571</f>
        <v>68.8</v>
      </c>
      <c r="I570" s="96">
        <f>I571</f>
        <v>68.8</v>
      </c>
      <c r="J570" s="96">
        <f t="shared" si="96"/>
        <v>100</v>
      </c>
    </row>
    <row r="571" spans="1:10" s="37" customFormat="1" ht="15.75" customHeight="1" x14ac:dyDescent="0.3">
      <c r="A571" s="27"/>
      <c r="B571" s="70"/>
      <c r="C571" s="16" t="s">
        <v>109</v>
      </c>
      <c r="D571" s="16" t="s">
        <v>104</v>
      </c>
      <c r="E571" s="57" t="s">
        <v>702</v>
      </c>
      <c r="F571" s="21" t="s">
        <v>226</v>
      </c>
      <c r="G571" s="100" t="s">
        <v>225</v>
      </c>
      <c r="H571" s="96">
        <f>88.9-33.7+13.6</f>
        <v>68.8</v>
      </c>
      <c r="I571" s="96">
        <v>68.8</v>
      </c>
      <c r="J571" s="96">
        <f t="shared" si="96"/>
        <v>100</v>
      </c>
    </row>
    <row r="572" spans="1:10" s="37" customFormat="1" ht="40.200000000000003" x14ac:dyDescent="0.3">
      <c r="A572" s="27"/>
      <c r="B572" s="70"/>
      <c r="C572" s="16" t="s">
        <v>109</v>
      </c>
      <c r="D572" s="16" t="s">
        <v>104</v>
      </c>
      <c r="E572" s="21" t="s">
        <v>784</v>
      </c>
      <c r="F572" s="21"/>
      <c r="G572" s="99" t="s">
        <v>785</v>
      </c>
      <c r="H572" s="41">
        <f>H573+H575+H578+H580</f>
        <v>1080</v>
      </c>
      <c r="I572" s="41">
        <f>I573+I575+I578+I580</f>
        <v>889.5</v>
      </c>
      <c r="J572" s="96">
        <f t="shared" si="96"/>
        <v>82.4</v>
      </c>
    </row>
    <row r="573" spans="1:10" s="37" customFormat="1" ht="66" x14ac:dyDescent="0.3">
      <c r="A573" s="27"/>
      <c r="B573" s="70"/>
      <c r="C573" s="16" t="s">
        <v>109</v>
      </c>
      <c r="D573" s="16" t="s">
        <v>104</v>
      </c>
      <c r="E573" s="81">
        <v>140323020</v>
      </c>
      <c r="F573" s="83"/>
      <c r="G573" s="100" t="s">
        <v>136</v>
      </c>
      <c r="H573" s="41">
        <f>H574</f>
        <v>281.3</v>
      </c>
      <c r="I573" s="41">
        <f>I574</f>
        <v>281.3</v>
      </c>
      <c r="J573" s="96">
        <f t="shared" si="96"/>
        <v>100</v>
      </c>
    </row>
    <row r="574" spans="1:10" s="37" customFormat="1" ht="39.6" x14ac:dyDescent="0.3">
      <c r="A574" s="27"/>
      <c r="B574" s="70"/>
      <c r="C574" s="16" t="s">
        <v>109</v>
      </c>
      <c r="D574" s="16" t="s">
        <v>104</v>
      </c>
      <c r="E574" s="81">
        <v>140323020</v>
      </c>
      <c r="F574" s="84" t="s">
        <v>212</v>
      </c>
      <c r="G574" s="100" t="s">
        <v>213</v>
      </c>
      <c r="H574" s="41">
        <v>281.3</v>
      </c>
      <c r="I574" s="41">
        <v>281.3</v>
      </c>
      <c r="J574" s="96">
        <f t="shared" si="96"/>
        <v>100</v>
      </c>
    </row>
    <row r="575" spans="1:10" s="37" customFormat="1" ht="76.5" customHeight="1" x14ac:dyDescent="0.3">
      <c r="A575" s="27"/>
      <c r="B575" s="70"/>
      <c r="C575" s="16" t="s">
        <v>109</v>
      </c>
      <c r="D575" s="16" t="s">
        <v>104</v>
      </c>
      <c r="E575" s="81">
        <v>140323025</v>
      </c>
      <c r="F575" s="83"/>
      <c r="G575" s="100" t="s">
        <v>704</v>
      </c>
      <c r="H575" s="41">
        <f>SUM(H576:H577)</f>
        <v>305.7</v>
      </c>
      <c r="I575" s="41">
        <f>SUM(I576:I577)</f>
        <v>305.7</v>
      </c>
      <c r="J575" s="96">
        <f t="shared" si="96"/>
        <v>100</v>
      </c>
    </row>
    <row r="576" spans="1:10" s="37" customFormat="1" ht="39.6" x14ac:dyDescent="0.3">
      <c r="A576" s="27"/>
      <c r="B576" s="70"/>
      <c r="C576" s="16" t="s">
        <v>109</v>
      </c>
      <c r="D576" s="16" t="s">
        <v>104</v>
      </c>
      <c r="E576" s="81">
        <v>140323025</v>
      </c>
      <c r="F576" s="84" t="s">
        <v>212</v>
      </c>
      <c r="G576" s="100" t="s">
        <v>213</v>
      </c>
      <c r="H576" s="41">
        <f>305.7-35</f>
        <v>270.7</v>
      </c>
      <c r="I576" s="39">
        <v>270.7</v>
      </c>
      <c r="J576" s="96">
        <f t="shared" si="96"/>
        <v>100</v>
      </c>
    </row>
    <row r="577" spans="1:10" s="37" customFormat="1" ht="14.4" x14ac:dyDescent="0.3">
      <c r="A577" s="27"/>
      <c r="B577" s="70"/>
      <c r="C577" s="16" t="s">
        <v>109</v>
      </c>
      <c r="D577" s="16" t="s">
        <v>104</v>
      </c>
      <c r="E577" s="81">
        <v>140323025</v>
      </c>
      <c r="F577" s="84" t="s">
        <v>705</v>
      </c>
      <c r="G577" s="100" t="s">
        <v>706</v>
      </c>
      <c r="H577" s="41">
        <v>35</v>
      </c>
      <c r="I577" s="39">
        <v>35</v>
      </c>
      <c r="J577" s="96">
        <f t="shared" si="96"/>
        <v>100</v>
      </c>
    </row>
    <row r="578" spans="1:10" s="37" customFormat="1" ht="51.75" customHeight="1" x14ac:dyDescent="0.3">
      <c r="A578" s="27"/>
      <c r="B578" s="70"/>
      <c r="C578" s="16" t="s">
        <v>109</v>
      </c>
      <c r="D578" s="16" t="s">
        <v>104</v>
      </c>
      <c r="E578" s="81" t="s">
        <v>707</v>
      </c>
      <c r="F578" s="84"/>
      <c r="G578" s="100" t="s">
        <v>708</v>
      </c>
      <c r="H578" s="41">
        <f>H579</f>
        <v>83</v>
      </c>
      <c r="I578" s="41">
        <f>I579</f>
        <v>55</v>
      </c>
      <c r="J578" s="96">
        <f t="shared" si="96"/>
        <v>66.3</v>
      </c>
    </row>
    <row r="579" spans="1:10" s="37" customFormat="1" ht="39.6" x14ac:dyDescent="0.3">
      <c r="A579" s="27"/>
      <c r="B579" s="70"/>
      <c r="C579" s="16" t="s">
        <v>109</v>
      </c>
      <c r="D579" s="16" t="s">
        <v>104</v>
      </c>
      <c r="E579" s="81" t="s">
        <v>707</v>
      </c>
      <c r="F579" s="84" t="s">
        <v>212</v>
      </c>
      <c r="G579" s="100" t="s">
        <v>213</v>
      </c>
      <c r="H579" s="41">
        <f>49.3+33.7</f>
        <v>83</v>
      </c>
      <c r="I579" s="101">
        <v>55</v>
      </c>
      <c r="J579" s="96">
        <f t="shared" si="96"/>
        <v>66.3</v>
      </c>
    </row>
    <row r="580" spans="1:10" s="37" customFormat="1" ht="39.6" x14ac:dyDescent="0.3">
      <c r="A580" s="27"/>
      <c r="B580" s="70"/>
      <c r="C580" s="16" t="s">
        <v>109</v>
      </c>
      <c r="D580" s="16" t="s">
        <v>104</v>
      </c>
      <c r="E580" s="81">
        <v>140311080</v>
      </c>
      <c r="F580" s="84"/>
      <c r="G580" s="100" t="s">
        <v>709</v>
      </c>
      <c r="H580" s="41">
        <f>H581</f>
        <v>410</v>
      </c>
      <c r="I580" s="41">
        <f>I581</f>
        <v>247.5</v>
      </c>
      <c r="J580" s="96">
        <f t="shared" si="96"/>
        <v>60.4</v>
      </c>
    </row>
    <row r="581" spans="1:10" s="37" customFormat="1" ht="39.6" x14ac:dyDescent="0.3">
      <c r="A581" s="27"/>
      <c r="B581" s="70"/>
      <c r="C581" s="16" t="s">
        <v>109</v>
      </c>
      <c r="D581" s="16" t="s">
        <v>104</v>
      </c>
      <c r="E581" s="81">
        <v>140311080</v>
      </c>
      <c r="F581" s="84" t="s">
        <v>212</v>
      </c>
      <c r="G581" s="100" t="s">
        <v>213</v>
      </c>
      <c r="H581" s="158">
        <v>410</v>
      </c>
      <c r="I581" s="39">
        <v>247.5</v>
      </c>
      <c r="J581" s="96">
        <f t="shared" si="96"/>
        <v>60.4</v>
      </c>
    </row>
    <row r="582" spans="1:10" s="37" customFormat="1" ht="26.4" x14ac:dyDescent="0.3">
      <c r="A582" s="27"/>
      <c r="B582" s="70"/>
      <c r="C582" s="16" t="s">
        <v>109</v>
      </c>
      <c r="D582" s="16" t="s">
        <v>104</v>
      </c>
      <c r="E582" s="21" t="s">
        <v>786</v>
      </c>
      <c r="F582" s="84"/>
      <c r="G582" s="216" t="s">
        <v>787</v>
      </c>
      <c r="H582" s="158">
        <f>H583</f>
        <v>50</v>
      </c>
      <c r="I582" s="158">
        <f>I583</f>
        <v>50</v>
      </c>
      <c r="J582" s="96">
        <f t="shared" si="96"/>
        <v>100</v>
      </c>
    </row>
    <row r="583" spans="1:10" s="37" customFormat="1" ht="66.599999999999994" x14ac:dyDescent="0.3">
      <c r="A583" s="27"/>
      <c r="B583" s="70"/>
      <c r="C583" s="16" t="s">
        <v>109</v>
      </c>
      <c r="D583" s="16" t="s">
        <v>104</v>
      </c>
      <c r="E583" s="21" t="s">
        <v>710</v>
      </c>
      <c r="F583" s="84"/>
      <c r="G583" s="162" t="s">
        <v>711</v>
      </c>
      <c r="H583" s="158">
        <f>H584</f>
        <v>50</v>
      </c>
      <c r="I583" s="158">
        <f>I584</f>
        <v>50</v>
      </c>
      <c r="J583" s="96">
        <f t="shared" si="96"/>
        <v>100</v>
      </c>
    </row>
    <row r="584" spans="1:10" s="37" customFormat="1" ht="39.6" x14ac:dyDescent="0.3">
      <c r="A584" s="27"/>
      <c r="B584" s="70"/>
      <c r="C584" s="16" t="s">
        <v>109</v>
      </c>
      <c r="D584" s="16" t="s">
        <v>104</v>
      </c>
      <c r="E584" s="21" t="s">
        <v>710</v>
      </c>
      <c r="F584" s="84" t="s">
        <v>212</v>
      </c>
      <c r="G584" s="100" t="s">
        <v>213</v>
      </c>
      <c r="H584" s="158">
        <v>50</v>
      </c>
      <c r="I584" s="39">
        <v>50</v>
      </c>
      <c r="J584" s="96">
        <f t="shared" si="96"/>
        <v>100</v>
      </c>
    </row>
    <row r="585" spans="1:10" s="37" customFormat="1" ht="14.4" x14ac:dyDescent="0.3">
      <c r="A585" s="27"/>
      <c r="B585" s="70"/>
      <c r="C585" s="16" t="s">
        <v>109</v>
      </c>
      <c r="D585" s="16" t="s">
        <v>104</v>
      </c>
      <c r="E585" s="52" t="s">
        <v>82</v>
      </c>
      <c r="F585" s="16"/>
      <c r="G585" s="66" t="s">
        <v>51</v>
      </c>
      <c r="H585" s="41">
        <f>H586</f>
        <v>7313.3</v>
      </c>
      <c r="I585" s="41">
        <f>I586</f>
        <v>7300.7999999999993</v>
      </c>
      <c r="J585" s="96">
        <f t="shared" si="96"/>
        <v>99.8</v>
      </c>
    </row>
    <row r="586" spans="1:10" s="37" customFormat="1" ht="66" x14ac:dyDescent="0.3">
      <c r="A586" s="27"/>
      <c r="B586" s="70"/>
      <c r="C586" s="16" t="s">
        <v>109</v>
      </c>
      <c r="D586" s="16" t="s">
        <v>104</v>
      </c>
      <c r="E586" s="81">
        <v>190022200</v>
      </c>
      <c r="F586" s="84"/>
      <c r="G586" s="100" t="s">
        <v>712</v>
      </c>
      <c r="H586" s="41">
        <f>SUM(H587:H589)</f>
        <v>7313.3</v>
      </c>
      <c r="I586" s="41">
        <f>SUM(I587:I589)</f>
        <v>7300.7999999999993</v>
      </c>
      <c r="J586" s="96">
        <f t="shared" si="96"/>
        <v>99.8</v>
      </c>
    </row>
    <row r="587" spans="1:10" s="37" customFormat="1" ht="39.6" x14ac:dyDescent="0.3">
      <c r="A587" s="27"/>
      <c r="B587" s="70"/>
      <c r="C587" s="16" t="s">
        <v>109</v>
      </c>
      <c r="D587" s="16" t="s">
        <v>104</v>
      </c>
      <c r="E587" s="81">
        <v>190022200</v>
      </c>
      <c r="F587" s="16" t="s">
        <v>68</v>
      </c>
      <c r="G587" s="55" t="s">
        <v>69</v>
      </c>
      <c r="H587" s="41">
        <f>6640.6+20+266.1</f>
        <v>6926.7000000000007</v>
      </c>
      <c r="I587" s="41">
        <v>6917.4</v>
      </c>
      <c r="J587" s="96">
        <f t="shared" si="96"/>
        <v>99.9</v>
      </c>
    </row>
    <row r="588" spans="1:10" s="37" customFormat="1" ht="39.6" x14ac:dyDescent="0.3">
      <c r="A588" s="27"/>
      <c r="B588" s="70"/>
      <c r="C588" s="16" t="s">
        <v>109</v>
      </c>
      <c r="D588" s="16" t="s">
        <v>104</v>
      </c>
      <c r="E588" s="81">
        <v>190022200</v>
      </c>
      <c r="F588" s="84" t="s">
        <v>212</v>
      </c>
      <c r="G588" s="100" t="s">
        <v>213</v>
      </c>
      <c r="H588" s="41">
        <f>406.6-0.2-20</f>
        <v>386.40000000000003</v>
      </c>
      <c r="I588" s="41">
        <v>383.2</v>
      </c>
      <c r="J588" s="96">
        <f t="shared" si="96"/>
        <v>99.2</v>
      </c>
    </row>
    <row r="589" spans="1:10" s="37" customFormat="1" ht="26.4" x14ac:dyDescent="0.3">
      <c r="A589" s="27"/>
      <c r="B589" s="70"/>
      <c r="C589" s="16" t="s">
        <v>109</v>
      </c>
      <c r="D589" s="16" t="s">
        <v>104</v>
      </c>
      <c r="E589" s="81">
        <v>190022200</v>
      </c>
      <c r="F589" s="84" t="s">
        <v>134</v>
      </c>
      <c r="G589" s="100" t="s">
        <v>135</v>
      </c>
      <c r="H589" s="41">
        <v>0.2</v>
      </c>
      <c r="I589" s="41">
        <v>0.2</v>
      </c>
      <c r="J589" s="96">
        <f t="shared" si="96"/>
        <v>100</v>
      </c>
    </row>
    <row r="590" spans="1:10" s="37" customFormat="1" ht="15.6" x14ac:dyDescent="0.3">
      <c r="A590" s="27"/>
      <c r="B590" s="93"/>
      <c r="C590" s="4" t="s">
        <v>115</v>
      </c>
      <c r="D590" s="3"/>
      <c r="E590" s="3"/>
      <c r="F590" s="3"/>
      <c r="G590" s="49" t="s">
        <v>116</v>
      </c>
      <c r="H590" s="94">
        <f t="shared" ref="H590:I590" si="98">H591+H597</f>
        <v>11564.5</v>
      </c>
      <c r="I590" s="94">
        <f t="shared" si="98"/>
        <v>8829.6</v>
      </c>
      <c r="J590" s="160">
        <f t="shared" si="96"/>
        <v>76.400000000000006</v>
      </c>
    </row>
    <row r="591" spans="1:10" s="37" customFormat="1" ht="14.4" x14ac:dyDescent="0.3">
      <c r="A591" s="27"/>
      <c r="B591" s="93"/>
      <c r="C591" s="35" t="s">
        <v>115</v>
      </c>
      <c r="D591" s="35" t="s">
        <v>98</v>
      </c>
      <c r="E591" s="35"/>
      <c r="F591" s="35"/>
      <c r="G591" s="45" t="s">
        <v>121</v>
      </c>
      <c r="H591" s="95">
        <f t="shared" ref="H591:I592" si="99">H592</f>
        <v>1026</v>
      </c>
      <c r="I591" s="95">
        <f t="shared" si="99"/>
        <v>1074.5</v>
      </c>
      <c r="J591" s="42">
        <f t="shared" si="96"/>
        <v>104.7</v>
      </c>
    </row>
    <row r="592" spans="1:10" s="37" customFormat="1" ht="79.8" x14ac:dyDescent="0.3">
      <c r="A592" s="27"/>
      <c r="B592" s="93"/>
      <c r="C592" s="83" t="s">
        <v>115</v>
      </c>
      <c r="D592" s="83" t="s">
        <v>98</v>
      </c>
      <c r="E592" s="21" t="s">
        <v>79</v>
      </c>
      <c r="F592" s="35"/>
      <c r="G592" s="64" t="s">
        <v>607</v>
      </c>
      <c r="H592" s="98">
        <f t="shared" si="99"/>
        <v>1026</v>
      </c>
      <c r="I592" s="98">
        <f t="shared" si="99"/>
        <v>1074.5</v>
      </c>
      <c r="J592" s="62">
        <f t="shared" si="96"/>
        <v>104.7</v>
      </c>
    </row>
    <row r="593" spans="1:10" s="37" customFormat="1" ht="27" x14ac:dyDescent="0.3">
      <c r="A593" s="27"/>
      <c r="B593" s="93"/>
      <c r="C593" s="47" t="s">
        <v>115</v>
      </c>
      <c r="D593" s="47" t="s">
        <v>98</v>
      </c>
      <c r="E593" s="52" t="s">
        <v>670</v>
      </c>
      <c r="F593" s="84"/>
      <c r="G593" s="46" t="s">
        <v>671</v>
      </c>
      <c r="H593" s="109">
        <f t="shared" ref="H593:I595" si="100">H594</f>
        <v>1026</v>
      </c>
      <c r="I593" s="109">
        <f t="shared" si="100"/>
        <v>1074.5</v>
      </c>
      <c r="J593" s="58">
        <f t="shared" si="96"/>
        <v>104.7</v>
      </c>
    </row>
    <row r="594" spans="1:10" s="37" customFormat="1" ht="27" x14ac:dyDescent="0.3">
      <c r="A594" s="27"/>
      <c r="B594" s="93"/>
      <c r="C594" s="16" t="s">
        <v>115</v>
      </c>
      <c r="D594" s="16" t="s">
        <v>98</v>
      </c>
      <c r="E594" s="21" t="s">
        <v>779</v>
      </c>
      <c r="F594" s="21"/>
      <c r="G594" s="99" t="s">
        <v>780</v>
      </c>
      <c r="H594" s="109">
        <f t="shared" si="100"/>
        <v>1026</v>
      </c>
      <c r="I594" s="109">
        <f t="shared" si="100"/>
        <v>1074.5</v>
      </c>
      <c r="J594" s="96">
        <f t="shared" si="96"/>
        <v>104.7</v>
      </c>
    </row>
    <row r="595" spans="1:10" s="37" customFormat="1" ht="94.5" customHeight="1" x14ac:dyDescent="0.3">
      <c r="A595" s="27"/>
      <c r="B595" s="93"/>
      <c r="C595" s="16" t="s">
        <v>115</v>
      </c>
      <c r="D595" s="16" t="s">
        <v>98</v>
      </c>
      <c r="E595" s="81">
        <v>140210560</v>
      </c>
      <c r="F595" s="84"/>
      <c r="G595" s="100" t="s">
        <v>184</v>
      </c>
      <c r="H595" s="41">
        <f t="shared" si="100"/>
        <v>1026</v>
      </c>
      <c r="I595" s="41">
        <f t="shared" si="100"/>
        <v>1074.5</v>
      </c>
      <c r="J595" s="96">
        <f t="shared" si="96"/>
        <v>104.7</v>
      </c>
    </row>
    <row r="596" spans="1:10" s="37" customFormat="1" ht="26.4" x14ac:dyDescent="0.3">
      <c r="A596" s="27"/>
      <c r="B596" s="93"/>
      <c r="C596" s="16" t="s">
        <v>115</v>
      </c>
      <c r="D596" s="16" t="s">
        <v>98</v>
      </c>
      <c r="E596" s="81">
        <v>140210560</v>
      </c>
      <c r="F596" s="83" t="s">
        <v>283</v>
      </c>
      <c r="G596" s="100" t="s">
        <v>284</v>
      </c>
      <c r="H596" s="158">
        <v>1026</v>
      </c>
      <c r="I596" s="101">
        <v>1074.5</v>
      </c>
      <c r="J596" s="96">
        <f t="shared" si="96"/>
        <v>104.7</v>
      </c>
    </row>
    <row r="597" spans="1:10" s="37" customFormat="1" ht="14.4" x14ac:dyDescent="0.3">
      <c r="A597" s="27"/>
      <c r="B597" s="25"/>
      <c r="C597" s="35" t="s">
        <v>115</v>
      </c>
      <c r="D597" s="35" t="s">
        <v>99</v>
      </c>
      <c r="E597" s="35"/>
      <c r="F597" s="38"/>
      <c r="G597" s="50" t="s">
        <v>15</v>
      </c>
      <c r="H597" s="42">
        <f t="shared" ref="H597:I600" si="101">H598</f>
        <v>10538.5</v>
      </c>
      <c r="I597" s="42">
        <f t="shared" si="101"/>
        <v>7755.1</v>
      </c>
      <c r="J597" s="42">
        <f t="shared" si="96"/>
        <v>73.599999999999994</v>
      </c>
    </row>
    <row r="598" spans="1:10" s="37" customFormat="1" ht="79.5" customHeight="1" x14ac:dyDescent="0.3">
      <c r="A598" s="27"/>
      <c r="B598" s="25"/>
      <c r="C598" s="16" t="s">
        <v>115</v>
      </c>
      <c r="D598" s="16" t="s">
        <v>99</v>
      </c>
      <c r="E598" s="21" t="s">
        <v>79</v>
      </c>
      <c r="F598" s="35"/>
      <c r="G598" s="64" t="s">
        <v>607</v>
      </c>
      <c r="H598" s="98">
        <f t="shared" si="101"/>
        <v>10538.5</v>
      </c>
      <c r="I598" s="98">
        <f t="shared" si="101"/>
        <v>7755.1</v>
      </c>
      <c r="J598" s="62">
        <f t="shared" si="96"/>
        <v>73.599999999999994</v>
      </c>
    </row>
    <row r="599" spans="1:10" s="37" customFormat="1" ht="28.5" customHeight="1" x14ac:dyDescent="0.3">
      <c r="A599" s="27"/>
      <c r="B599" s="25"/>
      <c r="C599" s="16" t="s">
        <v>115</v>
      </c>
      <c r="D599" s="16" t="s">
        <v>99</v>
      </c>
      <c r="E599" s="52" t="s">
        <v>80</v>
      </c>
      <c r="F599" s="35"/>
      <c r="G599" s="46" t="s">
        <v>608</v>
      </c>
      <c r="H599" s="95">
        <f t="shared" si="101"/>
        <v>10538.5</v>
      </c>
      <c r="I599" s="95">
        <f t="shared" si="101"/>
        <v>7755.1</v>
      </c>
      <c r="J599" s="58">
        <f t="shared" si="96"/>
        <v>73.599999999999994</v>
      </c>
    </row>
    <row r="600" spans="1:10" s="37" customFormat="1" ht="27" x14ac:dyDescent="0.3">
      <c r="A600" s="27"/>
      <c r="B600" s="25"/>
      <c r="C600" s="16" t="s">
        <v>115</v>
      </c>
      <c r="D600" s="16" t="s">
        <v>99</v>
      </c>
      <c r="E600" s="21" t="s">
        <v>288</v>
      </c>
      <c r="F600" s="21"/>
      <c r="G600" s="99" t="s">
        <v>788</v>
      </c>
      <c r="H600" s="101">
        <f t="shared" si="101"/>
        <v>10538.5</v>
      </c>
      <c r="I600" s="101">
        <f t="shared" si="101"/>
        <v>7755.1</v>
      </c>
      <c r="J600" s="96">
        <f t="shared" si="96"/>
        <v>73.599999999999994</v>
      </c>
    </row>
    <row r="601" spans="1:10" s="37" customFormat="1" ht="79.2" x14ac:dyDescent="0.3">
      <c r="A601" s="27"/>
      <c r="B601" s="25"/>
      <c r="C601" s="16" t="s">
        <v>115</v>
      </c>
      <c r="D601" s="16" t="s">
        <v>99</v>
      </c>
      <c r="E601" s="57" t="s">
        <v>731</v>
      </c>
      <c r="F601" s="21"/>
      <c r="G601" s="100" t="s">
        <v>732</v>
      </c>
      <c r="H601" s="96">
        <f>H602+H603</f>
        <v>10538.5</v>
      </c>
      <c r="I601" s="96">
        <f>I602+I603</f>
        <v>7755.1</v>
      </c>
      <c r="J601" s="96">
        <f>ROUND((I601/H601*100),1)</f>
        <v>73.599999999999994</v>
      </c>
    </row>
    <row r="602" spans="1:10" s="37" customFormat="1" ht="39.6" x14ac:dyDescent="0.3">
      <c r="A602" s="27"/>
      <c r="B602" s="25"/>
      <c r="C602" s="16" t="s">
        <v>115</v>
      </c>
      <c r="D602" s="16" t="s">
        <v>99</v>
      </c>
      <c r="E602" s="57" t="s">
        <v>731</v>
      </c>
      <c r="F602" s="84" t="s">
        <v>212</v>
      </c>
      <c r="G602" s="100" t="s">
        <v>213</v>
      </c>
      <c r="H602" s="96">
        <v>260</v>
      </c>
      <c r="I602" s="39">
        <v>189.6</v>
      </c>
      <c r="J602" s="96">
        <f t="shared" ref="J602:J609" si="102">ROUND((I602/H602*100),1)</f>
        <v>72.900000000000006</v>
      </c>
    </row>
    <row r="603" spans="1:10" s="37" customFormat="1" ht="39.6" x14ac:dyDescent="0.3">
      <c r="A603" s="27"/>
      <c r="B603" s="25"/>
      <c r="C603" s="16" t="s">
        <v>115</v>
      </c>
      <c r="D603" s="16" t="s">
        <v>99</v>
      </c>
      <c r="E603" s="57" t="s">
        <v>731</v>
      </c>
      <c r="F603" s="84" t="s">
        <v>265</v>
      </c>
      <c r="G603" s="100" t="s">
        <v>253</v>
      </c>
      <c r="H603" s="96">
        <v>10278.5</v>
      </c>
      <c r="I603" s="39">
        <v>7565.5</v>
      </c>
      <c r="J603" s="96">
        <f t="shared" si="102"/>
        <v>73.599999999999994</v>
      </c>
    </row>
    <row r="604" spans="1:10" s="37" customFormat="1" ht="90" customHeight="1" x14ac:dyDescent="0.3">
      <c r="A604" s="27"/>
      <c r="B604" s="93">
        <v>938</v>
      </c>
      <c r="C604" s="13"/>
      <c r="D604" s="13"/>
      <c r="E604" s="13"/>
      <c r="F604" s="13"/>
      <c r="G604" s="14" t="s">
        <v>177</v>
      </c>
      <c r="H604" s="94">
        <f>H605+H612+H667+H722</f>
        <v>197366</v>
      </c>
      <c r="I604" s="94">
        <f>I605+I612+I667+I722</f>
        <v>192020.3</v>
      </c>
      <c r="J604" s="160">
        <f t="shared" si="102"/>
        <v>97.3</v>
      </c>
    </row>
    <row r="605" spans="1:10" s="37" customFormat="1" ht="42" x14ac:dyDescent="0.3">
      <c r="A605" s="27"/>
      <c r="B605" s="93"/>
      <c r="C605" s="4" t="s">
        <v>98</v>
      </c>
      <c r="D605" s="3"/>
      <c r="E605" s="3"/>
      <c r="F605" s="3"/>
      <c r="G605" s="49" t="s">
        <v>103</v>
      </c>
      <c r="H605" s="94">
        <f>H606</f>
        <v>16.100000000000001</v>
      </c>
      <c r="I605" s="94">
        <f>I606</f>
        <v>16.100000000000001</v>
      </c>
      <c r="J605" s="160">
        <f t="shared" si="102"/>
        <v>100</v>
      </c>
    </row>
    <row r="606" spans="1:10" s="37" customFormat="1" ht="40.200000000000003" x14ac:dyDescent="0.3">
      <c r="A606" s="27"/>
      <c r="B606" s="93"/>
      <c r="C606" s="28" t="s">
        <v>98</v>
      </c>
      <c r="D606" s="28" t="s">
        <v>126</v>
      </c>
      <c r="E606" s="28"/>
      <c r="F606" s="34"/>
      <c r="G606" s="46" t="s">
        <v>26</v>
      </c>
      <c r="H606" s="40">
        <f>H607</f>
        <v>16.100000000000001</v>
      </c>
      <c r="I606" s="40">
        <f>I607</f>
        <v>16.100000000000001</v>
      </c>
      <c r="J606" s="42">
        <f t="shared" si="102"/>
        <v>100</v>
      </c>
    </row>
    <row r="607" spans="1:10" s="37" customFormat="1" ht="78.75" customHeight="1" x14ac:dyDescent="0.3">
      <c r="A607" s="27"/>
      <c r="B607" s="93"/>
      <c r="C607" s="21" t="s">
        <v>98</v>
      </c>
      <c r="D607" s="21" t="s">
        <v>126</v>
      </c>
      <c r="E607" s="73" t="s">
        <v>77</v>
      </c>
      <c r="F607" s="16"/>
      <c r="G607" s="53" t="s">
        <v>500</v>
      </c>
      <c r="H607" s="98">
        <f t="shared" ref="H607:I610" si="103">H608</f>
        <v>16.100000000000001</v>
      </c>
      <c r="I607" s="98">
        <f t="shared" si="103"/>
        <v>16.100000000000001</v>
      </c>
      <c r="J607" s="62">
        <f t="shared" si="102"/>
        <v>100</v>
      </c>
    </row>
    <row r="608" spans="1:10" s="37" customFormat="1" ht="52.8" x14ac:dyDescent="0.3">
      <c r="A608" s="27"/>
      <c r="B608" s="93"/>
      <c r="C608" s="21" t="s">
        <v>98</v>
      </c>
      <c r="D608" s="21" t="s">
        <v>126</v>
      </c>
      <c r="E608" s="52" t="s">
        <v>78</v>
      </c>
      <c r="F608" s="16"/>
      <c r="G608" s="60" t="s">
        <v>189</v>
      </c>
      <c r="H608" s="58">
        <f t="shared" si="103"/>
        <v>16.100000000000001</v>
      </c>
      <c r="I608" s="58">
        <f t="shared" si="103"/>
        <v>16.100000000000001</v>
      </c>
      <c r="J608" s="58">
        <f t="shared" si="102"/>
        <v>100</v>
      </c>
    </row>
    <row r="609" spans="1:10" s="37" customFormat="1" ht="39.6" x14ac:dyDescent="0.3">
      <c r="A609" s="27"/>
      <c r="B609" s="93"/>
      <c r="C609" s="21" t="s">
        <v>98</v>
      </c>
      <c r="D609" s="21" t="s">
        <v>126</v>
      </c>
      <c r="E609" s="21" t="s">
        <v>227</v>
      </c>
      <c r="F609" s="84"/>
      <c r="G609" s="100" t="s">
        <v>355</v>
      </c>
      <c r="H609" s="41">
        <f t="shared" si="103"/>
        <v>16.100000000000001</v>
      </c>
      <c r="I609" s="41">
        <f t="shared" si="103"/>
        <v>16.100000000000001</v>
      </c>
      <c r="J609" s="96">
        <f t="shared" si="102"/>
        <v>100</v>
      </c>
    </row>
    <row r="610" spans="1:10" s="37" customFormat="1" ht="66" x14ac:dyDescent="0.3">
      <c r="A610" s="27"/>
      <c r="B610" s="93"/>
      <c r="C610" s="21" t="s">
        <v>98</v>
      </c>
      <c r="D610" s="21" t="s">
        <v>126</v>
      </c>
      <c r="E610" s="21" t="s">
        <v>501</v>
      </c>
      <c r="F610" s="16"/>
      <c r="G610" s="100" t="s">
        <v>356</v>
      </c>
      <c r="H610" s="41">
        <f t="shared" si="103"/>
        <v>16.100000000000001</v>
      </c>
      <c r="I610" s="41">
        <f>I611</f>
        <v>16.100000000000001</v>
      </c>
      <c r="J610" s="96">
        <f t="shared" si="96"/>
        <v>100</v>
      </c>
    </row>
    <row r="611" spans="1:10" s="37" customFormat="1" ht="26.4" x14ac:dyDescent="0.3">
      <c r="A611" s="27"/>
      <c r="B611" s="93"/>
      <c r="C611" s="21" t="s">
        <v>98</v>
      </c>
      <c r="D611" s="21" t="s">
        <v>126</v>
      </c>
      <c r="E611" s="21" t="s">
        <v>501</v>
      </c>
      <c r="F611" s="84" t="s">
        <v>70</v>
      </c>
      <c r="G611" s="55" t="s">
        <v>133</v>
      </c>
      <c r="H611" s="41">
        <f>34-17.9</f>
        <v>16.100000000000001</v>
      </c>
      <c r="I611" s="41">
        <f>34-17.9</f>
        <v>16.100000000000001</v>
      </c>
      <c r="J611" s="96">
        <f t="shared" si="96"/>
        <v>100</v>
      </c>
    </row>
    <row r="612" spans="1:10" s="37" customFormat="1" ht="15.6" x14ac:dyDescent="0.3">
      <c r="A612" s="27"/>
      <c r="B612" s="93"/>
      <c r="C612" s="4" t="s">
        <v>109</v>
      </c>
      <c r="D612" s="3"/>
      <c r="E612" s="3"/>
      <c r="F612" s="3"/>
      <c r="G612" s="49" t="s">
        <v>110</v>
      </c>
      <c r="H612" s="94">
        <f>H613+H635</f>
        <v>23558.6</v>
      </c>
      <c r="I612" s="94">
        <f>I613+I635</f>
        <v>23558.6</v>
      </c>
      <c r="J612" s="160">
        <f t="shared" si="96"/>
        <v>100</v>
      </c>
    </row>
    <row r="613" spans="1:10" s="37" customFormat="1" ht="14.4" x14ac:dyDescent="0.3">
      <c r="A613" s="27"/>
      <c r="B613" s="70"/>
      <c r="C613" s="35" t="s">
        <v>109</v>
      </c>
      <c r="D613" s="35" t="s">
        <v>98</v>
      </c>
      <c r="E613" s="35"/>
      <c r="F613" s="35"/>
      <c r="G613" s="45" t="s">
        <v>157</v>
      </c>
      <c r="H613" s="42">
        <f>H614+H632</f>
        <v>15279.4</v>
      </c>
      <c r="I613" s="42">
        <f>I614+I632</f>
        <v>15279.4</v>
      </c>
      <c r="J613" s="42">
        <f t="shared" si="96"/>
        <v>100</v>
      </c>
    </row>
    <row r="614" spans="1:10" s="37" customFormat="1" ht="93" x14ac:dyDescent="0.3">
      <c r="A614" s="27"/>
      <c r="B614" s="70"/>
      <c r="C614" s="16" t="s">
        <v>109</v>
      </c>
      <c r="D614" s="84" t="s">
        <v>98</v>
      </c>
      <c r="E614" s="73" t="s">
        <v>65</v>
      </c>
      <c r="F614" s="35"/>
      <c r="G614" s="53" t="s">
        <v>673</v>
      </c>
      <c r="H614" s="65">
        <f t="shared" ref="H614:I614" si="104">H615</f>
        <v>15104.4</v>
      </c>
      <c r="I614" s="65">
        <f t="shared" si="104"/>
        <v>15104.4</v>
      </c>
      <c r="J614" s="62">
        <f t="shared" si="96"/>
        <v>100</v>
      </c>
    </row>
    <row r="615" spans="1:10" s="37" customFormat="1" ht="27" x14ac:dyDescent="0.3">
      <c r="A615" s="27"/>
      <c r="B615" s="70"/>
      <c r="C615" s="16" t="s">
        <v>109</v>
      </c>
      <c r="D615" s="84" t="s">
        <v>98</v>
      </c>
      <c r="E615" s="52" t="s">
        <v>66</v>
      </c>
      <c r="F615" s="35"/>
      <c r="G615" s="48" t="s">
        <v>173</v>
      </c>
      <c r="H615" s="58">
        <f>H616+H627</f>
        <v>15104.4</v>
      </c>
      <c r="I615" s="58">
        <f>I616+I627</f>
        <v>15104.4</v>
      </c>
      <c r="J615" s="58">
        <f t="shared" ref="J615" si="105">ROUND((I615/H615*100),1)</f>
        <v>100</v>
      </c>
    </row>
    <row r="616" spans="1:10" s="37" customFormat="1" ht="26.4" x14ac:dyDescent="0.3">
      <c r="A616" s="27"/>
      <c r="B616" s="70"/>
      <c r="C616" s="16" t="s">
        <v>109</v>
      </c>
      <c r="D616" s="84" t="s">
        <v>98</v>
      </c>
      <c r="E616" s="21" t="s">
        <v>257</v>
      </c>
      <c r="F616" s="21"/>
      <c r="G616" s="104" t="s">
        <v>789</v>
      </c>
      <c r="H616" s="39">
        <f>H617+H619+H621+H623+H625</f>
        <v>14710.699999999999</v>
      </c>
      <c r="I616" s="39">
        <f>I617+I619+I621+I623+I625</f>
        <v>14710.699999999999</v>
      </c>
      <c r="J616" s="96">
        <f t="shared" ref="J616:J678" si="106">ROUND((I616/H616*100),1)</f>
        <v>100</v>
      </c>
    </row>
    <row r="617" spans="1:10" s="37" customFormat="1" ht="40.200000000000003" x14ac:dyDescent="0.3">
      <c r="A617" s="27"/>
      <c r="B617" s="71"/>
      <c r="C617" s="16" t="s">
        <v>109</v>
      </c>
      <c r="D617" s="84" t="s">
        <v>98</v>
      </c>
      <c r="E617" s="74">
        <v>210221100</v>
      </c>
      <c r="F617" s="16"/>
      <c r="G617" s="190" t="s">
        <v>175</v>
      </c>
      <c r="H617" s="39">
        <f>H618</f>
        <v>10587.199999999999</v>
      </c>
      <c r="I617" s="39">
        <f>I618</f>
        <v>10587.199999999999</v>
      </c>
      <c r="J617" s="96">
        <f t="shared" si="106"/>
        <v>100</v>
      </c>
    </row>
    <row r="618" spans="1:10" s="37" customFormat="1" ht="14.4" x14ac:dyDescent="0.3">
      <c r="A618" s="27"/>
      <c r="B618" s="25"/>
      <c r="C618" s="16" t="s">
        <v>109</v>
      </c>
      <c r="D618" s="84" t="s">
        <v>98</v>
      </c>
      <c r="E618" s="74">
        <v>210221100</v>
      </c>
      <c r="F618" s="21" t="s">
        <v>226</v>
      </c>
      <c r="G618" s="100" t="s">
        <v>225</v>
      </c>
      <c r="H618" s="148">
        <f>11359.3+72.9-500-8.6-1.5-334.9</f>
        <v>10587.199999999999</v>
      </c>
      <c r="I618" s="148">
        <f>11359.3+72.9-500-8.6-1.5-334.9</f>
        <v>10587.199999999999</v>
      </c>
      <c r="J618" s="96">
        <f t="shared" si="106"/>
        <v>100</v>
      </c>
    </row>
    <row r="619" spans="1:10" s="37" customFormat="1" ht="79.2" x14ac:dyDescent="0.3">
      <c r="A619" s="27"/>
      <c r="B619" s="25"/>
      <c r="C619" s="16" t="s">
        <v>109</v>
      </c>
      <c r="D619" s="84" t="s">
        <v>98</v>
      </c>
      <c r="E619" s="74">
        <v>210210690</v>
      </c>
      <c r="F619" s="21"/>
      <c r="G619" s="100" t="s">
        <v>326</v>
      </c>
      <c r="H619" s="39">
        <f>H620</f>
        <v>3993.3</v>
      </c>
      <c r="I619" s="39">
        <f>I620</f>
        <v>3993.3</v>
      </c>
      <c r="J619" s="96">
        <f t="shared" si="106"/>
        <v>100</v>
      </c>
    </row>
    <row r="620" spans="1:10" s="37" customFormat="1" ht="14.4" x14ac:dyDescent="0.3">
      <c r="A620" s="27"/>
      <c r="B620" s="25"/>
      <c r="C620" s="16" t="s">
        <v>109</v>
      </c>
      <c r="D620" s="84" t="s">
        <v>98</v>
      </c>
      <c r="E620" s="74">
        <v>210210690</v>
      </c>
      <c r="F620" s="21" t="s">
        <v>226</v>
      </c>
      <c r="G620" s="100" t="s">
        <v>225</v>
      </c>
      <c r="H620" s="211">
        <f>3151.3+842</f>
        <v>3993.3</v>
      </c>
      <c r="I620" s="211">
        <f>3151.3+842</f>
        <v>3993.3</v>
      </c>
      <c r="J620" s="96">
        <f t="shared" si="106"/>
        <v>100</v>
      </c>
    </row>
    <row r="621" spans="1:10" s="37" customFormat="1" ht="66" x14ac:dyDescent="0.3">
      <c r="A621" s="27"/>
      <c r="B621" s="25"/>
      <c r="C621" s="16" t="s">
        <v>109</v>
      </c>
      <c r="D621" s="84" t="s">
        <v>98</v>
      </c>
      <c r="E621" s="74" t="s">
        <v>674</v>
      </c>
      <c r="F621" s="84"/>
      <c r="G621" s="100" t="s">
        <v>327</v>
      </c>
      <c r="H621" s="39">
        <f>SUM(H622:H622)</f>
        <v>40.4</v>
      </c>
      <c r="I621" s="39">
        <f>SUM(I622:I622)</f>
        <v>40.4</v>
      </c>
      <c r="J621" s="96">
        <f t="shared" si="106"/>
        <v>100</v>
      </c>
    </row>
    <row r="622" spans="1:10" s="37" customFormat="1" ht="14.4" x14ac:dyDescent="0.3">
      <c r="A622" s="27"/>
      <c r="B622" s="25"/>
      <c r="C622" s="16" t="s">
        <v>109</v>
      </c>
      <c r="D622" s="84" t="s">
        <v>98</v>
      </c>
      <c r="E622" s="74" t="s">
        <v>674</v>
      </c>
      <c r="F622" s="21" t="s">
        <v>226</v>
      </c>
      <c r="G622" s="189" t="s">
        <v>225</v>
      </c>
      <c r="H622" s="39">
        <f>31.8+8.6</f>
        <v>40.4</v>
      </c>
      <c r="I622" s="39">
        <f>31.8+8.6</f>
        <v>40.4</v>
      </c>
      <c r="J622" s="96">
        <f t="shared" si="106"/>
        <v>100</v>
      </c>
    </row>
    <row r="623" spans="1:10" s="37" customFormat="1" ht="66" x14ac:dyDescent="0.3">
      <c r="A623" s="27"/>
      <c r="B623" s="25"/>
      <c r="C623" s="16" t="s">
        <v>109</v>
      </c>
      <c r="D623" s="84" t="s">
        <v>98</v>
      </c>
      <c r="E623" s="74">
        <v>210211390</v>
      </c>
      <c r="F623" s="221"/>
      <c r="G623" s="224" t="s">
        <v>675</v>
      </c>
      <c r="H623" s="222">
        <f>H624</f>
        <v>88.899999999999991</v>
      </c>
      <c r="I623" s="39">
        <f>I624</f>
        <v>88.899999999999991</v>
      </c>
      <c r="J623" s="96">
        <f t="shared" si="106"/>
        <v>100</v>
      </c>
    </row>
    <row r="624" spans="1:10" s="37" customFormat="1" ht="14.4" x14ac:dyDescent="0.3">
      <c r="A624" s="27"/>
      <c r="B624" s="25"/>
      <c r="C624" s="84" t="s">
        <v>109</v>
      </c>
      <c r="D624" s="84" t="s">
        <v>98</v>
      </c>
      <c r="E624" s="74">
        <v>210211390</v>
      </c>
      <c r="F624" s="21" t="s">
        <v>226</v>
      </c>
      <c r="G624" s="223" t="s">
        <v>225</v>
      </c>
      <c r="H624" s="39">
        <f>88.3+0.6</f>
        <v>88.899999999999991</v>
      </c>
      <c r="I624" s="39">
        <f>88.3+0.6</f>
        <v>88.899999999999991</v>
      </c>
      <c r="J624" s="96">
        <f t="shared" si="106"/>
        <v>100</v>
      </c>
    </row>
    <row r="625" spans="1:10" s="37" customFormat="1" ht="27" customHeight="1" x14ac:dyDescent="0.3">
      <c r="A625" s="27"/>
      <c r="B625" s="25"/>
      <c r="C625" s="16" t="s">
        <v>109</v>
      </c>
      <c r="D625" s="84" t="s">
        <v>98</v>
      </c>
      <c r="E625" s="74" t="s">
        <v>676</v>
      </c>
      <c r="F625" s="21"/>
      <c r="G625" s="125" t="s">
        <v>677</v>
      </c>
      <c r="H625" s="39">
        <f>H626</f>
        <v>0.9</v>
      </c>
      <c r="I625" s="39">
        <f>I626</f>
        <v>0.9</v>
      </c>
      <c r="J625" s="96">
        <f t="shared" si="106"/>
        <v>100</v>
      </c>
    </row>
    <row r="626" spans="1:10" s="37" customFormat="1" ht="17.25" customHeight="1" x14ac:dyDescent="0.3">
      <c r="A626" s="27"/>
      <c r="B626" s="25"/>
      <c r="C626" s="84" t="s">
        <v>109</v>
      </c>
      <c r="D626" s="84" t="s">
        <v>98</v>
      </c>
      <c r="E626" s="74" t="s">
        <v>676</v>
      </c>
      <c r="F626" s="21" t="s">
        <v>226</v>
      </c>
      <c r="G626" s="100" t="s">
        <v>225</v>
      </c>
      <c r="H626" s="39">
        <f>1.5-0.6</f>
        <v>0.9</v>
      </c>
      <c r="I626" s="39">
        <f>1.5-0.6</f>
        <v>0.9</v>
      </c>
      <c r="J626" s="96">
        <f t="shared" si="106"/>
        <v>100</v>
      </c>
    </row>
    <row r="627" spans="1:10" s="37" customFormat="1" ht="79.2" x14ac:dyDescent="0.3">
      <c r="A627" s="27"/>
      <c r="B627" s="25"/>
      <c r="C627" s="16" t="s">
        <v>109</v>
      </c>
      <c r="D627" s="84" t="s">
        <v>98</v>
      </c>
      <c r="E627" s="21" t="s">
        <v>790</v>
      </c>
      <c r="F627" s="35"/>
      <c r="G627" s="100" t="s">
        <v>791</v>
      </c>
      <c r="H627" s="41">
        <f>H628+H630</f>
        <v>393.7</v>
      </c>
      <c r="I627" s="41">
        <f>I628+I630</f>
        <v>393.7</v>
      </c>
      <c r="J627" s="96">
        <f t="shared" si="106"/>
        <v>100</v>
      </c>
    </row>
    <row r="628" spans="1:10" s="36" customFormat="1" ht="66" x14ac:dyDescent="0.3">
      <c r="A628" s="27"/>
      <c r="B628" s="25"/>
      <c r="C628" s="16" t="s">
        <v>109</v>
      </c>
      <c r="D628" s="84" t="s">
        <v>98</v>
      </c>
      <c r="E628" s="212" t="s">
        <v>678</v>
      </c>
      <c r="F628" s="21"/>
      <c r="G628" s="54" t="s">
        <v>679</v>
      </c>
      <c r="H628" s="39">
        <f t="shared" ref="H628:I628" si="107">H629</f>
        <v>245</v>
      </c>
      <c r="I628" s="39">
        <f t="shared" si="107"/>
        <v>245</v>
      </c>
      <c r="J628" s="96">
        <f t="shared" si="106"/>
        <v>100</v>
      </c>
    </row>
    <row r="629" spans="1:10" s="36" customFormat="1" ht="14.4" x14ac:dyDescent="0.3">
      <c r="A629" s="27"/>
      <c r="B629" s="25"/>
      <c r="C629" s="16" t="s">
        <v>109</v>
      </c>
      <c r="D629" s="84" t="s">
        <v>98</v>
      </c>
      <c r="E629" s="212" t="s">
        <v>678</v>
      </c>
      <c r="F629" s="21" t="s">
        <v>226</v>
      </c>
      <c r="G629" s="100" t="s">
        <v>225</v>
      </c>
      <c r="H629" s="39">
        <v>245</v>
      </c>
      <c r="I629" s="39">
        <v>245</v>
      </c>
      <c r="J629" s="96">
        <f t="shared" si="106"/>
        <v>100</v>
      </c>
    </row>
    <row r="630" spans="1:10" s="36" customFormat="1" ht="66.599999999999994" x14ac:dyDescent="0.3">
      <c r="A630" s="27"/>
      <c r="B630" s="25"/>
      <c r="C630" s="16" t="s">
        <v>109</v>
      </c>
      <c r="D630" s="84" t="s">
        <v>98</v>
      </c>
      <c r="E630" s="212" t="s">
        <v>680</v>
      </c>
      <c r="F630" s="21"/>
      <c r="G630" s="151" t="s">
        <v>681</v>
      </c>
      <c r="H630" s="39">
        <f>H631</f>
        <v>148.69999999999999</v>
      </c>
      <c r="I630" s="39">
        <f>I631</f>
        <v>148.69999999999999</v>
      </c>
      <c r="J630" s="96">
        <f t="shared" si="106"/>
        <v>100</v>
      </c>
    </row>
    <row r="631" spans="1:10" s="36" customFormat="1" ht="14.4" x14ac:dyDescent="0.3">
      <c r="A631" s="27"/>
      <c r="B631" s="25"/>
      <c r="C631" s="16" t="s">
        <v>109</v>
      </c>
      <c r="D631" s="84" t="s">
        <v>98</v>
      </c>
      <c r="E631" s="212" t="s">
        <v>680</v>
      </c>
      <c r="F631" s="21" t="s">
        <v>226</v>
      </c>
      <c r="G631" s="100" t="s">
        <v>225</v>
      </c>
      <c r="H631" s="39">
        <v>148.69999999999999</v>
      </c>
      <c r="I631" s="39">
        <v>148.69999999999999</v>
      </c>
      <c r="J631" s="96">
        <f t="shared" si="106"/>
        <v>100</v>
      </c>
    </row>
    <row r="632" spans="1:10" s="36" customFormat="1" ht="24.75" customHeight="1" x14ac:dyDescent="0.3">
      <c r="A632" s="27"/>
      <c r="B632" s="25"/>
      <c r="C632" s="84" t="s">
        <v>109</v>
      </c>
      <c r="D632" s="84" t="s">
        <v>98</v>
      </c>
      <c r="E632" s="84" t="s">
        <v>29</v>
      </c>
      <c r="F632" s="84"/>
      <c r="G632" s="102" t="s">
        <v>43</v>
      </c>
      <c r="H632" s="41">
        <f>H633</f>
        <v>175</v>
      </c>
      <c r="I632" s="41">
        <f>I633</f>
        <v>175</v>
      </c>
      <c r="J632" s="96">
        <f t="shared" si="106"/>
        <v>100</v>
      </c>
    </row>
    <row r="633" spans="1:10" ht="41.25" customHeight="1" x14ac:dyDescent="0.25">
      <c r="A633" s="148"/>
      <c r="B633" s="25"/>
      <c r="C633" s="16" t="s">
        <v>109</v>
      </c>
      <c r="D633" s="84" t="s">
        <v>98</v>
      </c>
      <c r="E633" s="84" t="s">
        <v>682</v>
      </c>
      <c r="F633" s="16"/>
      <c r="G633" s="54" t="s">
        <v>351</v>
      </c>
      <c r="H633" s="41">
        <f>SUM(H634:H634)</f>
        <v>175</v>
      </c>
      <c r="I633" s="41">
        <f>SUM(I634:I634)</f>
        <v>175</v>
      </c>
      <c r="J633" s="96">
        <f t="shared" si="106"/>
        <v>100</v>
      </c>
    </row>
    <row r="634" spans="1:10" s="37" customFormat="1" ht="14.4" x14ac:dyDescent="0.3">
      <c r="A634" s="27"/>
      <c r="B634" s="25"/>
      <c r="C634" s="16" t="s">
        <v>109</v>
      </c>
      <c r="D634" s="84" t="s">
        <v>98</v>
      </c>
      <c r="E634" s="84" t="s">
        <v>682</v>
      </c>
      <c r="F634" s="21" t="s">
        <v>226</v>
      </c>
      <c r="G634" s="100" t="s">
        <v>225</v>
      </c>
      <c r="H634" s="39">
        <v>175</v>
      </c>
      <c r="I634" s="39">
        <v>175</v>
      </c>
      <c r="J634" s="96">
        <f t="shared" si="106"/>
        <v>100</v>
      </c>
    </row>
    <row r="635" spans="1:10" s="37" customFormat="1" ht="14.4" x14ac:dyDescent="0.3">
      <c r="A635" s="27"/>
      <c r="B635" s="70"/>
      <c r="C635" s="35" t="s">
        <v>109</v>
      </c>
      <c r="D635" s="35" t="s">
        <v>109</v>
      </c>
      <c r="E635" s="35"/>
      <c r="F635" s="35"/>
      <c r="G635" s="46" t="s">
        <v>156</v>
      </c>
      <c r="H635" s="42">
        <f>H636+H653+H664</f>
        <v>8279.1999999999989</v>
      </c>
      <c r="I635" s="42">
        <f>I636+I653+I664</f>
        <v>8279.1999999999989</v>
      </c>
      <c r="J635" s="42">
        <f t="shared" si="106"/>
        <v>100</v>
      </c>
    </row>
    <row r="636" spans="1:10" s="37" customFormat="1" ht="93" x14ac:dyDescent="0.3">
      <c r="A636" s="27"/>
      <c r="B636" s="70"/>
      <c r="C636" s="16" t="s">
        <v>109</v>
      </c>
      <c r="D636" s="16" t="s">
        <v>109</v>
      </c>
      <c r="E636" s="73" t="s">
        <v>65</v>
      </c>
      <c r="F636" s="35"/>
      <c r="G636" s="53" t="s">
        <v>673</v>
      </c>
      <c r="H636" s="65">
        <f>H637</f>
        <v>8155.0999999999995</v>
      </c>
      <c r="I636" s="65">
        <f>I637</f>
        <v>8155.0999999999995</v>
      </c>
      <c r="J636" s="62">
        <f t="shared" si="106"/>
        <v>100</v>
      </c>
    </row>
    <row r="637" spans="1:10" s="37" customFormat="1" ht="27" x14ac:dyDescent="0.3">
      <c r="A637" s="27"/>
      <c r="B637" s="25"/>
      <c r="C637" s="16" t="s">
        <v>109</v>
      </c>
      <c r="D637" s="16" t="s">
        <v>109</v>
      </c>
      <c r="E637" s="52" t="s">
        <v>35</v>
      </c>
      <c r="F637" s="21"/>
      <c r="G637" s="48" t="s">
        <v>179</v>
      </c>
      <c r="H637" s="41">
        <f>H638+H647+H650</f>
        <v>8155.0999999999995</v>
      </c>
      <c r="I637" s="41">
        <f>I638+I647+I650</f>
        <v>8155.0999999999995</v>
      </c>
      <c r="J637" s="58">
        <f t="shared" si="106"/>
        <v>100</v>
      </c>
    </row>
    <row r="638" spans="1:10" s="37" customFormat="1" ht="39.6" x14ac:dyDescent="0.3">
      <c r="A638" s="27"/>
      <c r="B638" s="25"/>
      <c r="C638" s="16" t="s">
        <v>109</v>
      </c>
      <c r="D638" s="16" t="s">
        <v>109</v>
      </c>
      <c r="E638" s="21" t="s">
        <v>210</v>
      </c>
      <c r="F638" s="16"/>
      <c r="G638" s="104" t="s">
        <v>317</v>
      </c>
      <c r="H638" s="41">
        <f>H639+H641+H643+H645</f>
        <v>343.20000000000005</v>
      </c>
      <c r="I638" s="41">
        <f>I639+I641+I643+I645</f>
        <v>343.20000000000005</v>
      </c>
      <c r="J638" s="96">
        <f t="shared" si="106"/>
        <v>100</v>
      </c>
    </row>
    <row r="639" spans="1:10" s="37" customFormat="1" ht="53.4" x14ac:dyDescent="0.3">
      <c r="A639" s="27"/>
      <c r="B639" s="25"/>
      <c r="C639" s="16" t="s">
        <v>109</v>
      </c>
      <c r="D639" s="16" t="s">
        <v>109</v>
      </c>
      <c r="E639" s="195" t="s">
        <v>687</v>
      </c>
      <c r="F639" s="16"/>
      <c r="G639" s="103" t="s">
        <v>207</v>
      </c>
      <c r="H639" s="39">
        <f>H640</f>
        <v>6.6</v>
      </c>
      <c r="I639" s="39">
        <f>I640</f>
        <v>6.6</v>
      </c>
      <c r="J639" s="96">
        <f t="shared" si="106"/>
        <v>100</v>
      </c>
    </row>
    <row r="640" spans="1:10" s="37" customFormat="1" ht="39.6" x14ac:dyDescent="0.3">
      <c r="A640" s="27"/>
      <c r="B640" s="25"/>
      <c r="C640" s="16" t="s">
        <v>109</v>
      </c>
      <c r="D640" s="16" t="s">
        <v>109</v>
      </c>
      <c r="E640" s="195" t="s">
        <v>687</v>
      </c>
      <c r="F640" s="84" t="s">
        <v>212</v>
      </c>
      <c r="G640" s="100" t="s">
        <v>213</v>
      </c>
      <c r="H640" s="41">
        <v>6.6</v>
      </c>
      <c r="I640" s="41">
        <v>6.6</v>
      </c>
      <c r="J640" s="96">
        <f t="shared" si="106"/>
        <v>100</v>
      </c>
    </row>
    <row r="641" spans="1:10" s="37" customFormat="1" ht="26.4" x14ac:dyDescent="0.3">
      <c r="A641" s="27"/>
      <c r="B641" s="25"/>
      <c r="C641" s="16" t="s">
        <v>109</v>
      </c>
      <c r="D641" s="16" t="s">
        <v>109</v>
      </c>
      <c r="E641" s="195" t="s">
        <v>688</v>
      </c>
      <c r="F641" s="16"/>
      <c r="G641" s="100" t="s">
        <v>180</v>
      </c>
      <c r="H641" s="41">
        <f>H642</f>
        <v>271.60000000000002</v>
      </c>
      <c r="I641" s="41">
        <f>I642</f>
        <v>271.60000000000002</v>
      </c>
      <c r="J641" s="96">
        <f t="shared" si="106"/>
        <v>100</v>
      </c>
    </row>
    <row r="642" spans="1:10" s="37" customFormat="1" ht="39.6" x14ac:dyDescent="0.3">
      <c r="A642" s="27"/>
      <c r="B642" s="25"/>
      <c r="C642" s="16" t="s">
        <v>109</v>
      </c>
      <c r="D642" s="16" t="s">
        <v>109</v>
      </c>
      <c r="E642" s="195" t="s">
        <v>688</v>
      </c>
      <c r="F642" s="84" t="s">
        <v>212</v>
      </c>
      <c r="G642" s="100" t="s">
        <v>213</v>
      </c>
      <c r="H642" s="41">
        <f>289.6-18</f>
        <v>271.60000000000002</v>
      </c>
      <c r="I642" s="41">
        <f>289.6-18</f>
        <v>271.60000000000002</v>
      </c>
      <c r="J642" s="96">
        <f t="shared" si="106"/>
        <v>100</v>
      </c>
    </row>
    <row r="643" spans="1:10" s="37" customFormat="1" ht="66" x14ac:dyDescent="0.3">
      <c r="A643" s="27"/>
      <c r="B643" s="25"/>
      <c r="C643" s="16" t="s">
        <v>109</v>
      </c>
      <c r="D643" s="16" t="s">
        <v>109</v>
      </c>
      <c r="E643" s="195" t="s">
        <v>689</v>
      </c>
      <c r="F643" s="16"/>
      <c r="G643" s="100" t="s">
        <v>83</v>
      </c>
      <c r="H643" s="41">
        <f>H644</f>
        <v>15</v>
      </c>
      <c r="I643" s="41">
        <f>I644</f>
        <v>15</v>
      </c>
      <c r="J643" s="96">
        <f t="shared" si="106"/>
        <v>100</v>
      </c>
    </row>
    <row r="644" spans="1:10" s="37" customFormat="1" ht="39.6" x14ac:dyDescent="0.3">
      <c r="A644" s="27"/>
      <c r="B644" s="25"/>
      <c r="C644" s="16" t="s">
        <v>109</v>
      </c>
      <c r="D644" s="16" t="s">
        <v>109</v>
      </c>
      <c r="E644" s="195" t="s">
        <v>689</v>
      </c>
      <c r="F644" s="84" t="s">
        <v>212</v>
      </c>
      <c r="G644" s="100" t="s">
        <v>213</v>
      </c>
      <c r="H644" s="41">
        <v>15</v>
      </c>
      <c r="I644" s="41">
        <v>15</v>
      </c>
      <c r="J644" s="96">
        <f t="shared" si="106"/>
        <v>100</v>
      </c>
    </row>
    <row r="645" spans="1:10" s="37" customFormat="1" ht="14.4" x14ac:dyDescent="0.3">
      <c r="A645" s="27"/>
      <c r="B645" s="25"/>
      <c r="C645" s="16" t="s">
        <v>109</v>
      </c>
      <c r="D645" s="16" t="s">
        <v>109</v>
      </c>
      <c r="E645" s="195" t="s">
        <v>690</v>
      </c>
      <c r="F645" s="84"/>
      <c r="G645" s="54" t="s">
        <v>396</v>
      </c>
      <c r="H645" s="41">
        <f>H646</f>
        <v>50</v>
      </c>
      <c r="I645" s="41">
        <f>I646</f>
        <v>50</v>
      </c>
      <c r="J645" s="96">
        <f t="shared" si="106"/>
        <v>100</v>
      </c>
    </row>
    <row r="646" spans="1:10" s="37" customFormat="1" ht="39.6" x14ac:dyDescent="0.3">
      <c r="A646" s="27"/>
      <c r="B646" s="25"/>
      <c r="C646" s="16" t="s">
        <v>109</v>
      </c>
      <c r="D646" s="16" t="s">
        <v>109</v>
      </c>
      <c r="E646" s="195" t="s">
        <v>690</v>
      </c>
      <c r="F646" s="84" t="s">
        <v>212</v>
      </c>
      <c r="G646" s="100" t="s">
        <v>213</v>
      </c>
      <c r="H646" s="41">
        <v>50</v>
      </c>
      <c r="I646" s="41">
        <v>50</v>
      </c>
      <c r="J646" s="96">
        <f t="shared" si="106"/>
        <v>100</v>
      </c>
    </row>
    <row r="647" spans="1:10" s="37" customFormat="1" ht="79.2" x14ac:dyDescent="0.3">
      <c r="A647" s="27"/>
      <c r="B647" s="25"/>
      <c r="C647" s="16" t="s">
        <v>109</v>
      </c>
      <c r="D647" s="16" t="s">
        <v>109</v>
      </c>
      <c r="E647" s="21" t="s">
        <v>263</v>
      </c>
      <c r="F647" s="16"/>
      <c r="G647" s="104" t="s">
        <v>264</v>
      </c>
      <c r="H647" s="41">
        <f t="shared" ref="H647:I648" si="108">H648</f>
        <v>7316.2</v>
      </c>
      <c r="I647" s="41">
        <f t="shared" si="108"/>
        <v>7316.2</v>
      </c>
      <c r="J647" s="96">
        <f t="shared" si="106"/>
        <v>100</v>
      </c>
    </row>
    <row r="648" spans="1:10" s="37" customFormat="1" ht="52.8" x14ac:dyDescent="0.3">
      <c r="A648" s="27"/>
      <c r="B648" s="25"/>
      <c r="C648" s="16" t="s">
        <v>109</v>
      </c>
      <c r="D648" s="16" t="s">
        <v>109</v>
      </c>
      <c r="E648" s="74">
        <v>230221100</v>
      </c>
      <c r="F648" s="16"/>
      <c r="G648" s="100" t="s">
        <v>0</v>
      </c>
      <c r="H648" s="41">
        <f t="shared" si="108"/>
        <v>7316.2</v>
      </c>
      <c r="I648" s="41">
        <f t="shared" si="108"/>
        <v>7316.2</v>
      </c>
      <c r="J648" s="96">
        <f t="shared" si="106"/>
        <v>100</v>
      </c>
    </row>
    <row r="649" spans="1:10" s="37" customFormat="1" ht="15" customHeight="1" x14ac:dyDescent="0.3">
      <c r="A649" s="27"/>
      <c r="B649" s="25"/>
      <c r="C649" s="16" t="s">
        <v>109</v>
      </c>
      <c r="D649" s="16" t="s">
        <v>109</v>
      </c>
      <c r="E649" s="74">
        <v>230221100</v>
      </c>
      <c r="F649" s="84" t="s">
        <v>226</v>
      </c>
      <c r="G649" s="100" t="s">
        <v>225</v>
      </c>
      <c r="H649" s="41">
        <v>7316.2</v>
      </c>
      <c r="I649" s="41">
        <v>7316.2</v>
      </c>
      <c r="J649" s="96">
        <f t="shared" si="106"/>
        <v>100</v>
      </c>
    </row>
    <row r="650" spans="1:10" s="37" customFormat="1" ht="66" x14ac:dyDescent="0.3">
      <c r="A650" s="27"/>
      <c r="B650" s="25"/>
      <c r="C650" s="16" t="s">
        <v>109</v>
      </c>
      <c r="D650" s="16" t="s">
        <v>109</v>
      </c>
      <c r="E650" s="21" t="s">
        <v>691</v>
      </c>
      <c r="F650" s="84"/>
      <c r="G650" s="100" t="s">
        <v>692</v>
      </c>
      <c r="H650" s="41">
        <f t="shared" ref="H650:I651" si="109">H651</f>
        <v>495.7</v>
      </c>
      <c r="I650" s="41">
        <f t="shared" si="109"/>
        <v>495.7</v>
      </c>
      <c r="J650" s="96">
        <f t="shared" si="106"/>
        <v>100</v>
      </c>
    </row>
    <row r="651" spans="1:10" s="37" customFormat="1" ht="52.8" x14ac:dyDescent="0.3">
      <c r="A651" s="27"/>
      <c r="B651" s="25"/>
      <c r="C651" s="16" t="s">
        <v>109</v>
      </c>
      <c r="D651" s="16" t="s">
        <v>109</v>
      </c>
      <c r="E651" s="74">
        <v>230321210</v>
      </c>
      <c r="F651" s="84"/>
      <c r="G651" s="100" t="s">
        <v>693</v>
      </c>
      <c r="H651" s="41">
        <f t="shared" si="109"/>
        <v>495.7</v>
      </c>
      <c r="I651" s="41">
        <f t="shared" si="109"/>
        <v>495.7</v>
      </c>
      <c r="J651" s="96">
        <f t="shared" si="106"/>
        <v>100</v>
      </c>
    </row>
    <row r="652" spans="1:10" s="37" customFormat="1" ht="39.6" x14ac:dyDescent="0.3">
      <c r="A652" s="27"/>
      <c r="B652" s="25"/>
      <c r="C652" s="16" t="s">
        <v>109</v>
      </c>
      <c r="D652" s="16" t="s">
        <v>109</v>
      </c>
      <c r="E652" s="74">
        <v>230321210</v>
      </c>
      <c r="F652" s="84" t="s">
        <v>212</v>
      </c>
      <c r="G652" s="100" t="s">
        <v>213</v>
      </c>
      <c r="H652" s="41">
        <v>495.7</v>
      </c>
      <c r="I652" s="41">
        <v>495.7</v>
      </c>
      <c r="J652" s="96">
        <f t="shared" si="106"/>
        <v>100</v>
      </c>
    </row>
    <row r="653" spans="1:10" s="37" customFormat="1" ht="78" customHeight="1" x14ac:dyDescent="0.3">
      <c r="A653" s="27"/>
      <c r="B653" s="25"/>
      <c r="C653" s="5" t="s">
        <v>109</v>
      </c>
      <c r="D653" s="5" t="s">
        <v>109</v>
      </c>
      <c r="E653" s="117" t="s">
        <v>77</v>
      </c>
      <c r="F653" s="84"/>
      <c r="G653" s="53" t="s">
        <v>500</v>
      </c>
      <c r="H653" s="98">
        <f>H654+H660</f>
        <v>74.099999999999994</v>
      </c>
      <c r="I653" s="98">
        <f>I654+I660</f>
        <v>74.099999999999994</v>
      </c>
      <c r="J653" s="62">
        <f t="shared" si="106"/>
        <v>100</v>
      </c>
    </row>
    <row r="654" spans="1:10" s="37" customFormat="1" ht="79.8" x14ac:dyDescent="0.3">
      <c r="A654" s="27"/>
      <c r="B654" s="25"/>
      <c r="C654" s="47" t="s">
        <v>109</v>
      </c>
      <c r="D654" s="47" t="s">
        <v>109</v>
      </c>
      <c r="E654" s="120" t="s">
        <v>694</v>
      </c>
      <c r="F654" s="123"/>
      <c r="G654" s="213" t="s">
        <v>181</v>
      </c>
      <c r="H654" s="122">
        <f>H655</f>
        <v>40</v>
      </c>
      <c r="I654" s="122">
        <f>I655</f>
        <v>40</v>
      </c>
      <c r="J654" s="58">
        <f t="shared" si="106"/>
        <v>100</v>
      </c>
    </row>
    <row r="655" spans="1:10" s="37" customFormat="1" ht="53.4" x14ac:dyDescent="0.3">
      <c r="A655" s="27"/>
      <c r="B655" s="25"/>
      <c r="C655" s="16" t="s">
        <v>109</v>
      </c>
      <c r="D655" s="16" t="s">
        <v>109</v>
      </c>
      <c r="E655" s="21" t="s">
        <v>792</v>
      </c>
      <c r="F655" s="123"/>
      <c r="G655" s="108" t="s">
        <v>323</v>
      </c>
      <c r="H655" s="158">
        <f>H656+H658</f>
        <v>40</v>
      </c>
      <c r="I655" s="158">
        <f>I656+I658</f>
        <v>40</v>
      </c>
      <c r="J655" s="96">
        <f t="shared" si="106"/>
        <v>100</v>
      </c>
    </row>
    <row r="656" spans="1:10" s="37" customFormat="1" ht="105.6" x14ac:dyDescent="0.3">
      <c r="A656" s="27"/>
      <c r="B656" s="25"/>
      <c r="C656" s="16" t="s">
        <v>109</v>
      </c>
      <c r="D656" s="16" t="s">
        <v>109</v>
      </c>
      <c r="E656" s="79">
        <v>1020123085</v>
      </c>
      <c r="F656" s="123"/>
      <c r="G656" s="100" t="s">
        <v>182</v>
      </c>
      <c r="H656" s="109">
        <f>H657</f>
        <v>5</v>
      </c>
      <c r="I656" s="109">
        <f>I657</f>
        <v>5</v>
      </c>
      <c r="J656" s="96">
        <f t="shared" si="106"/>
        <v>100</v>
      </c>
    </row>
    <row r="657" spans="1:10" s="37" customFormat="1" ht="39.6" x14ac:dyDescent="0.3">
      <c r="A657" s="27"/>
      <c r="B657" s="25"/>
      <c r="C657" s="16" t="s">
        <v>109</v>
      </c>
      <c r="D657" s="16" t="s">
        <v>109</v>
      </c>
      <c r="E657" s="79">
        <v>1020123085</v>
      </c>
      <c r="F657" s="111" t="s">
        <v>212</v>
      </c>
      <c r="G657" s="100" t="s">
        <v>213</v>
      </c>
      <c r="H657" s="109">
        <v>5</v>
      </c>
      <c r="I657" s="109">
        <v>5</v>
      </c>
      <c r="J657" s="96">
        <f t="shared" si="106"/>
        <v>100</v>
      </c>
    </row>
    <row r="658" spans="1:10" s="37" customFormat="1" ht="14.4" x14ac:dyDescent="0.3">
      <c r="A658" s="27"/>
      <c r="B658" s="25"/>
      <c r="C658" s="16" t="s">
        <v>109</v>
      </c>
      <c r="D658" s="16" t="s">
        <v>109</v>
      </c>
      <c r="E658" s="79">
        <v>1020123086</v>
      </c>
      <c r="F658" s="123"/>
      <c r="G658" s="100" t="s">
        <v>183</v>
      </c>
      <c r="H658" s="109">
        <f>H659</f>
        <v>35</v>
      </c>
      <c r="I658" s="109">
        <f>I659</f>
        <v>35</v>
      </c>
      <c r="J658" s="96">
        <f t="shared" si="106"/>
        <v>100</v>
      </c>
    </row>
    <row r="659" spans="1:10" s="37" customFormat="1" ht="39.75" customHeight="1" x14ac:dyDescent="0.3">
      <c r="A659" s="27"/>
      <c r="B659" s="25"/>
      <c r="C659" s="16" t="s">
        <v>109</v>
      </c>
      <c r="D659" s="16" t="s">
        <v>109</v>
      </c>
      <c r="E659" s="79">
        <v>1020123086</v>
      </c>
      <c r="F659" s="111" t="s">
        <v>212</v>
      </c>
      <c r="G659" s="100" t="s">
        <v>213</v>
      </c>
      <c r="H659" s="109">
        <f>45-10</f>
        <v>35</v>
      </c>
      <c r="I659" s="109">
        <f>45-10</f>
        <v>35</v>
      </c>
      <c r="J659" s="96">
        <f t="shared" si="106"/>
        <v>100</v>
      </c>
    </row>
    <row r="660" spans="1:10" s="37" customFormat="1" ht="53.4" x14ac:dyDescent="0.3">
      <c r="A660" s="27"/>
      <c r="B660" s="25"/>
      <c r="C660" s="16" t="s">
        <v>109</v>
      </c>
      <c r="D660" s="16" t="s">
        <v>109</v>
      </c>
      <c r="E660" s="120" t="s">
        <v>695</v>
      </c>
      <c r="F660" s="123"/>
      <c r="G660" s="213" t="s">
        <v>696</v>
      </c>
      <c r="H660" s="122">
        <f t="shared" ref="H660:I662" si="110">H661</f>
        <v>34.1</v>
      </c>
      <c r="I660" s="122">
        <f t="shared" si="110"/>
        <v>34.1</v>
      </c>
      <c r="J660" s="96">
        <f t="shared" si="106"/>
        <v>100</v>
      </c>
    </row>
    <row r="661" spans="1:10" s="37" customFormat="1" ht="53.4" x14ac:dyDescent="0.3">
      <c r="A661" s="27"/>
      <c r="B661" s="25"/>
      <c r="C661" s="16" t="s">
        <v>109</v>
      </c>
      <c r="D661" s="16" t="s">
        <v>109</v>
      </c>
      <c r="E661" s="21" t="s">
        <v>793</v>
      </c>
      <c r="F661" s="123"/>
      <c r="G661" s="108" t="s">
        <v>794</v>
      </c>
      <c r="H661" s="158">
        <f t="shared" si="110"/>
        <v>34.1</v>
      </c>
      <c r="I661" s="158">
        <f t="shared" si="110"/>
        <v>34.1</v>
      </c>
      <c r="J661" s="96">
        <f t="shared" si="106"/>
        <v>100</v>
      </c>
    </row>
    <row r="662" spans="1:10" s="37" customFormat="1" ht="39.6" x14ac:dyDescent="0.3">
      <c r="A662" s="27"/>
      <c r="B662" s="25"/>
      <c r="C662" s="16" t="s">
        <v>109</v>
      </c>
      <c r="D662" s="16" t="s">
        <v>109</v>
      </c>
      <c r="E662" s="79">
        <v>1030323090</v>
      </c>
      <c r="F662" s="123"/>
      <c r="G662" s="100" t="s">
        <v>697</v>
      </c>
      <c r="H662" s="109">
        <f t="shared" si="110"/>
        <v>34.1</v>
      </c>
      <c r="I662" s="109">
        <f t="shared" si="110"/>
        <v>34.1</v>
      </c>
      <c r="J662" s="96">
        <f t="shared" si="106"/>
        <v>100</v>
      </c>
    </row>
    <row r="663" spans="1:10" s="37" customFormat="1" ht="39.6" x14ac:dyDescent="0.3">
      <c r="A663" s="27"/>
      <c r="B663" s="25"/>
      <c r="C663" s="16" t="s">
        <v>109</v>
      </c>
      <c r="D663" s="16" t="s">
        <v>109</v>
      </c>
      <c r="E663" s="79">
        <v>1030323090</v>
      </c>
      <c r="F663" s="111" t="s">
        <v>212</v>
      </c>
      <c r="G663" s="100" t="s">
        <v>213</v>
      </c>
      <c r="H663" s="109">
        <f>10+24.1</f>
        <v>34.1</v>
      </c>
      <c r="I663" s="109">
        <f>10+24.1</f>
        <v>34.1</v>
      </c>
      <c r="J663" s="96">
        <f t="shared" si="106"/>
        <v>100</v>
      </c>
    </row>
    <row r="664" spans="1:10" s="37" customFormat="1" ht="26.25" customHeight="1" x14ac:dyDescent="0.3">
      <c r="A664" s="27"/>
      <c r="B664" s="25"/>
      <c r="C664" s="16" t="s">
        <v>109</v>
      </c>
      <c r="D664" s="16" t="s">
        <v>109</v>
      </c>
      <c r="E664" s="84" t="s">
        <v>29</v>
      </c>
      <c r="F664" s="84"/>
      <c r="G664" s="102" t="s">
        <v>43</v>
      </c>
      <c r="H664" s="41">
        <f>H665</f>
        <v>50</v>
      </c>
      <c r="I664" s="41">
        <f>I665</f>
        <v>50</v>
      </c>
      <c r="J664" s="96">
        <f t="shared" si="106"/>
        <v>100</v>
      </c>
    </row>
    <row r="665" spans="1:10" s="37" customFormat="1" ht="45" customHeight="1" x14ac:dyDescent="0.3">
      <c r="A665" s="27"/>
      <c r="B665" s="25"/>
      <c r="C665" s="16" t="s">
        <v>109</v>
      </c>
      <c r="D665" s="16" t="s">
        <v>109</v>
      </c>
      <c r="E665" s="84" t="s">
        <v>682</v>
      </c>
      <c r="F665" s="16"/>
      <c r="G665" s="54" t="s">
        <v>351</v>
      </c>
      <c r="H665" s="41">
        <f>SUM(H666:H666)</f>
        <v>50</v>
      </c>
      <c r="I665" s="41">
        <f>SUM(I666:I666)</f>
        <v>50</v>
      </c>
      <c r="J665" s="96">
        <f t="shared" si="106"/>
        <v>100</v>
      </c>
    </row>
    <row r="666" spans="1:10" s="37" customFormat="1" ht="14.4" x14ac:dyDescent="0.3">
      <c r="A666" s="27"/>
      <c r="B666" s="25"/>
      <c r="C666" s="16" t="s">
        <v>109</v>
      </c>
      <c r="D666" s="16" t="s">
        <v>109</v>
      </c>
      <c r="E666" s="84" t="s">
        <v>682</v>
      </c>
      <c r="F666" s="84" t="s">
        <v>226</v>
      </c>
      <c r="G666" s="100" t="s">
        <v>225</v>
      </c>
      <c r="H666" s="39">
        <v>50</v>
      </c>
      <c r="I666" s="39">
        <v>50</v>
      </c>
      <c r="J666" s="96">
        <f t="shared" si="106"/>
        <v>100</v>
      </c>
    </row>
    <row r="667" spans="1:10" s="37" customFormat="1" ht="21.75" customHeight="1" x14ac:dyDescent="0.3">
      <c r="A667" s="27"/>
      <c r="B667" s="93"/>
      <c r="C667" s="4" t="s">
        <v>106</v>
      </c>
      <c r="D667" s="3"/>
      <c r="E667" s="3"/>
      <c r="F667" s="3"/>
      <c r="G667" s="49" t="s">
        <v>24</v>
      </c>
      <c r="H667" s="94">
        <f>H668+H710</f>
        <v>157995.00000000003</v>
      </c>
      <c r="I667" s="94">
        <f>I668+I710</f>
        <v>157751.09999999998</v>
      </c>
      <c r="J667" s="160">
        <f t="shared" si="106"/>
        <v>99.8</v>
      </c>
    </row>
    <row r="668" spans="1:10" s="37" customFormat="1" ht="14.4" x14ac:dyDescent="0.3">
      <c r="A668" s="27"/>
      <c r="B668" s="70"/>
      <c r="C668" s="35" t="s">
        <v>106</v>
      </c>
      <c r="D668" s="35" t="s">
        <v>93</v>
      </c>
      <c r="E668" s="35"/>
      <c r="F668" s="35"/>
      <c r="G668" s="45" t="s">
        <v>111</v>
      </c>
      <c r="H668" s="42">
        <f>H669+H698+H705</f>
        <v>154644.40000000002</v>
      </c>
      <c r="I668" s="42">
        <f>I669+I698+I705</f>
        <v>154436.29999999999</v>
      </c>
      <c r="J668" s="42">
        <f t="shared" si="106"/>
        <v>99.9</v>
      </c>
    </row>
    <row r="669" spans="1:10" s="37" customFormat="1" ht="93" x14ac:dyDescent="0.3">
      <c r="A669" s="27"/>
      <c r="B669" s="70"/>
      <c r="C669" s="16" t="s">
        <v>106</v>
      </c>
      <c r="D669" s="16" t="s">
        <v>93</v>
      </c>
      <c r="E669" s="73" t="s">
        <v>65</v>
      </c>
      <c r="F669" s="35"/>
      <c r="G669" s="53" t="s">
        <v>673</v>
      </c>
      <c r="H669" s="65">
        <f t="shared" ref="H669:I669" si="111">H670</f>
        <v>78556.400000000009</v>
      </c>
      <c r="I669" s="65">
        <f t="shared" si="111"/>
        <v>78348.3</v>
      </c>
      <c r="J669" s="62">
        <f t="shared" si="106"/>
        <v>99.7</v>
      </c>
    </row>
    <row r="670" spans="1:10" s="37" customFormat="1" ht="27" x14ac:dyDescent="0.3">
      <c r="A670" s="27"/>
      <c r="B670" s="70"/>
      <c r="C670" s="16" t="s">
        <v>106</v>
      </c>
      <c r="D670" s="16" t="s">
        <v>93</v>
      </c>
      <c r="E670" s="21" t="s">
        <v>66</v>
      </c>
      <c r="F670" s="35"/>
      <c r="G670" s="48" t="s">
        <v>173</v>
      </c>
      <c r="H670" s="58">
        <f>H671+H683+H692+H695</f>
        <v>78556.400000000009</v>
      </c>
      <c r="I670" s="58">
        <f>I671+I683+I692+I695</f>
        <v>78348.3</v>
      </c>
      <c r="J670" s="58">
        <f t="shared" si="106"/>
        <v>99.7</v>
      </c>
    </row>
    <row r="671" spans="1:10" s="37" customFormat="1" ht="39.6" x14ac:dyDescent="0.3">
      <c r="A671" s="27"/>
      <c r="B671" s="70"/>
      <c r="C671" s="16" t="s">
        <v>106</v>
      </c>
      <c r="D671" s="16" t="s">
        <v>93</v>
      </c>
      <c r="E671" s="21" t="s">
        <v>209</v>
      </c>
      <c r="F671" s="35"/>
      <c r="G671" s="104" t="s">
        <v>214</v>
      </c>
      <c r="H671" s="96">
        <f>H672+H675+H677+H680</f>
        <v>59948.500000000007</v>
      </c>
      <c r="I671" s="96">
        <f>I672+I675+I677+I680</f>
        <v>59740.4</v>
      </c>
      <c r="J671" s="96">
        <f t="shared" si="106"/>
        <v>99.7</v>
      </c>
    </row>
    <row r="672" spans="1:10" s="37" customFormat="1" ht="27" x14ac:dyDescent="0.3">
      <c r="A672" s="27"/>
      <c r="B672" s="25"/>
      <c r="C672" s="16" t="s">
        <v>106</v>
      </c>
      <c r="D672" s="16" t="s">
        <v>93</v>
      </c>
      <c r="E672" s="74">
        <v>210122900</v>
      </c>
      <c r="F672" s="16"/>
      <c r="G672" s="190" t="s">
        <v>172</v>
      </c>
      <c r="H672" s="39">
        <f>H673+H674</f>
        <v>10300.900000000001</v>
      </c>
      <c r="I672" s="39">
        <f>I673+I674</f>
        <v>10092.799999999999</v>
      </c>
      <c r="J672" s="96">
        <f t="shared" si="106"/>
        <v>98</v>
      </c>
    </row>
    <row r="673" spans="1:10" s="37" customFormat="1" ht="26.4" x14ac:dyDescent="0.3">
      <c r="A673" s="27"/>
      <c r="B673" s="25"/>
      <c r="C673" s="16" t="s">
        <v>106</v>
      </c>
      <c r="D673" s="16" t="s">
        <v>93</v>
      </c>
      <c r="E673" s="74">
        <v>210122900</v>
      </c>
      <c r="F673" s="84" t="s">
        <v>70</v>
      </c>
      <c r="G673" s="55" t="s">
        <v>133</v>
      </c>
      <c r="H673" s="39">
        <v>5635.6</v>
      </c>
      <c r="I673" s="96">
        <v>5635.6</v>
      </c>
      <c r="J673" s="96">
        <f t="shared" si="106"/>
        <v>100</v>
      </c>
    </row>
    <row r="674" spans="1:10" s="37" customFormat="1" ht="39.6" x14ac:dyDescent="0.3">
      <c r="A674" s="27"/>
      <c r="B674" s="25"/>
      <c r="C674" s="16" t="s">
        <v>106</v>
      </c>
      <c r="D674" s="16" t="s">
        <v>93</v>
      </c>
      <c r="E674" s="74">
        <v>210122900</v>
      </c>
      <c r="F674" s="84" t="s">
        <v>212</v>
      </c>
      <c r="G674" s="100" t="s">
        <v>213</v>
      </c>
      <c r="H674" s="39">
        <f>4888.4+14.8-301.9+64</f>
        <v>4665.3</v>
      </c>
      <c r="I674" s="39">
        <v>4457.2</v>
      </c>
      <c r="J674" s="96">
        <f t="shared" si="106"/>
        <v>95.5</v>
      </c>
    </row>
    <row r="675" spans="1:10" s="37" customFormat="1" ht="53.4" x14ac:dyDescent="0.3">
      <c r="A675" s="27"/>
      <c r="B675" s="25"/>
      <c r="C675" s="16" t="s">
        <v>106</v>
      </c>
      <c r="D675" s="16" t="s">
        <v>93</v>
      </c>
      <c r="E675" s="74">
        <v>210121100</v>
      </c>
      <c r="F675" s="16"/>
      <c r="G675" s="190" t="s">
        <v>174</v>
      </c>
      <c r="H675" s="39">
        <f>H676</f>
        <v>26410.7</v>
      </c>
      <c r="I675" s="39">
        <f>I676</f>
        <v>26410.7</v>
      </c>
      <c r="J675" s="96">
        <f t="shared" si="106"/>
        <v>100</v>
      </c>
    </row>
    <row r="676" spans="1:10" s="37" customFormat="1" ht="17.25" customHeight="1" x14ac:dyDescent="0.3">
      <c r="A676" s="27"/>
      <c r="B676" s="25"/>
      <c r="C676" s="16" t="s">
        <v>106</v>
      </c>
      <c r="D676" s="16" t="s">
        <v>93</v>
      </c>
      <c r="E676" s="74">
        <v>210121100</v>
      </c>
      <c r="F676" s="21" t="s">
        <v>226</v>
      </c>
      <c r="G676" s="100" t="s">
        <v>225</v>
      </c>
      <c r="H676" s="39">
        <f>26548.3+236.7-102-240-32.3</f>
        <v>26410.7</v>
      </c>
      <c r="I676" s="39">
        <v>26410.7</v>
      </c>
      <c r="J676" s="96">
        <f t="shared" si="106"/>
        <v>100</v>
      </c>
    </row>
    <row r="677" spans="1:10" ht="52.8" x14ac:dyDescent="0.3">
      <c r="A677" s="3"/>
      <c r="B677" s="25"/>
      <c r="C677" s="16" t="s">
        <v>106</v>
      </c>
      <c r="D677" s="16" t="s">
        <v>93</v>
      </c>
      <c r="E677" s="74" t="s">
        <v>328</v>
      </c>
      <c r="F677" s="84"/>
      <c r="G677" s="100" t="s">
        <v>325</v>
      </c>
      <c r="H677" s="39">
        <f>SUM(H678:H679)</f>
        <v>232.3</v>
      </c>
      <c r="I677" s="39">
        <f>SUM(I678:I679)</f>
        <v>232.3</v>
      </c>
      <c r="J677" s="96">
        <f t="shared" si="106"/>
        <v>100</v>
      </c>
    </row>
    <row r="678" spans="1:10" ht="26.4" x14ac:dyDescent="0.3">
      <c r="A678" s="3"/>
      <c r="B678" s="25"/>
      <c r="C678" s="16" t="s">
        <v>106</v>
      </c>
      <c r="D678" s="16" t="s">
        <v>93</v>
      </c>
      <c r="E678" s="74" t="s">
        <v>328</v>
      </c>
      <c r="F678" s="84" t="s">
        <v>70</v>
      </c>
      <c r="G678" s="55" t="s">
        <v>133</v>
      </c>
      <c r="H678" s="158">
        <v>50</v>
      </c>
      <c r="I678" s="158">
        <v>50</v>
      </c>
      <c r="J678" s="96">
        <f t="shared" si="106"/>
        <v>100</v>
      </c>
    </row>
    <row r="679" spans="1:10" ht="15.6" x14ac:dyDescent="0.3">
      <c r="A679" s="3"/>
      <c r="B679" s="25"/>
      <c r="C679" s="16" t="s">
        <v>106</v>
      </c>
      <c r="D679" s="16" t="s">
        <v>93</v>
      </c>
      <c r="E679" s="74" t="s">
        <v>328</v>
      </c>
      <c r="F679" s="21" t="s">
        <v>226</v>
      </c>
      <c r="G679" s="100" t="s">
        <v>225</v>
      </c>
      <c r="H679" s="39">
        <f>150+32.3</f>
        <v>182.3</v>
      </c>
      <c r="I679" s="39">
        <v>182.3</v>
      </c>
      <c r="J679" s="96">
        <f t="shared" ref="J679:J688" si="112">ROUND((I679/H679*100),1)</f>
        <v>100</v>
      </c>
    </row>
    <row r="680" spans="1:10" ht="52.8" x14ac:dyDescent="0.3">
      <c r="A680" s="3"/>
      <c r="B680" s="25"/>
      <c r="C680" s="16" t="s">
        <v>106</v>
      </c>
      <c r="D680" s="16" t="s">
        <v>93</v>
      </c>
      <c r="E680" s="74">
        <v>210110680</v>
      </c>
      <c r="F680" s="84"/>
      <c r="G680" s="100" t="s">
        <v>369</v>
      </c>
      <c r="H680" s="39">
        <f>SUM(H681:H682)</f>
        <v>23004.6</v>
      </c>
      <c r="I680" s="39">
        <f>SUM(I681:I682)</f>
        <v>23004.6</v>
      </c>
      <c r="J680" s="96">
        <f t="shared" si="112"/>
        <v>100</v>
      </c>
    </row>
    <row r="681" spans="1:10" ht="27" customHeight="1" x14ac:dyDescent="0.3">
      <c r="A681" s="3"/>
      <c r="B681" s="25"/>
      <c r="C681" s="16" t="s">
        <v>106</v>
      </c>
      <c r="D681" s="16" t="s">
        <v>93</v>
      </c>
      <c r="E681" s="74">
        <v>210110680</v>
      </c>
      <c r="F681" s="84" t="s">
        <v>70</v>
      </c>
      <c r="G681" s="55" t="s">
        <v>133</v>
      </c>
      <c r="H681" s="158">
        <f>5432+1219.9</f>
        <v>6651.9</v>
      </c>
      <c r="I681" s="158">
        <f>5432+1219.9</f>
        <v>6651.9</v>
      </c>
      <c r="J681" s="96">
        <f t="shared" si="112"/>
        <v>100</v>
      </c>
    </row>
    <row r="682" spans="1:10" ht="16.5" customHeight="1" x14ac:dyDescent="0.3">
      <c r="A682" s="3"/>
      <c r="B682" s="25"/>
      <c r="C682" s="16" t="s">
        <v>106</v>
      </c>
      <c r="D682" s="16" t="s">
        <v>93</v>
      </c>
      <c r="E682" s="74">
        <v>210110680</v>
      </c>
      <c r="F682" s="21" t="s">
        <v>226</v>
      </c>
      <c r="G682" s="100" t="s">
        <v>225</v>
      </c>
      <c r="H682" s="39">
        <f>12768.4+3584.3</f>
        <v>16352.7</v>
      </c>
      <c r="I682" s="39">
        <f>12768.4+3584.3</f>
        <v>16352.7</v>
      </c>
      <c r="J682" s="96">
        <f t="shared" si="112"/>
        <v>100</v>
      </c>
    </row>
    <row r="683" spans="1:10" ht="52.8" x14ac:dyDescent="0.3">
      <c r="A683" s="3"/>
      <c r="B683" s="25"/>
      <c r="C683" s="16" t="s">
        <v>106</v>
      </c>
      <c r="D683" s="16" t="s">
        <v>93</v>
      </c>
      <c r="E683" s="21" t="s">
        <v>259</v>
      </c>
      <c r="F683" s="35"/>
      <c r="G683" s="100" t="s">
        <v>258</v>
      </c>
      <c r="H683" s="41">
        <f>H684+H686+H688+H690</f>
        <v>8540.2999999999993</v>
      </c>
      <c r="I683" s="41">
        <f>I684+I686+I688+I690</f>
        <v>8540.2999999999993</v>
      </c>
      <c r="J683" s="96">
        <f t="shared" si="112"/>
        <v>100</v>
      </c>
    </row>
    <row r="684" spans="1:10" ht="52.8" x14ac:dyDescent="0.25">
      <c r="A684" s="148"/>
      <c r="B684" s="25"/>
      <c r="C684" s="16" t="s">
        <v>106</v>
      </c>
      <c r="D684" s="16" t="s">
        <v>93</v>
      </c>
      <c r="E684" s="152" t="s">
        <v>713</v>
      </c>
      <c r="F684" s="84"/>
      <c r="G684" s="162" t="s">
        <v>381</v>
      </c>
      <c r="H684" s="39">
        <f>H685</f>
        <v>187.3</v>
      </c>
      <c r="I684" s="39">
        <f>I685</f>
        <v>187.3</v>
      </c>
      <c r="J684" s="96">
        <f t="shared" si="112"/>
        <v>100</v>
      </c>
    </row>
    <row r="685" spans="1:10" x14ac:dyDescent="0.25">
      <c r="A685" s="148"/>
      <c r="B685" s="25"/>
      <c r="C685" s="16" t="s">
        <v>106</v>
      </c>
      <c r="D685" s="16" t="s">
        <v>93</v>
      </c>
      <c r="E685" s="152" t="s">
        <v>713</v>
      </c>
      <c r="F685" s="21" t="s">
        <v>226</v>
      </c>
      <c r="G685" s="100" t="s">
        <v>225</v>
      </c>
      <c r="H685" s="39">
        <f>35+180.3-28</f>
        <v>187.3</v>
      </c>
      <c r="I685" s="39">
        <f>35+180.3-28</f>
        <v>187.3</v>
      </c>
      <c r="J685" s="96">
        <f t="shared" si="112"/>
        <v>100</v>
      </c>
    </row>
    <row r="686" spans="1:10" ht="38.25" customHeight="1" x14ac:dyDescent="0.25">
      <c r="A686" s="148"/>
      <c r="B686" s="25"/>
      <c r="C686" s="16" t="s">
        <v>106</v>
      </c>
      <c r="D686" s="16" t="s">
        <v>93</v>
      </c>
      <c r="E686" s="212" t="s">
        <v>714</v>
      </c>
      <c r="F686" s="21"/>
      <c r="G686" s="100" t="s">
        <v>715</v>
      </c>
      <c r="H686" s="39">
        <f>H687</f>
        <v>953</v>
      </c>
      <c r="I686" s="39">
        <f>I687</f>
        <v>953</v>
      </c>
      <c r="J686" s="96">
        <f t="shared" si="112"/>
        <v>100</v>
      </c>
    </row>
    <row r="687" spans="1:10" ht="24.75" customHeight="1" x14ac:dyDescent="0.25">
      <c r="A687" s="148"/>
      <c r="B687" s="25"/>
      <c r="C687" s="16" t="s">
        <v>106</v>
      </c>
      <c r="D687" s="16" t="s">
        <v>93</v>
      </c>
      <c r="E687" s="212" t="s">
        <v>714</v>
      </c>
      <c r="F687" s="21" t="s">
        <v>226</v>
      </c>
      <c r="G687" s="100" t="s">
        <v>225</v>
      </c>
      <c r="H687" s="39">
        <f>223+800-70</f>
        <v>953</v>
      </c>
      <c r="I687" s="39">
        <f>223+800-70</f>
        <v>953</v>
      </c>
      <c r="J687" s="96">
        <f t="shared" si="112"/>
        <v>100</v>
      </c>
    </row>
    <row r="688" spans="1:10" ht="51.75" customHeight="1" x14ac:dyDescent="0.25">
      <c r="A688" s="148"/>
      <c r="B688" s="25"/>
      <c r="C688" s="16" t="s">
        <v>106</v>
      </c>
      <c r="D688" s="16" t="s">
        <v>93</v>
      </c>
      <c r="E688" s="212" t="s">
        <v>716</v>
      </c>
      <c r="F688" s="21"/>
      <c r="G688" s="100" t="s">
        <v>717</v>
      </c>
      <c r="H688" s="39">
        <f>H689</f>
        <v>740</v>
      </c>
      <c r="I688" s="39">
        <f>I689</f>
        <v>740</v>
      </c>
      <c r="J688" s="96">
        <f t="shared" si="112"/>
        <v>100</v>
      </c>
    </row>
    <row r="689" spans="1:10" x14ac:dyDescent="0.25">
      <c r="A689" s="148"/>
      <c r="B689" s="25"/>
      <c r="C689" s="16" t="s">
        <v>106</v>
      </c>
      <c r="D689" s="16" t="s">
        <v>93</v>
      </c>
      <c r="E689" s="212" t="s">
        <v>716</v>
      </c>
      <c r="F689" s="21" t="s">
        <v>226</v>
      </c>
      <c r="G689" s="100" t="s">
        <v>225</v>
      </c>
      <c r="H689" s="39">
        <v>740</v>
      </c>
      <c r="I689" s="39">
        <v>740</v>
      </c>
      <c r="J689" s="96">
        <f t="shared" ref="J689:J743" si="113">ROUND((I689/H689*100),1)</f>
        <v>100</v>
      </c>
    </row>
    <row r="690" spans="1:10" ht="52.8" x14ac:dyDescent="0.25">
      <c r="A690" s="148"/>
      <c r="B690" s="25"/>
      <c r="C690" s="16" t="s">
        <v>106</v>
      </c>
      <c r="D690" s="16" t="s">
        <v>93</v>
      </c>
      <c r="E690" s="212" t="s">
        <v>718</v>
      </c>
      <c r="F690" s="21"/>
      <c r="G690" s="100" t="s">
        <v>717</v>
      </c>
      <c r="H690" s="39">
        <f>H691</f>
        <v>6660</v>
      </c>
      <c r="I690" s="39">
        <f>I691</f>
        <v>6660</v>
      </c>
      <c r="J690" s="96">
        <f t="shared" si="113"/>
        <v>100</v>
      </c>
    </row>
    <row r="691" spans="1:10" s="8" customFormat="1" ht="20.25" customHeight="1" x14ac:dyDescent="0.3">
      <c r="A691" s="3">
        <v>5</v>
      </c>
      <c r="B691" s="25"/>
      <c r="C691" s="16" t="s">
        <v>106</v>
      </c>
      <c r="D691" s="16" t="s">
        <v>93</v>
      </c>
      <c r="E691" s="212" t="s">
        <v>718</v>
      </c>
      <c r="F691" s="21" t="s">
        <v>226</v>
      </c>
      <c r="G691" s="100" t="s">
        <v>225</v>
      </c>
      <c r="H691" s="39">
        <v>6660</v>
      </c>
      <c r="I691" s="39">
        <v>6660</v>
      </c>
      <c r="J691" s="96">
        <f t="shared" si="113"/>
        <v>100</v>
      </c>
    </row>
    <row r="692" spans="1:10" s="8" customFormat="1" ht="39.6" x14ac:dyDescent="0.3">
      <c r="A692" s="3"/>
      <c r="B692" s="25"/>
      <c r="C692" s="16" t="s">
        <v>106</v>
      </c>
      <c r="D692" s="16" t="s">
        <v>93</v>
      </c>
      <c r="E692" s="212" t="s">
        <v>795</v>
      </c>
      <c r="F692" s="21"/>
      <c r="G692" s="100" t="s">
        <v>796</v>
      </c>
      <c r="H692" s="39">
        <f>H693</f>
        <v>10000</v>
      </c>
      <c r="I692" s="39">
        <f>I693</f>
        <v>10000</v>
      </c>
      <c r="J692" s="96">
        <f t="shared" si="113"/>
        <v>100</v>
      </c>
    </row>
    <row r="693" spans="1:10" s="8" customFormat="1" ht="26.4" x14ac:dyDescent="0.3">
      <c r="A693" s="3"/>
      <c r="B693" s="25"/>
      <c r="C693" s="16" t="s">
        <v>106</v>
      </c>
      <c r="D693" s="16" t="s">
        <v>93</v>
      </c>
      <c r="E693" s="212" t="s">
        <v>719</v>
      </c>
      <c r="F693" s="21"/>
      <c r="G693" s="100" t="s">
        <v>720</v>
      </c>
      <c r="H693" s="39">
        <f>H694</f>
        <v>10000</v>
      </c>
      <c r="I693" s="39">
        <f>I694</f>
        <v>10000</v>
      </c>
      <c r="J693" s="96">
        <f t="shared" si="113"/>
        <v>100</v>
      </c>
    </row>
    <row r="694" spans="1:10" s="8" customFormat="1" ht="36.75" customHeight="1" x14ac:dyDescent="0.3">
      <c r="A694" s="3"/>
      <c r="B694" s="25"/>
      <c r="C694" s="16" t="s">
        <v>106</v>
      </c>
      <c r="D694" s="16" t="s">
        <v>93</v>
      </c>
      <c r="E694" s="212" t="s">
        <v>719</v>
      </c>
      <c r="F694" s="84" t="s">
        <v>212</v>
      </c>
      <c r="G694" s="100" t="s">
        <v>213</v>
      </c>
      <c r="H694" s="39">
        <v>10000</v>
      </c>
      <c r="I694" s="39">
        <v>10000</v>
      </c>
      <c r="J694" s="96">
        <f t="shared" si="113"/>
        <v>100</v>
      </c>
    </row>
    <row r="695" spans="1:10" s="8" customFormat="1" ht="39.6" x14ac:dyDescent="0.3">
      <c r="A695" s="3"/>
      <c r="B695" s="25"/>
      <c r="C695" s="16" t="s">
        <v>106</v>
      </c>
      <c r="D695" s="16" t="s">
        <v>93</v>
      </c>
      <c r="E695" s="212" t="s">
        <v>406</v>
      </c>
      <c r="F695" s="21"/>
      <c r="G695" s="100" t="s">
        <v>407</v>
      </c>
      <c r="H695" s="39">
        <f>H696</f>
        <v>67.599999999999994</v>
      </c>
      <c r="I695" s="39">
        <f>I696</f>
        <v>67.599999999999994</v>
      </c>
      <c r="J695" s="96">
        <f t="shared" si="113"/>
        <v>100</v>
      </c>
    </row>
    <row r="696" spans="1:10" s="8" customFormat="1" ht="66" x14ac:dyDescent="0.3">
      <c r="A696" s="3"/>
      <c r="B696" s="25"/>
      <c r="C696" s="16" t="s">
        <v>106</v>
      </c>
      <c r="D696" s="16" t="s">
        <v>93</v>
      </c>
      <c r="E696" s="212" t="s">
        <v>721</v>
      </c>
      <c r="F696" s="21"/>
      <c r="G696" s="100" t="s">
        <v>722</v>
      </c>
      <c r="H696" s="39">
        <f>H697</f>
        <v>67.599999999999994</v>
      </c>
      <c r="I696" s="39">
        <f>I697</f>
        <v>67.599999999999994</v>
      </c>
      <c r="J696" s="96">
        <f t="shared" si="113"/>
        <v>100</v>
      </c>
    </row>
    <row r="697" spans="1:10" s="8" customFormat="1" ht="19.5" customHeight="1" x14ac:dyDescent="0.3">
      <c r="A697" s="3"/>
      <c r="B697" s="25"/>
      <c r="C697" s="16" t="s">
        <v>106</v>
      </c>
      <c r="D697" s="16" t="s">
        <v>93</v>
      </c>
      <c r="E697" s="212" t="s">
        <v>721</v>
      </c>
      <c r="F697" s="21" t="s">
        <v>226</v>
      </c>
      <c r="G697" s="100" t="s">
        <v>225</v>
      </c>
      <c r="H697" s="39">
        <f>1+66.6</f>
        <v>67.599999999999994</v>
      </c>
      <c r="I697" s="39">
        <f>1+66.6</f>
        <v>67.599999999999994</v>
      </c>
      <c r="J697" s="96">
        <f t="shared" si="113"/>
        <v>100</v>
      </c>
    </row>
    <row r="698" spans="1:10" s="8" customFormat="1" ht="93" x14ac:dyDescent="0.3">
      <c r="A698" s="3"/>
      <c r="B698" s="25"/>
      <c r="C698" s="5" t="s">
        <v>106</v>
      </c>
      <c r="D698" s="5" t="s">
        <v>93</v>
      </c>
      <c r="E698" s="76">
        <v>1400000000</v>
      </c>
      <c r="F698" s="16"/>
      <c r="G698" s="196" t="s">
        <v>586</v>
      </c>
      <c r="H698" s="98">
        <f>H699</f>
        <v>75913</v>
      </c>
      <c r="I698" s="98">
        <f>I699</f>
        <v>75913</v>
      </c>
      <c r="J698" s="62">
        <f t="shared" si="113"/>
        <v>100</v>
      </c>
    </row>
    <row r="699" spans="1:10" ht="93" x14ac:dyDescent="0.3">
      <c r="A699" s="3"/>
      <c r="B699" s="25"/>
      <c r="C699" s="47" t="s">
        <v>106</v>
      </c>
      <c r="D699" s="47" t="s">
        <v>93</v>
      </c>
      <c r="E699" s="75">
        <v>1410000000</v>
      </c>
      <c r="F699" s="16"/>
      <c r="G699" s="48" t="s">
        <v>217</v>
      </c>
      <c r="H699" s="95">
        <f>H700</f>
        <v>75913</v>
      </c>
      <c r="I699" s="95">
        <f>I700</f>
        <v>75913</v>
      </c>
      <c r="J699" s="58">
        <f t="shared" si="113"/>
        <v>100</v>
      </c>
    </row>
    <row r="700" spans="1:10" s="37" customFormat="1" ht="52.8" x14ac:dyDescent="0.3">
      <c r="A700" s="27"/>
      <c r="B700" s="25"/>
      <c r="C700" s="16" t="s">
        <v>106</v>
      </c>
      <c r="D700" s="16" t="s">
        <v>93</v>
      </c>
      <c r="E700" s="74" t="s">
        <v>404</v>
      </c>
      <c r="F700" s="84"/>
      <c r="G700" s="100" t="s">
        <v>409</v>
      </c>
      <c r="H700" s="41">
        <f>H701+H703</f>
        <v>75913</v>
      </c>
      <c r="I700" s="41">
        <f>I701+I703</f>
        <v>75913</v>
      </c>
      <c r="J700" s="96">
        <f t="shared" si="113"/>
        <v>100</v>
      </c>
    </row>
    <row r="701" spans="1:10" s="37" customFormat="1" ht="49.5" customHeight="1" x14ac:dyDescent="0.3">
      <c r="A701" s="27"/>
      <c r="B701" s="25"/>
      <c r="C701" s="16" t="s">
        <v>106</v>
      </c>
      <c r="D701" s="16" t="s">
        <v>93</v>
      </c>
      <c r="E701" s="204" t="s">
        <v>588</v>
      </c>
      <c r="F701" s="16"/>
      <c r="G701" s="100" t="s">
        <v>589</v>
      </c>
      <c r="H701" s="41">
        <f>H702</f>
        <v>61913</v>
      </c>
      <c r="I701" s="41">
        <f>I702</f>
        <v>61913</v>
      </c>
      <c r="J701" s="96">
        <f t="shared" si="113"/>
        <v>100</v>
      </c>
    </row>
    <row r="702" spans="1:10" s="37" customFormat="1" ht="39.6" x14ac:dyDescent="0.3">
      <c r="A702" s="27"/>
      <c r="B702" s="25"/>
      <c r="C702" s="16" t="s">
        <v>106</v>
      </c>
      <c r="D702" s="16" t="s">
        <v>93</v>
      </c>
      <c r="E702" s="204" t="s">
        <v>588</v>
      </c>
      <c r="F702" s="84" t="s">
        <v>212</v>
      </c>
      <c r="G702" s="100" t="s">
        <v>213</v>
      </c>
      <c r="H702" s="41">
        <v>61913</v>
      </c>
      <c r="I702" s="41">
        <v>61913</v>
      </c>
      <c r="J702" s="96">
        <f t="shared" si="113"/>
        <v>100</v>
      </c>
    </row>
    <row r="703" spans="1:10" s="37" customFormat="1" ht="92.4" x14ac:dyDescent="0.3">
      <c r="A703" s="27"/>
      <c r="B703" s="25"/>
      <c r="C703" s="16" t="s">
        <v>106</v>
      </c>
      <c r="D703" s="16" t="s">
        <v>93</v>
      </c>
      <c r="E703" s="204" t="s">
        <v>723</v>
      </c>
      <c r="F703" s="84"/>
      <c r="G703" s="100" t="s">
        <v>724</v>
      </c>
      <c r="H703" s="41">
        <f>H704</f>
        <v>14000</v>
      </c>
      <c r="I703" s="41">
        <f>I704</f>
        <v>14000</v>
      </c>
      <c r="J703" s="96">
        <f t="shared" si="113"/>
        <v>100</v>
      </c>
    </row>
    <row r="704" spans="1:10" s="20" customFormat="1" ht="39.6" x14ac:dyDescent="0.25">
      <c r="A704" s="18"/>
      <c r="B704" s="25"/>
      <c r="C704" s="16" t="s">
        <v>106</v>
      </c>
      <c r="D704" s="16" t="s">
        <v>93</v>
      </c>
      <c r="E704" s="204" t="s">
        <v>723</v>
      </c>
      <c r="F704" s="84" t="s">
        <v>212</v>
      </c>
      <c r="G704" s="100" t="s">
        <v>213</v>
      </c>
      <c r="H704" s="41">
        <v>14000</v>
      </c>
      <c r="I704" s="41">
        <v>14000</v>
      </c>
      <c r="J704" s="96">
        <f t="shared" si="113"/>
        <v>100</v>
      </c>
    </row>
    <row r="705" spans="1:10" ht="26.25" customHeight="1" x14ac:dyDescent="0.25">
      <c r="A705" s="148"/>
      <c r="B705" s="25"/>
      <c r="C705" s="16" t="s">
        <v>106</v>
      </c>
      <c r="D705" s="16" t="s">
        <v>93</v>
      </c>
      <c r="E705" s="84" t="s">
        <v>29</v>
      </c>
      <c r="F705" s="84"/>
      <c r="G705" s="102" t="s">
        <v>43</v>
      </c>
      <c r="H705" s="41">
        <f>H706+H708</f>
        <v>175</v>
      </c>
      <c r="I705" s="41">
        <f>I706+I708</f>
        <v>175</v>
      </c>
      <c r="J705" s="96">
        <f t="shared" si="113"/>
        <v>100</v>
      </c>
    </row>
    <row r="706" spans="1:10" ht="52.8" x14ac:dyDescent="0.25">
      <c r="A706" s="148"/>
      <c r="B706" s="25"/>
      <c r="C706" s="16" t="s">
        <v>106</v>
      </c>
      <c r="D706" s="16" t="s">
        <v>93</v>
      </c>
      <c r="E706" s="84" t="s">
        <v>682</v>
      </c>
      <c r="F706" s="16"/>
      <c r="G706" s="54" t="s">
        <v>725</v>
      </c>
      <c r="H706" s="41">
        <f>SUM(H707:H707)</f>
        <v>75</v>
      </c>
      <c r="I706" s="41">
        <f>SUM(I707:I707)</f>
        <v>75</v>
      </c>
      <c r="J706" s="96">
        <f t="shared" si="113"/>
        <v>100</v>
      </c>
    </row>
    <row r="707" spans="1:10" x14ac:dyDescent="0.25">
      <c r="A707" s="148"/>
      <c r="B707" s="25"/>
      <c r="C707" s="16" t="s">
        <v>106</v>
      </c>
      <c r="D707" s="16" t="s">
        <v>93</v>
      </c>
      <c r="E707" s="84" t="s">
        <v>682</v>
      </c>
      <c r="F707" s="21" t="s">
        <v>226</v>
      </c>
      <c r="G707" s="100" t="s">
        <v>225</v>
      </c>
      <c r="H707" s="39">
        <v>75</v>
      </c>
      <c r="I707" s="39">
        <v>75</v>
      </c>
      <c r="J707" s="96">
        <f t="shared" si="113"/>
        <v>100</v>
      </c>
    </row>
    <row r="708" spans="1:10" ht="39" customHeight="1" x14ac:dyDescent="0.25">
      <c r="A708" s="148"/>
      <c r="B708" s="25"/>
      <c r="C708" s="16" t="s">
        <v>106</v>
      </c>
      <c r="D708" s="16" t="s">
        <v>93</v>
      </c>
      <c r="E708" s="84" t="s">
        <v>562</v>
      </c>
      <c r="F708" s="21"/>
      <c r="G708" s="54" t="s">
        <v>351</v>
      </c>
      <c r="H708" s="39">
        <f>H709</f>
        <v>100</v>
      </c>
      <c r="I708" s="39">
        <f>I709</f>
        <v>100</v>
      </c>
      <c r="J708" s="96">
        <f t="shared" si="113"/>
        <v>100</v>
      </c>
    </row>
    <row r="709" spans="1:10" ht="39.6" x14ac:dyDescent="0.25">
      <c r="A709" s="148"/>
      <c r="B709" s="25"/>
      <c r="C709" s="16" t="s">
        <v>106</v>
      </c>
      <c r="D709" s="16" t="s">
        <v>93</v>
      </c>
      <c r="E709" s="84" t="s">
        <v>562</v>
      </c>
      <c r="F709" s="84" t="s">
        <v>212</v>
      </c>
      <c r="G709" s="100" t="s">
        <v>213</v>
      </c>
      <c r="H709" s="39">
        <v>100</v>
      </c>
      <c r="I709" s="39">
        <v>100</v>
      </c>
      <c r="J709" s="96">
        <f t="shared" si="113"/>
        <v>100</v>
      </c>
    </row>
    <row r="710" spans="1:10" ht="27" x14ac:dyDescent="0.3">
      <c r="A710" s="148"/>
      <c r="B710" s="70"/>
      <c r="C710" s="35" t="s">
        <v>106</v>
      </c>
      <c r="D710" s="35" t="s">
        <v>99</v>
      </c>
      <c r="E710" s="35"/>
      <c r="F710" s="35"/>
      <c r="G710" s="46" t="s">
        <v>7</v>
      </c>
      <c r="H710" s="42">
        <f>H711</f>
        <v>3350.6000000000004</v>
      </c>
      <c r="I710" s="42">
        <f>I711</f>
        <v>3314.8</v>
      </c>
      <c r="J710" s="42">
        <f t="shared" si="113"/>
        <v>98.9</v>
      </c>
    </row>
    <row r="711" spans="1:10" ht="93" x14ac:dyDescent="0.3">
      <c r="A711" s="148"/>
      <c r="B711" s="70"/>
      <c r="C711" s="5" t="s">
        <v>106</v>
      </c>
      <c r="D711" s="5" t="s">
        <v>99</v>
      </c>
      <c r="E711" s="73" t="s">
        <v>65</v>
      </c>
      <c r="F711" s="35"/>
      <c r="G711" s="53" t="s">
        <v>673</v>
      </c>
      <c r="H711" s="65">
        <f>H712+H718</f>
        <v>3350.6000000000004</v>
      </c>
      <c r="I711" s="65">
        <f>I712+I718</f>
        <v>3314.8</v>
      </c>
      <c r="J711" s="62">
        <f t="shared" si="113"/>
        <v>98.9</v>
      </c>
    </row>
    <row r="712" spans="1:10" ht="27" x14ac:dyDescent="0.3">
      <c r="A712" s="148"/>
      <c r="B712" s="70"/>
      <c r="C712" s="16" t="s">
        <v>106</v>
      </c>
      <c r="D712" s="16" t="s">
        <v>99</v>
      </c>
      <c r="E712" s="21" t="s">
        <v>66</v>
      </c>
      <c r="F712" s="35"/>
      <c r="G712" s="48" t="s">
        <v>173</v>
      </c>
      <c r="H712" s="42">
        <f t="shared" ref="H712:I714" si="114">H713</f>
        <v>390</v>
      </c>
      <c r="I712" s="42">
        <f t="shared" si="114"/>
        <v>390</v>
      </c>
      <c r="J712" s="58">
        <f t="shared" si="113"/>
        <v>100</v>
      </c>
    </row>
    <row r="713" spans="1:10" ht="39" customHeight="1" x14ac:dyDescent="0.3">
      <c r="A713" s="148"/>
      <c r="B713" s="70"/>
      <c r="C713" s="16" t="s">
        <v>106</v>
      </c>
      <c r="D713" s="16" t="s">
        <v>99</v>
      </c>
      <c r="E713" s="21" t="s">
        <v>726</v>
      </c>
      <c r="F713" s="35"/>
      <c r="G713" s="104" t="s">
        <v>260</v>
      </c>
      <c r="H713" s="41">
        <f>H714+H716</f>
        <v>390</v>
      </c>
      <c r="I713" s="41">
        <f>I714+I716</f>
        <v>390</v>
      </c>
      <c r="J713" s="96">
        <f t="shared" si="113"/>
        <v>100</v>
      </c>
    </row>
    <row r="714" spans="1:10" ht="52.8" x14ac:dyDescent="0.25">
      <c r="A714" s="148"/>
      <c r="B714" s="70"/>
      <c r="C714" s="16" t="s">
        <v>106</v>
      </c>
      <c r="D714" s="16" t="s">
        <v>99</v>
      </c>
      <c r="E714" s="21" t="s">
        <v>727</v>
      </c>
      <c r="F714" s="16"/>
      <c r="G714" s="100" t="s">
        <v>176</v>
      </c>
      <c r="H714" s="41">
        <f t="shared" si="114"/>
        <v>300</v>
      </c>
      <c r="I714" s="41">
        <f t="shared" si="114"/>
        <v>300</v>
      </c>
      <c r="J714" s="96">
        <f t="shared" si="113"/>
        <v>100</v>
      </c>
    </row>
    <row r="715" spans="1:10" ht="39.6" x14ac:dyDescent="0.25">
      <c r="A715" s="148"/>
      <c r="B715" s="70"/>
      <c r="C715" s="16" t="s">
        <v>106</v>
      </c>
      <c r="D715" s="16" t="s">
        <v>99</v>
      </c>
      <c r="E715" s="21" t="s">
        <v>727</v>
      </c>
      <c r="F715" s="84" t="s">
        <v>212</v>
      </c>
      <c r="G715" s="100" t="s">
        <v>213</v>
      </c>
      <c r="H715" s="41">
        <v>300</v>
      </c>
      <c r="I715" s="41">
        <v>300</v>
      </c>
      <c r="J715" s="96">
        <f t="shared" si="113"/>
        <v>100</v>
      </c>
    </row>
    <row r="716" spans="1:10" ht="28.5" customHeight="1" x14ac:dyDescent="0.25">
      <c r="A716" s="148"/>
      <c r="B716" s="70"/>
      <c r="C716" s="16" t="s">
        <v>106</v>
      </c>
      <c r="D716" s="16" t="s">
        <v>99</v>
      </c>
      <c r="E716" s="21" t="s">
        <v>728</v>
      </c>
      <c r="F716" s="84"/>
      <c r="G716" s="125" t="s">
        <v>729</v>
      </c>
      <c r="H716" s="41">
        <f>H717</f>
        <v>90</v>
      </c>
      <c r="I716" s="41">
        <f>I717</f>
        <v>90</v>
      </c>
      <c r="J716" s="96">
        <f t="shared" si="113"/>
        <v>100</v>
      </c>
    </row>
    <row r="717" spans="1:10" ht="39.6" x14ac:dyDescent="0.25">
      <c r="A717" s="148"/>
      <c r="B717" s="70"/>
      <c r="C717" s="16" t="s">
        <v>106</v>
      </c>
      <c r="D717" s="16" t="s">
        <v>99</v>
      </c>
      <c r="E717" s="214" t="s">
        <v>728</v>
      </c>
      <c r="F717" s="84" t="s">
        <v>212</v>
      </c>
      <c r="G717" s="100" t="s">
        <v>213</v>
      </c>
      <c r="H717" s="41">
        <v>90</v>
      </c>
      <c r="I717" s="41">
        <v>90</v>
      </c>
      <c r="J717" s="96">
        <f t="shared" si="113"/>
        <v>100</v>
      </c>
    </row>
    <row r="718" spans="1:10" x14ac:dyDescent="0.25">
      <c r="A718" s="148"/>
      <c r="B718" s="70"/>
      <c r="C718" s="16" t="s">
        <v>106</v>
      </c>
      <c r="D718" s="16" t="s">
        <v>99</v>
      </c>
      <c r="E718" s="52" t="s">
        <v>36</v>
      </c>
      <c r="F718" s="21"/>
      <c r="G718" s="66" t="s">
        <v>51</v>
      </c>
      <c r="H718" s="58">
        <f>H719</f>
        <v>2960.6000000000004</v>
      </c>
      <c r="I718" s="58">
        <f>I719</f>
        <v>2924.8</v>
      </c>
      <c r="J718" s="58">
        <f t="shared" si="113"/>
        <v>98.8</v>
      </c>
    </row>
    <row r="719" spans="1:10" ht="65.25" customHeight="1" x14ac:dyDescent="0.25">
      <c r="A719" s="148"/>
      <c r="B719" s="70"/>
      <c r="C719" s="16" t="s">
        <v>106</v>
      </c>
      <c r="D719" s="16" t="s">
        <v>99</v>
      </c>
      <c r="E719" s="81">
        <v>290022200</v>
      </c>
      <c r="F719" s="21"/>
      <c r="G719" s="100" t="s">
        <v>266</v>
      </c>
      <c r="H719" s="96">
        <f>SUM(H720:H721)</f>
        <v>2960.6000000000004</v>
      </c>
      <c r="I719" s="96">
        <f>SUM(I720:I721)</f>
        <v>2924.8</v>
      </c>
      <c r="J719" s="96">
        <f t="shared" si="113"/>
        <v>98.8</v>
      </c>
    </row>
    <row r="720" spans="1:10" ht="38.25" customHeight="1" x14ac:dyDescent="0.25">
      <c r="A720" s="148"/>
      <c r="B720" s="70"/>
      <c r="C720" s="16" t="s">
        <v>106</v>
      </c>
      <c r="D720" s="16" t="s">
        <v>99</v>
      </c>
      <c r="E720" s="81">
        <v>290022200</v>
      </c>
      <c r="F720" s="16" t="s">
        <v>68</v>
      </c>
      <c r="G720" s="55" t="s">
        <v>69</v>
      </c>
      <c r="H720" s="96">
        <f>2788.9+116.4</f>
        <v>2905.3</v>
      </c>
      <c r="I720" s="96">
        <v>2875.5</v>
      </c>
      <c r="J720" s="96">
        <f t="shared" si="113"/>
        <v>99</v>
      </c>
    </row>
    <row r="721" spans="1:10" ht="39.6" x14ac:dyDescent="0.25">
      <c r="A721" s="148"/>
      <c r="B721" s="70"/>
      <c r="C721" s="16" t="s">
        <v>106</v>
      </c>
      <c r="D721" s="16" t="s">
        <v>99</v>
      </c>
      <c r="E721" s="81">
        <v>290022200</v>
      </c>
      <c r="F721" s="84" t="s">
        <v>212</v>
      </c>
      <c r="G721" s="100" t="s">
        <v>213</v>
      </c>
      <c r="H721" s="41">
        <f>61.5-6.2</f>
        <v>55.3</v>
      </c>
      <c r="I721" s="96">
        <v>49.3</v>
      </c>
      <c r="J721" s="96">
        <f t="shared" si="113"/>
        <v>89.2</v>
      </c>
    </row>
    <row r="722" spans="1:10" s="37" customFormat="1" ht="15.6" x14ac:dyDescent="0.3">
      <c r="A722" s="27"/>
      <c r="B722" s="25"/>
      <c r="C722" s="4" t="s">
        <v>107</v>
      </c>
      <c r="D722" s="3"/>
      <c r="E722" s="3"/>
      <c r="F722" s="3"/>
      <c r="G722" s="49" t="s">
        <v>128</v>
      </c>
      <c r="H722" s="94">
        <f t="shared" ref="H722:I724" si="115">H723</f>
        <v>15796.3</v>
      </c>
      <c r="I722" s="94">
        <f t="shared" si="115"/>
        <v>10694.5</v>
      </c>
      <c r="J722" s="160">
        <f t="shared" si="113"/>
        <v>67.7</v>
      </c>
    </row>
    <row r="723" spans="1:10" s="37" customFormat="1" ht="15" customHeight="1" x14ac:dyDescent="0.3">
      <c r="A723" s="27"/>
      <c r="B723" s="25"/>
      <c r="C723" s="35" t="s">
        <v>107</v>
      </c>
      <c r="D723" s="35" t="s">
        <v>94</v>
      </c>
      <c r="E723" s="35"/>
      <c r="F723" s="35"/>
      <c r="G723" s="46" t="s">
        <v>6</v>
      </c>
      <c r="H723" s="42">
        <f t="shared" si="115"/>
        <v>15796.3</v>
      </c>
      <c r="I723" s="42">
        <f t="shared" si="115"/>
        <v>10694.5</v>
      </c>
      <c r="J723" s="42">
        <f t="shared" si="113"/>
        <v>67.7</v>
      </c>
    </row>
    <row r="724" spans="1:10" ht="93" x14ac:dyDescent="0.3">
      <c r="A724" s="148"/>
      <c r="B724" s="25"/>
      <c r="C724" s="16" t="s">
        <v>107</v>
      </c>
      <c r="D724" s="16" t="s">
        <v>94</v>
      </c>
      <c r="E724" s="73" t="s">
        <v>65</v>
      </c>
      <c r="F724" s="35"/>
      <c r="G724" s="53" t="s">
        <v>673</v>
      </c>
      <c r="H724" s="62">
        <f t="shared" si="115"/>
        <v>15796.3</v>
      </c>
      <c r="I724" s="62">
        <f t="shared" si="115"/>
        <v>10694.5</v>
      </c>
      <c r="J724" s="62">
        <f t="shared" si="113"/>
        <v>67.7</v>
      </c>
    </row>
    <row r="725" spans="1:10" ht="40.200000000000003" x14ac:dyDescent="0.3">
      <c r="A725" s="148"/>
      <c r="B725" s="25"/>
      <c r="C725" s="47" t="s">
        <v>107</v>
      </c>
      <c r="D725" s="47" t="s">
        <v>94</v>
      </c>
      <c r="E725" s="52" t="s">
        <v>48</v>
      </c>
      <c r="F725" s="35"/>
      <c r="G725" s="48" t="s">
        <v>202</v>
      </c>
      <c r="H725" s="58">
        <f>H726</f>
        <v>15796.3</v>
      </c>
      <c r="I725" s="58">
        <f>I726</f>
        <v>10694.5</v>
      </c>
      <c r="J725" s="58">
        <f t="shared" si="113"/>
        <v>67.7</v>
      </c>
    </row>
    <row r="726" spans="1:10" ht="93" x14ac:dyDescent="0.3">
      <c r="A726" s="148"/>
      <c r="B726" s="25"/>
      <c r="C726" s="16" t="s">
        <v>107</v>
      </c>
      <c r="D726" s="16" t="s">
        <v>94</v>
      </c>
      <c r="E726" s="21" t="s">
        <v>261</v>
      </c>
      <c r="F726" s="35"/>
      <c r="G726" s="102" t="s">
        <v>262</v>
      </c>
      <c r="H726" s="58">
        <f>H727+H729+H732</f>
        <v>15796.3</v>
      </c>
      <c r="I726" s="58">
        <f>I727+I729+I732</f>
        <v>10694.5</v>
      </c>
      <c r="J726" s="96">
        <f t="shared" si="113"/>
        <v>67.7</v>
      </c>
    </row>
    <row r="727" spans="1:10" ht="92.4" x14ac:dyDescent="0.25">
      <c r="A727" s="148"/>
      <c r="B727" s="25"/>
      <c r="C727" s="16" t="s">
        <v>107</v>
      </c>
      <c r="D727" s="16" t="s">
        <v>94</v>
      </c>
      <c r="E727" s="21" t="s">
        <v>733</v>
      </c>
      <c r="F727" s="21"/>
      <c r="G727" s="102" t="s">
        <v>178</v>
      </c>
      <c r="H727" s="39">
        <f>H728</f>
        <v>415.7</v>
      </c>
      <c r="I727" s="39">
        <f>I728</f>
        <v>415.7</v>
      </c>
      <c r="J727" s="96">
        <f t="shared" si="113"/>
        <v>100</v>
      </c>
    </row>
    <row r="728" spans="1:10" ht="39.6" x14ac:dyDescent="0.25">
      <c r="A728" s="148"/>
      <c r="B728" s="25"/>
      <c r="C728" s="16" t="s">
        <v>107</v>
      </c>
      <c r="D728" s="16" t="s">
        <v>94</v>
      </c>
      <c r="E728" s="21" t="s">
        <v>733</v>
      </c>
      <c r="F728" s="84" t="s">
        <v>212</v>
      </c>
      <c r="G728" s="100" t="s">
        <v>213</v>
      </c>
      <c r="H728" s="39">
        <v>415.7</v>
      </c>
      <c r="I728" s="39">
        <v>415.7</v>
      </c>
      <c r="J728" s="96">
        <f t="shared" si="113"/>
        <v>100</v>
      </c>
    </row>
    <row r="729" spans="1:10" ht="66" x14ac:dyDescent="0.25">
      <c r="A729" s="148"/>
      <c r="B729" s="25"/>
      <c r="C729" s="16" t="s">
        <v>107</v>
      </c>
      <c r="D729" s="16" t="s">
        <v>94</v>
      </c>
      <c r="E729" s="21" t="s">
        <v>734</v>
      </c>
      <c r="F729" s="21"/>
      <c r="G729" s="102" t="s">
        <v>67</v>
      </c>
      <c r="H729" s="39">
        <f>SUM(H730:H731)</f>
        <v>80.599999999999994</v>
      </c>
      <c r="I729" s="39">
        <f>SUM(I730:I731)</f>
        <v>80.5</v>
      </c>
      <c r="J729" s="96">
        <f t="shared" si="113"/>
        <v>99.9</v>
      </c>
    </row>
    <row r="730" spans="1:10" ht="26.4" x14ac:dyDescent="0.25">
      <c r="A730" s="148"/>
      <c r="B730" s="25"/>
      <c r="C730" s="16" t="s">
        <v>107</v>
      </c>
      <c r="D730" s="16" t="s">
        <v>94</v>
      </c>
      <c r="E730" s="21" t="s">
        <v>734</v>
      </c>
      <c r="F730" s="84" t="s">
        <v>70</v>
      </c>
      <c r="G730" s="55" t="s">
        <v>133</v>
      </c>
      <c r="H730" s="39">
        <v>44.6</v>
      </c>
      <c r="I730" s="39">
        <v>44.5</v>
      </c>
      <c r="J730" s="96">
        <f t="shared" si="113"/>
        <v>99.8</v>
      </c>
    </row>
    <row r="731" spans="1:10" ht="39.6" x14ac:dyDescent="0.25">
      <c r="A731" s="148"/>
      <c r="B731" s="25"/>
      <c r="C731" s="16" t="s">
        <v>107</v>
      </c>
      <c r="D731" s="16" t="s">
        <v>94</v>
      </c>
      <c r="E731" s="21" t="s">
        <v>734</v>
      </c>
      <c r="F731" s="84" t="s">
        <v>212</v>
      </c>
      <c r="G731" s="100" t="s">
        <v>213</v>
      </c>
      <c r="H731" s="39">
        <v>36</v>
      </c>
      <c r="I731" s="39">
        <v>36</v>
      </c>
      <c r="J731" s="96">
        <f t="shared" si="113"/>
        <v>100</v>
      </c>
    </row>
    <row r="732" spans="1:10" ht="26.4" x14ac:dyDescent="0.25">
      <c r="A732" s="148"/>
      <c r="B732" s="25"/>
      <c r="C732" s="16" t="s">
        <v>107</v>
      </c>
      <c r="D732" s="16" t="s">
        <v>94</v>
      </c>
      <c r="E732" s="21" t="s">
        <v>735</v>
      </c>
      <c r="F732" s="84"/>
      <c r="G732" s="100" t="s">
        <v>736</v>
      </c>
      <c r="H732" s="39">
        <f>H733</f>
        <v>15300</v>
      </c>
      <c r="I732" s="39">
        <f>I733</f>
        <v>10198.299999999999</v>
      </c>
      <c r="J732" s="96">
        <f t="shared" si="113"/>
        <v>66.7</v>
      </c>
    </row>
    <row r="733" spans="1:10" ht="39.6" x14ac:dyDescent="0.25">
      <c r="A733" s="148"/>
      <c r="B733" s="25"/>
      <c r="C733" s="16" t="s">
        <v>107</v>
      </c>
      <c r="D733" s="16" t="s">
        <v>94</v>
      </c>
      <c r="E733" s="21" t="s">
        <v>735</v>
      </c>
      <c r="F733" s="84" t="s">
        <v>212</v>
      </c>
      <c r="G733" s="100" t="s">
        <v>213</v>
      </c>
      <c r="H733" s="39">
        <f>100+28+172+15000</f>
        <v>15300</v>
      </c>
      <c r="I733" s="39">
        <v>10198.299999999999</v>
      </c>
      <c r="J733" s="96">
        <f t="shared" si="113"/>
        <v>66.7</v>
      </c>
    </row>
    <row r="734" spans="1:10" ht="69.599999999999994" x14ac:dyDescent="0.3">
      <c r="A734" s="148"/>
      <c r="B734" s="93">
        <v>902</v>
      </c>
      <c r="C734" s="13"/>
      <c r="D734" s="13"/>
      <c r="E734" s="13"/>
      <c r="F734" s="13"/>
      <c r="G734" s="14" t="s">
        <v>198</v>
      </c>
      <c r="H734" s="94">
        <f>H735+H747</f>
        <v>9609.1</v>
      </c>
      <c r="I734" s="94">
        <f>I735+I747</f>
        <v>9530</v>
      </c>
      <c r="J734" s="160">
        <f t="shared" si="113"/>
        <v>99.2</v>
      </c>
    </row>
    <row r="735" spans="1:10" ht="15.6" x14ac:dyDescent="0.3">
      <c r="A735" s="148"/>
      <c r="B735" s="93"/>
      <c r="C735" s="4" t="s">
        <v>93</v>
      </c>
      <c r="D735" s="11"/>
      <c r="E735" s="11"/>
      <c r="F735" s="11"/>
      <c r="G735" s="15" t="s">
        <v>96</v>
      </c>
      <c r="H735" s="94">
        <f>H736+H743</f>
        <v>9606.1</v>
      </c>
      <c r="I735" s="94">
        <f>I736+I743</f>
        <v>9527</v>
      </c>
      <c r="J735" s="160">
        <f t="shared" si="113"/>
        <v>99.2</v>
      </c>
    </row>
    <row r="736" spans="1:10" ht="52.5" customHeight="1" x14ac:dyDescent="0.3">
      <c r="A736" s="148"/>
      <c r="B736" s="70"/>
      <c r="C736" s="35" t="s">
        <v>93</v>
      </c>
      <c r="D736" s="35" t="s">
        <v>101</v>
      </c>
      <c r="E736" s="35"/>
      <c r="F736" s="35"/>
      <c r="G736" s="46" t="s">
        <v>130</v>
      </c>
      <c r="H736" s="42">
        <f t="shared" ref="H736:I737" si="116">SUM(H737)</f>
        <v>9556.1</v>
      </c>
      <c r="I736" s="42">
        <f t="shared" si="116"/>
        <v>9527</v>
      </c>
      <c r="J736" s="42">
        <f t="shared" si="113"/>
        <v>99.7</v>
      </c>
    </row>
    <row r="737" spans="1:10" ht="26.4" x14ac:dyDescent="0.25">
      <c r="A737" s="148"/>
      <c r="B737" s="25"/>
      <c r="C737" s="16" t="s">
        <v>93</v>
      </c>
      <c r="D737" s="16" t="s">
        <v>101</v>
      </c>
      <c r="E737" s="80">
        <v>9900000000</v>
      </c>
      <c r="F737" s="16"/>
      <c r="G737" s="55" t="s">
        <v>144</v>
      </c>
      <c r="H737" s="39">
        <f t="shared" si="116"/>
        <v>9556.1</v>
      </c>
      <c r="I737" s="39">
        <f t="shared" si="116"/>
        <v>9527</v>
      </c>
      <c r="J737" s="96">
        <f t="shared" si="113"/>
        <v>99.7</v>
      </c>
    </row>
    <row r="738" spans="1:10" ht="39.6" x14ac:dyDescent="0.25">
      <c r="A738" s="148"/>
      <c r="B738" s="25"/>
      <c r="C738" s="16" t="s">
        <v>93</v>
      </c>
      <c r="D738" s="16" t="s">
        <v>101</v>
      </c>
      <c r="E738" s="80">
        <v>9980000000</v>
      </c>
      <c r="F738" s="16"/>
      <c r="G738" s="54" t="s">
        <v>34</v>
      </c>
      <c r="H738" s="39">
        <f>H739</f>
        <v>9556.1</v>
      </c>
      <c r="I738" s="39">
        <f>I739</f>
        <v>9527</v>
      </c>
      <c r="J738" s="96">
        <f t="shared" si="113"/>
        <v>99.7</v>
      </c>
    </row>
    <row r="739" spans="1:10" x14ac:dyDescent="0.25">
      <c r="A739" s="148"/>
      <c r="B739" s="25"/>
      <c r="C739" s="16" t="s">
        <v>93</v>
      </c>
      <c r="D739" s="16" t="s">
        <v>101</v>
      </c>
      <c r="E739" s="192">
        <v>9980022200</v>
      </c>
      <c r="F739" s="21"/>
      <c r="G739" s="102" t="s">
        <v>120</v>
      </c>
      <c r="H739" s="39">
        <f>SUM(H740:H742)</f>
        <v>9556.1</v>
      </c>
      <c r="I739" s="39">
        <f>SUM(I740:I742)</f>
        <v>9527</v>
      </c>
      <c r="J739" s="96">
        <f t="shared" si="113"/>
        <v>99.7</v>
      </c>
    </row>
    <row r="740" spans="1:10" ht="39.6" x14ac:dyDescent="0.25">
      <c r="A740" s="148"/>
      <c r="B740" s="25"/>
      <c r="C740" s="16" t="s">
        <v>93</v>
      </c>
      <c r="D740" s="16" t="s">
        <v>101</v>
      </c>
      <c r="E740" s="192">
        <v>9980022200</v>
      </c>
      <c r="F740" s="16" t="s">
        <v>68</v>
      </c>
      <c r="G740" s="105" t="s">
        <v>69</v>
      </c>
      <c r="H740" s="39">
        <f>8799.1-1.3+189+308.1+8</f>
        <v>9302.9000000000015</v>
      </c>
      <c r="I740" s="39">
        <v>9282</v>
      </c>
      <c r="J740" s="96">
        <f t="shared" si="113"/>
        <v>99.8</v>
      </c>
    </row>
    <row r="741" spans="1:10" ht="39.6" x14ac:dyDescent="0.25">
      <c r="A741" s="148"/>
      <c r="B741" s="25"/>
      <c r="C741" s="16" t="s">
        <v>93</v>
      </c>
      <c r="D741" s="16" t="s">
        <v>101</v>
      </c>
      <c r="E741" s="192">
        <v>9980022200</v>
      </c>
      <c r="F741" s="84" t="s">
        <v>212</v>
      </c>
      <c r="G741" s="100" t="s">
        <v>213</v>
      </c>
      <c r="H741" s="39">
        <f>448.9-189-8</f>
        <v>251.89999999999998</v>
      </c>
      <c r="I741" s="39">
        <v>243.7</v>
      </c>
      <c r="J741" s="96">
        <f t="shared" si="113"/>
        <v>96.7</v>
      </c>
    </row>
    <row r="742" spans="1:10" ht="19.5" customHeight="1" x14ac:dyDescent="0.25">
      <c r="A742" s="148"/>
      <c r="B742" s="25"/>
      <c r="C742" s="16" t="s">
        <v>93</v>
      </c>
      <c r="D742" s="16" t="s">
        <v>101</v>
      </c>
      <c r="E742" s="192">
        <v>9980022200</v>
      </c>
      <c r="F742" s="84" t="s">
        <v>134</v>
      </c>
      <c r="G742" s="100" t="s">
        <v>135</v>
      </c>
      <c r="H742" s="39">
        <v>1.3</v>
      </c>
      <c r="I742" s="39">
        <v>1.3</v>
      </c>
      <c r="J742" s="96">
        <f t="shared" si="113"/>
        <v>100</v>
      </c>
    </row>
    <row r="743" spans="1:10" ht="14.4" x14ac:dyDescent="0.3">
      <c r="A743" s="148"/>
      <c r="B743" s="25"/>
      <c r="C743" s="35" t="s">
        <v>93</v>
      </c>
      <c r="D743" s="35" t="s">
        <v>107</v>
      </c>
      <c r="E743" s="35"/>
      <c r="F743" s="35"/>
      <c r="G743" s="27" t="s">
        <v>5</v>
      </c>
      <c r="H743" s="42">
        <f t="shared" ref="H743:I745" si="117">H744</f>
        <v>50</v>
      </c>
      <c r="I743" s="42">
        <f t="shared" si="117"/>
        <v>0</v>
      </c>
      <c r="J743" s="42">
        <f t="shared" si="113"/>
        <v>0</v>
      </c>
    </row>
    <row r="744" spans="1:10" ht="12.75" customHeight="1" x14ac:dyDescent="0.3">
      <c r="A744" s="148"/>
      <c r="B744" s="25"/>
      <c r="C744" s="16" t="s">
        <v>93</v>
      </c>
      <c r="D744" s="16" t="s">
        <v>107</v>
      </c>
      <c r="E744" s="80">
        <v>9920000000</v>
      </c>
      <c r="F744" s="35"/>
      <c r="G744" s="154" t="s">
        <v>5</v>
      </c>
      <c r="H744" s="42">
        <f t="shared" si="117"/>
        <v>50</v>
      </c>
      <c r="I744" s="42">
        <f t="shared" si="117"/>
        <v>0</v>
      </c>
      <c r="J744" s="96">
        <f t="shared" ref="J744:J745" si="118">ROUND((I744/H744*100),1)</f>
        <v>0</v>
      </c>
    </row>
    <row r="745" spans="1:10" ht="24" customHeight="1" x14ac:dyDescent="0.25">
      <c r="A745" s="148"/>
      <c r="B745" s="25"/>
      <c r="C745" s="16" t="s">
        <v>93</v>
      </c>
      <c r="D745" s="16" t="s">
        <v>107</v>
      </c>
      <c r="E745" s="80">
        <v>9920026100</v>
      </c>
      <c r="F745" s="21"/>
      <c r="G745" s="102" t="s">
        <v>13</v>
      </c>
      <c r="H745" s="39">
        <f t="shared" si="117"/>
        <v>50</v>
      </c>
      <c r="I745" s="39">
        <f t="shared" si="117"/>
        <v>0</v>
      </c>
      <c r="J745" s="96">
        <f t="shared" si="118"/>
        <v>0</v>
      </c>
    </row>
    <row r="746" spans="1:10" x14ac:dyDescent="0.25">
      <c r="A746" s="148"/>
      <c r="B746" s="25"/>
      <c r="C746" s="16" t="s">
        <v>93</v>
      </c>
      <c r="D746" s="16" t="s">
        <v>107</v>
      </c>
      <c r="E746" s="80">
        <v>9920026100</v>
      </c>
      <c r="F746" s="16" t="s">
        <v>90</v>
      </c>
      <c r="G746" s="100" t="s">
        <v>91</v>
      </c>
      <c r="H746" s="39">
        <f>500-50-400</f>
        <v>50</v>
      </c>
      <c r="I746" s="39">
        <v>0</v>
      </c>
      <c r="J746" s="96">
        <f t="shared" ref="J746:J751" si="119">ROUND((I746/H746*100),1)</f>
        <v>0</v>
      </c>
    </row>
    <row r="747" spans="1:10" ht="36" customHeight="1" x14ac:dyDescent="0.3">
      <c r="A747" s="3"/>
      <c r="B747" s="25"/>
      <c r="C747" s="4" t="s">
        <v>9</v>
      </c>
      <c r="D747" s="5"/>
      <c r="E747" s="217"/>
      <c r="F747" s="217"/>
      <c r="G747" s="49" t="s">
        <v>741</v>
      </c>
      <c r="H747" s="98">
        <f t="shared" ref="H747:I750" si="120">H748</f>
        <v>3</v>
      </c>
      <c r="I747" s="98">
        <f t="shared" si="120"/>
        <v>3</v>
      </c>
      <c r="J747" s="62">
        <f t="shared" si="119"/>
        <v>100</v>
      </c>
    </row>
    <row r="748" spans="1:10" s="37" customFormat="1" ht="27" x14ac:dyDescent="0.3">
      <c r="A748" s="27"/>
      <c r="B748" s="25"/>
      <c r="C748" s="47" t="s">
        <v>9</v>
      </c>
      <c r="D748" s="47" t="s">
        <v>93</v>
      </c>
      <c r="E748" s="23"/>
      <c r="F748" s="23"/>
      <c r="G748" s="48" t="s">
        <v>742</v>
      </c>
      <c r="H748" s="95">
        <f t="shared" si="120"/>
        <v>3</v>
      </c>
      <c r="I748" s="95">
        <f t="shared" si="120"/>
        <v>3</v>
      </c>
      <c r="J748" s="58">
        <f t="shared" si="119"/>
        <v>100</v>
      </c>
    </row>
    <row r="749" spans="1:10" s="37" customFormat="1" ht="29.25" customHeight="1" x14ac:dyDescent="0.3">
      <c r="A749" s="27"/>
      <c r="B749" s="25"/>
      <c r="C749" s="84" t="s">
        <v>9</v>
      </c>
      <c r="D749" s="84" t="s">
        <v>93</v>
      </c>
      <c r="E749" s="84" t="s">
        <v>29</v>
      </c>
      <c r="F749" s="84"/>
      <c r="G749" s="102" t="s">
        <v>43</v>
      </c>
      <c r="H749" s="39">
        <f t="shared" si="120"/>
        <v>3</v>
      </c>
      <c r="I749" s="39">
        <f t="shared" si="120"/>
        <v>3</v>
      </c>
      <c r="J749" s="62">
        <f t="shared" si="119"/>
        <v>100</v>
      </c>
    </row>
    <row r="750" spans="1:10" s="37" customFormat="1" ht="27" x14ac:dyDescent="0.3">
      <c r="A750" s="27"/>
      <c r="B750" s="25"/>
      <c r="C750" s="84" t="s">
        <v>9</v>
      </c>
      <c r="D750" s="84" t="s">
        <v>93</v>
      </c>
      <c r="E750" s="148">
        <v>9940026500</v>
      </c>
      <c r="F750" s="148"/>
      <c r="G750" s="190" t="s">
        <v>12</v>
      </c>
      <c r="H750" s="39">
        <f t="shared" si="120"/>
        <v>3</v>
      </c>
      <c r="I750" s="39">
        <f t="shared" si="120"/>
        <v>3</v>
      </c>
      <c r="J750" s="58">
        <f t="shared" si="119"/>
        <v>100</v>
      </c>
    </row>
    <row r="751" spans="1:10" s="37" customFormat="1" ht="14.4" x14ac:dyDescent="0.3">
      <c r="A751" s="27"/>
      <c r="B751" s="25"/>
      <c r="C751" s="84" t="s">
        <v>9</v>
      </c>
      <c r="D751" s="84" t="s">
        <v>93</v>
      </c>
      <c r="E751" s="148">
        <v>9940026500</v>
      </c>
      <c r="F751" s="84" t="s">
        <v>16</v>
      </c>
      <c r="G751" s="148" t="s">
        <v>17</v>
      </c>
      <c r="H751" s="39">
        <f>4.2-1.2</f>
        <v>3</v>
      </c>
      <c r="I751" s="39">
        <f>4.2-1.2</f>
        <v>3</v>
      </c>
      <c r="J751" s="96">
        <f t="shared" si="119"/>
        <v>100</v>
      </c>
    </row>
  </sheetData>
  <mergeCells count="12">
    <mergeCell ref="A7:J7"/>
    <mergeCell ref="B9:B11"/>
    <mergeCell ref="C9:C11"/>
    <mergeCell ref="D9:D11"/>
    <mergeCell ref="E9:E11"/>
    <mergeCell ref="F9:F11"/>
    <mergeCell ref="G9:G11"/>
    <mergeCell ref="H9:I9"/>
    <mergeCell ref="A10:A11"/>
    <mergeCell ref="H10:H11"/>
    <mergeCell ref="I10:I11"/>
    <mergeCell ref="J9:J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611"/>
  <sheetViews>
    <sheetView topLeftCell="A343" zoomScaleNormal="100" workbookViewId="0">
      <selection activeCell="C352" sqref="C352"/>
    </sheetView>
  </sheetViews>
  <sheetFormatPr defaultColWidth="9.109375" defaultRowHeight="13.2" x14ac:dyDescent="0.25"/>
  <cols>
    <col min="1" max="1" width="11.88671875" style="92" customWidth="1"/>
    <col min="2" max="2" width="3.33203125" style="92" customWidth="1"/>
    <col min="3" max="3" width="39.6640625" style="92" customWidth="1"/>
    <col min="4" max="4" width="11.88671875" style="92" customWidth="1"/>
    <col min="5" max="5" width="12.109375" style="92" customWidth="1"/>
    <col min="6" max="6" width="6.44140625" style="92" customWidth="1"/>
    <col min="7" max="7" width="9.5546875" style="92" bestFit="1" customWidth="1"/>
    <col min="8" max="16384" width="9.109375" style="92"/>
  </cols>
  <sheetData>
    <row r="1" spans="1:7" x14ac:dyDescent="0.25">
      <c r="C1" s="89" t="s">
        <v>324</v>
      </c>
    </row>
    <row r="2" spans="1:7" x14ac:dyDescent="0.25">
      <c r="C2" s="89" t="s">
        <v>388</v>
      </c>
    </row>
    <row r="3" spans="1:7" x14ac:dyDescent="0.25">
      <c r="C3" s="89" t="s">
        <v>422</v>
      </c>
    </row>
    <row r="4" spans="1:7" x14ac:dyDescent="0.25">
      <c r="C4" s="89" t="s">
        <v>423</v>
      </c>
    </row>
    <row r="5" spans="1:7" x14ac:dyDescent="0.25">
      <c r="C5" s="89" t="s">
        <v>476</v>
      </c>
    </row>
    <row r="6" spans="1:7" x14ac:dyDescent="0.25">
      <c r="C6" s="87"/>
      <c r="D6" s="44"/>
    </row>
    <row r="7" spans="1:7" ht="48" customHeight="1" x14ac:dyDescent="0.25">
      <c r="A7" s="235" t="s">
        <v>799</v>
      </c>
      <c r="B7" s="251"/>
      <c r="C7" s="251"/>
      <c r="D7" s="251"/>
      <c r="E7" s="251"/>
      <c r="F7" s="251"/>
      <c r="G7" s="130"/>
    </row>
    <row r="8" spans="1:7" ht="15" x14ac:dyDescent="0.25">
      <c r="A8" s="127"/>
      <c r="B8" s="129"/>
      <c r="C8" s="129"/>
      <c r="D8" s="129"/>
      <c r="E8" s="129"/>
      <c r="F8" s="129"/>
      <c r="G8" s="130"/>
    </row>
    <row r="9" spans="1:7" x14ac:dyDescent="0.25">
      <c r="D9" s="6"/>
    </row>
    <row r="10" spans="1:7" ht="12.75" customHeight="1" x14ac:dyDescent="0.25">
      <c r="A10" s="246" t="s">
        <v>124</v>
      </c>
      <c r="B10" s="246" t="s">
        <v>118</v>
      </c>
      <c r="C10" s="243" t="s">
        <v>274</v>
      </c>
      <c r="D10" s="249" t="s">
        <v>32</v>
      </c>
      <c r="E10" s="250"/>
      <c r="F10" s="243" t="s">
        <v>421</v>
      </c>
    </row>
    <row r="11" spans="1:7" ht="12.75" customHeight="1" x14ac:dyDescent="0.25">
      <c r="A11" s="247"/>
      <c r="B11" s="247"/>
      <c r="C11" s="244"/>
      <c r="D11" s="243" t="s">
        <v>420</v>
      </c>
      <c r="E11" s="243" t="s">
        <v>474</v>
      </c>
      <c r="F11" s="247"/>
    </row>
    <row r="12" spans="1:7" ht="27" customHeight="1" x14ac:dyDescent="0.25">
      <c r="A12" s="247"/>
      <c r="B12" s="247"/>
      <c r="C12" s="244"/>
      <c r="D12" s="244"/>
      <c r="E12" s="244"/>
      <c r="F12" s="247"/>
    </row>
    <row r="13" spans="1:7" x14ac:dyDescent="0.2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</row>
    <row r="14" spans="1:7" ht="17.399999999999999" x14ac:dyDescent="0.3">
      <c r="A14" s="2"/>
      <c r="B14" s="2"/>
      <c r="C14" s="9" t="s">
        <v>97</v>
      </c>
      <c r="D14" s="149">
        <f>D15+D556</f>
        <v>1262150.0000000005</v>
      </c>
      <c r="E14" s="149">
        <f>E15+E556</f>
        <v>1212838.3</v>
      </c>
      <c r="F14" s="160">
        <f t="shared" ref="F14:F77" si="0">ROUND((E14/D14*100),1)</f>
        <v>96.1</v>
      </c>
    </row>
    <row r="15" spans="1:7" ht="15.6" x14ac:dyDescent="0.3">
      <c r="A15" s="2"/>
      <c r="B15" s="2"/>
      <c r="C15" s="3" t="s">
        <v>375</v>
      </c>
      <c r="D15" s="149">
        <f>D16+D143+D222+D247+D290+D313+D320+D341+D346+D377+D392+D416+D454+D476+D494+D546</f>
        <v>1153862.5000000005</v>
      </c>
      <c r="E15" s="149">
        <f>E16+E143+E222+E247+E290+E313+E320+E341+E346+E377+E392+E416+E454+E476+E494+E546</f>
        <v>1106150.1000000001</v>
      </c>
      <c r="F15" s="160">
        <f t="shared" si="0"/>
        <v>95.9</v>
      </c>
    </row>
    <row r="16" spans="1:7" ht="66.599999999999994" x14ac:dyDescent="0.3">
      <c r="A16" s="73" t="s">
        <v>79</v>
      </c>
      <c r="B16" s="35"/>
      <c r="C16" s="64" t="s">
        <v>607</v>
      </c>
      <c r="D16" s="62">
        <f>D17+D36+D82+D110+D138</f>
        <v>574253.70000000019</v>
      </c>
      <c r="E16" s="62">
        <f>E17+E36+E82+E110+E138</f>
        <v>569776.30000000016</v>
      </c>
      <c r="F16" s="62">
        <f t="shared" si="0"/>
        <v>99.2</v>
      </c>
      <c r="G16" s="106"/>
    </row>
    <row r="17" spans="1:7" ht="27" x14ac:dyDescent="0.3">
      <c r="A17" s="52" t="s">
        <v>80</v>
      </c>
      <c r="B17" s="35"/>
      <c r="C17" s="46" t="s">
        <v>608</v>
      </c>
      <c r="D17" s="58">
        <f>D18+D27+D32</f>
        <v>161402.4</v>
      </c>
      <c r="E17" s="58">
        <f>E18+E27+E32</f>
        <v>158619</v>
      </c>
      <c r="F17" s="58">
        <f t="shared" si="0"/>
        <v>98.3</v>
      </c>
      <c r="G17" s="106"/>
    </row>
    <row r="18" spans="1:7" ht="40.200000000000003" x14ac:dyDescent="0.3">
      <c r="A18" s="21" t="s">
        <v>347</v>
      </c>
      <c r="B18" s="35"/>
      <c r="C18" s="99" t="s">
        <v>763</v>
      </c>
      <c r="D18" s="96">
        <f>D19+D21+D23+D25</f>
        <v>150448.9</v>
      </c>
      <c r="E18" s="96">
        <f>E19+E21+E23+E25</f>
        <v>150448.9</v>
      </c>
      <c r="F18" s="96">
        <f t="shared" si="0"/>
        <v>100</v>
      </c>
      <c r="G18" s="106"/>
    </row>
    <row r="19" spans="1:7" ht="52.8" x14ac:dyDescent="0.25">
      <c r="A19" s="21" t="s">
        <v>609</v>
      </c>
      <c r="B19" s="21"/>
      <c r="C19" s="100" t="s">
        <v>610</v>
      </c>
      <c r="D19" s="96">
        <f>D20</f>
        <v>84139.6</v>
      </c>
      <c r="E19" s="96">
        <f>E20</f>
        <v>84139.6</v>
      </c>
      <c r="F19" s="96">
        <f t="shared" si="0"/>
        <v>100</v>
      </c>
      <c r="G19" s="106"/>
    </row>
    <row r="20" spans="1:7" x14ac:dyDescent="0.25">
      <c r="A20" s="21" t="s">
        <v>609</v>
      </c>
      <c r="B20" s="21" t="s">
        <v>226</v>
      </c>
      <c r="C20" s="100" t="s">
        <v>225</v>
      </c>
      <c r="D20" s="197">
        <f>79437.3+4702.3</f>
        <v>84139.6</v>
      </c>
      <c r="E20" s="197">
        <f>79437.3+4702.3</f>
        <v>84139.6</v>
      </c>
      <c r="F20" s="96">
        <f t="shared" si="0"/>
        <v>100</v>
      </c>
      <c r="G20" s="106"/>
    </row>
    <row r="21" spans="1:7" ht="66" x14ac:dyDescent="0.25">
      <c r="A21" s="207" t="s">
        <v>611</v>
      </c>
      <c r="B21" s="21"/>
      <c r="C21" s="100" t="s">
        <v>612</v>
      </c>
      <c r="D21" s="96">
        <f>D22</f>
        <v>65418.399999999994</v>
      </c>
      <c r="E21" s="96">
        <f>E22</f>
        <v>65418.399999999994</v>
      </c>
      <c r="F21" s="96">
        <f t="shared" si="0"/>
        <v>100</v>
      </c>
      <c r="G21" s="106"/>
    </row>
    <row r="22" spans="1:7" ht="13.8" x14ac:dyDescent="0.25">
      <c r="A22" s="219" t="s">
        <v>611</v>
      </c>
      <c r="B22" s="21" t="s">
        <v>226</v>
      </c>
      <c r="C22" s="100" t="s">
        <v>225</v>
      </c>
      <c r="D22" s="161">
        <f>65069.6-432+23.2-16.3+402.8+363.7+7.4</f>
        <v>65418.399999999994</v>
      </c>
      <c r="E22" s="161">
        <f>65069.6-432+23.2-16.3+402.8+363.7+7.4</f>
        <v>65418.399999999994</v>
      </c>
      <c r="F22" s="96">
        <f t="shared" si="0"/>
        <v>100</v>
      </c>
      <c r="G22" s="106"/>
    </row>
    <row r="23" spans="1:7" ht="52.8" x14ac:dyDescent="0.25">
      <c r="A23" s="208" t="s">
        <v>613</v>
      </c>
      <c r="B23" s="21"/>
      <c r="C23" s="100" t="s">
        <v>614</v>
      </c>
      <c r="D23" s="96">
        <f>D24</f>
        <v>882</v>
      </c>
      <c r="E23" s="96">
        <f>E24</f>
        <v>882</v>
      </c>
      <c r="F23" s="96">
        <f t="shared" si="0"/>
        <v>100</v>
      </c>
      <c r="G23" s="106"/>
    </row>
    <row r="24" spans="1:7" ht="13.8" x14ac:dyDescent="0.25">
      <c r="A24" s="209" t="s">
        <v>613</v>
      </c>
      <c r="B24" s="21" t="s">
        <v>226</v>
      </c>
      <c r="C24" s="100" t="s">
        <v>225</v>
      </c>
      <c r="D24" s="158">
        <f>874.7+7.3</f>
        <v>882</v>
      </c>
      <c r="E24" s="158">
        <f>874.7+7.3</f>
        <v>882</v>
      </c>
      <c r="F24" s="96">
        <f t="shared" si="0"/>
        <v>100</v>
      </c>
      <c r="G24" s="106"/>
    </row>
    <row r="25" spans="1:7" ht="54" customHeight="1" x14ac:dyDescent="0.25">
      <c r="A25" s="208" t="s">
        <v>615</v>
      </c>
      <c r="B25" s="21"/>
      <c r="C25" s="125" t="s">
        <v>616</v>
      </c>
      <c r="D25" s="96">
        <f>D26</f>
        <v>8.9</v>
      </c>
      <c r="E25" s="96">
        <f>E26</f>
        <v>8.9</v>
      </c>
      <c r="F25" s="96">
        <f t="shared" si="0"/>
        <v>100</v>
      </c>
      <c r="G25" s="106"/>
    </row>
    <row r="26" spans="1:7" ht="13.8" x14ac:dyDescent="0.25">
      <c r="A26" s="208" t="s">
        <v>615</v>
      </c>
      <c r="B26" s="21" t="s">
        <v>226</v>
      </c>
      <c r="C26" s="100" t="s">
        <v>225</v>
      </c>
      <c r="D26" s="197">
        <f>16.3-7.4</f>
        <v>8.9</v>
      </c>
      <c r="E26" s="197">
        <f>16.3-7.4</f>
        <v>8.9</v>
      </c>
      <c r="F26" s="96">
        <f t="shared" si="0"/>
        <v>100</v>
      </c>
      <c r="G26" s="106"/>
    </row>
    <row r="27" spans="1:7" ht="25.5" customHeight="1" x14ac:dyDescent="0.3">
      <c r="A27" s="21" t="s">
        <v>287</v>
      </c>
      <c r="B27" s="35"/>
      <c r="C27" s="99" t="s">
        <v>764</v>
      </c>
      <c r="D27" s="96">
        <f>D28+D30</f>
        <v>415</v>
      </c>
      <c r="E27" s="96">
        <f>E28+E30</f>
        <v>415</v>
      </c>
      <c r="F27" s="96">
        <f t="shared" si="0"/>
        <v>100</v>
      </c>
      <c r="G27" s="106"/>
    </row>
    <row r="28" spans="1:7" ht="52.8" x14ac:dyDescent="0.25">
      <c r="A28" s="21" t="s">
        <v>617</v>
      </c>
      <c r="B28" s="57"/>
      <c r="C28" s="116" t="s">
        <v>415</v>
      </c>
      <c r="D28" s="96">
        <f>D29</f>
        <v>300</v>
      </c>
      <c r="E28" s="96">
        <f>E29</f>
        <v>300</v>
      </c>
      <c r="F28" s="96">
        <f t="shared" si="0"/>
        <v>100</v>
      </c>
      <c r="G28" s="106"/>
    </row>
    <row r="29" spans="1:7" x14ac:dyDescent="0.25">
      <c r="A29" s="21" t="s">
        <v>617</v>
      </c>
      <c r="B29" s="21" t="s">
        <v>226</v>
      </c>
      <c r="C29" s="100" t="s">
        <v>225</v>
      </c>
      <c r="D29" s="96">
        <v>300</v>
      </c>
      <c r="E29" s="96">
        <v>300</v>
      </c>
      <c r="F29" s="96">
        <f t="shared" si="0"/>
        <v>100</v>
      </c>
      <c r="G29" s="156"/>
    </row>
    <row r="30" spans="1:7" ht="54" customHeight="1" x14ac:dyDescent="0.25">
      <c r="A30" s="57" t="s">
        <v>618</v>
      </c>
      <c r="B30" s="21"/>
      <c r="C30" s="100" t="s">
        <v>387</v>
      </c>
      <c r="D30" s="96">
        <f>D31</f>
        <v>115</v>
      </c>
      <c r="E30" s="96">
        <f>E31</f>
        <v>115</v>
      </c>
      <c r="F30" s="96">
        <f t="shared" si="0"/>
        <v>100</v>
      </c>
      <c r="G30" s="106"/>
    </row>
    <row r="31" spans="1:7" x14ac:dyDescent="0.25">
      <c r="A31" s="57" t="s">
        <v>618</v>
      </c>
      <c r="B31" s="21" t="s">
        <v>226</v>
      </c>
      <c r="C31" s="100" t="s">
        <v>225</v>
      </c>
      <c r="D31" s="96">
        <v>115</v>
      </c>
      <c r="E31" s="96">
        <v>115</v>
      </c>
      <c r="F31" s="96">
        <f t="shared" si="0"/>
        <v>100</v>
      </c>
      <c r="G31" s="106"/>
    </row>
    <row r="32" spans="1:7" ht="26.4" x14ac:dyDescent="0.25">
      <c r="A32" s="21" t="s">
        <v>288</v>
      </c>
      <c r="B32" s="21"/>
      <c r="C32" s="99" t="s">
        <v>788</v>
      </c>
      <c r="D32" s="96">
        <f>D33</f>
        <v>10538.5</v>
      </c>
      <c r="E32" s="96">
        <f>E33</f>
        <v>7755.1</v>
      </c>
      <c r="F32" s="96">
        <f t="shared" si="0"/>
        <v>73.599999999999994</v>
      </c>
      <c r="G32" s="106"/>
    </row>
    <row r="33" spans="1:7" ht="79.2" x14ac:dyDescent="0.25">
      <c r="A33" s="57" t="s">
        <v>731</v>
      </c>
      <c r="B33" s="21"/>
      <c r="C33" s="100" t="s">
        <v>732</v>
      </c>
      <c r="D33" s="96">
        <f>D34+D35</f>
        <v>10538.5</v>
      </c>
      <c r="E33" s="96">
        <f>E34+E35</f>
        <v>7755.1</v>
      </c>
      <c r="F33" s="96">
        <f t="shared" si="0"/>
        <v>73.599999999999994</v>
      </c>
      <c r="G33" s="106"/>
    </row>
    <row r="34" spans="1:7" ht="39.6" x14ac:dyDescent="0.25">
      <c r="A34" s="57" t="s">
        <v>731</v>
      </c>
      <c r="B34" s="84" t="s">
        <v>212</v>
      </c>
      <c r="C34" s="100" t="s">
        <v>213</v>
      </c>
      <c r="D34" s="96">
        <v>260</v>
      </c>
      <c r="E34" s="39">
        <v>189.6</v>
      </c>
      <c r="F34" s="96">
        <f t="shared" si="0"/>
        <v>72.900000000000006</v>
      </c>
      <c r="G34" s="106"/>
    </row>
    <row r="35" spans="1:7" ht="25.5" customHeight="1" x14ac:dyDescent="0.25">
      <c r="A35" s="57" t="s">
        <v>731</v>
      </c>
      <c r="B35" s="84" t="s">
        <v>265</v>
      </c>
      <c r="C35" s="100" t="s">
        <v>253</v>
      </c>
      <c r="D35" s="96">
        <v>10278.5</v>
      </c>
      <c r="E35" s="39">
        <v>7565.5</v>
      </c>
      <c r="F35" s="96">
        <f t="shared" si="0"/>
        <v>73.599999999999994</v>
      </c>
      <c r="G35" s="106"/>
    </row>
    <row r="36" spans="1:7" ht="38.25" customHeight="1" x14ac:dyDescent="0.25">
      <c r="A36" s="52" t="s">
        <v>81</v>
      </c>
      <c r="B36" s="21"/>
      <c r="C36" s="46" t="s">
        <v>619</v>
      </c>
      <c r="D36" s="96">
        <f>D37+D48+D57+D64+D77</f>
        <v>358783.20000000007</v>
      </c>
      <c r="E36" s="96">
        <f>E37+E48+E57+E64+E77</f>
        <v>357314.60000000003</v>
      </c>
      <c r="F36" s="96">
        <f t="shared" si="0"/>
        <v>99.6</v>
      </c>
      <c r="G36" s="106"/>
    </row>
    <row r="37" spans="1:7" ht="53.4" x14ac:dyDescent="0.3">
      <c r="A37" s="21" t="s">
        <v>292</v>
      </c>
      <c r="B37" s="35"/>
      <c r="C37" s="99" t="s">
        <v>765</v>
      </c>
      <c r="D37" s="96">
        <f>D38+D40+D42+D44+D46</f>
        <v>307341.60000000003</v>
      </c>
      <c r="E37" s="96">
        <f>E38+E40+E42+E44+E46</f>
        <v>307341.60000000003</v>
      </c>
      <c r="F37" s="96">
        <f t="shared" si="0"/>
        <v>100</v>
      </c>
      <c r="G37" s="106"/>
    </row>
    <row r="38" spans="1:7" ht="66" x14ac:dyDescent="0.25">
      <c r="A38" s="83" t="s">
        <v>620</v>
      </c>
      <c r="B38" s="84"/>
      <c r="C38" s="100" t="s">
        <v>621</v>
      </c>
      <c r="D38" s="96">
        <f>D39</f>
        <v>214831.2</v>
      </c>
      <c r="E38" s="96">
        <f>E39</f>
        <v>214831.2</v>
      </c>
      <c r="F38" s="96">
        <f t="shared" si="0"/>
        <v>100</v>
      </c>
      <c r="G38" s="106"/>
    </row>
    <row r="39" spans="1:7" x14ac:dyDescent="0.25">
      <c r="A39" s="57" t="s">
        <v>620</v>
      </c>
      <c r="B39" s="21" t="s">
        <v>226</v>
      </c>
      <c r="C39" s="100" t="s">
        <v>225</v>
      </c>
      <c r="D39" s="158">
        <f>210061.5-147.4+4917.1</f>
        <v>214831.2</v>
      </c>
      <c r="E39" s="158">
        <f>210061.5-147.4+4917.1</f>
        <v>214831.2</v>
      </c>
      <c r="F39" s="96">
        <f t="shared" si="0"/>
        <v>100</v>
      </c>
      <c r="G39" s="106"/>
    </row>
    <row r="40" spans="1:7" ht="66" x14ac:dyDescent="0.25">
      <c r="A40" s="57" t="s">
        <v>622</v>
      </c>
      <c r="B40" s="21"/>
      <c r="C40" s="100" t="s">
        <v>291</v>
      </c>
      <c r="D40" s="96">
        <f>D41</f>
        <v>76153.700000000012</v>
      </c>
      <c r="E40" s="96">
        <f>E41</f>
        <v>76153.700000000012</v>
      </c>
      <c r="F40" s="96">
        <f t="shared" si="0"/>
        <v>100</v>
      </c>
      <c r="G40" s="106"/>
    </row>
    <row r="41" spans="1:7" x14ac:dyDescent="0.25">
      <c r="A41" s="57" t="s">
        <v>622</v>
      </c>
      <c r="B41" s="21" t="s">
        <v>226</v>
      </c>
      <c r="C41" s="100" t="s">
        <v>225</v>
      </c>
      <c r="D41" s="161">
        <f>76437.5-496+281.2+149.5+452-10.9-402.8-261.9+5.1</f>
        <v>76153.700000000012</v>
      </c>
      <c r="E41" s="161">
        <f>76437.5-496+281.2+149.5+452-10.9-402.8-261.9+5.1</f>
        <v>76153.700000000012</v>
      </c>
      <c r="F41" s="96">
        <f t="shared" si="0"/>
        <v>100</v>
      </c>
      <c r="G41" s="106"/>
    </row>
    <row r="42" spans="1:7" ht="52.8" x14ac:dyDescent="0.25">
      <c r="A42" s="57" t="s">
        <v>623</v>
      </c>
      <c r="B42" s="21"/>
      <c r="C42" s="100" t="s">
        <v>624</v>
      </c>
      <c r="D42" s="96">
        <f>D43</f>
        <v>15780.2</v>
      </c>
      <c r="E42" s="96">
        <f>E43</f>
        <v>15780.2</v>
      </c>
      <c r="F42" s="96">
        <f t="shared" si="0"/>
        <v>100</v>
      </c>
      <c r="G42" s="106"/>
    </row>
    <row r="43" spans="1:7" x14ac:dyDescent="0.25">
      <c r="A43" s="21" t="s">
        <v>623</v>
      </c>
      <c r="B43" s="21" t="s">
        <v>226</v>
      </c>
      <c r="C43" s="100" t="s">
        <v>225</v>
      </c>
      <c r="D43" s="197">
        <v>15780.2</v>
      </c>
      <c r="E43" s="197">
        <v>15780.2</v>
      </c>
      <c r="F43" s="96">
        <f t="shared" si="0"/>
        <v>100</v>
      </c>
      <c r="G43" s="106"/>
    </row>
    <row r="44" spans="1:7" ht="52.8" x14ac:dyDescent="0.25">
      <c r="A44" s="208" t="s">
        <v>625</v>
      </c>
      <c r="B44" s="21"/>
      <c r="C44" s="125" t="s">
        <v>626</v>
      </c>
      <c r="D44" s="158">
        <f>D45</f>
        <v>570.70000000000005</v>
      </c>
      <c r="E44" s="158">
        <f>E45</f>
        <v>570.70000000000005</v>
      </c>
      <c r="F44" s="96">
        <f t="shared" si="0"/>
        <v>100</v>
      </c>
      <c r="G44" s="106"/>
    </row>
    <row r="45" spans="1:7" ht="13.8" x14ac:dyDescent="0.25">
      <c r="A45" s="208" t="s">
        <v>625</v>
      </c>
      <c r="B45" s="21" t="s">
        <v>226</v>
      </c>
      <c r="C45" s="100" t="s">
        <v>225</v>
      </c>
      <c r="D45" s="197">
        <f>580.5-9.8</f>
        <v>570.70000000000005</v>
      </c>
      <c r="E45" s="197">
        <f>580.5-9.8</f>
        <v>570.70000000000005</v>
      </c>
      <c r="F45" s="96">
        <f t="shared" si="0"/>
        <v>100</v>
      </c>
      <c r="G45" s="106"/>
    </row>
    <row r="46" spans="1:7" ht="54" customHeight="1" x14ac:dyDescent="0.25">
      <c r="A46" s="208" t="s">
        <v>627</v>
      </c>
      <c r="B46" s="21"/>
      <c r="C46" s="125" t="s">
        <v>628</v>
      </c>
      <c r="D46" s="197">
        <f>D47</f>
        <v>5.8000000000000007</v>
      </c>
      <c r="E46" s="197">
        <f>E47</f>
        <v>5.8000000000000007</v>
      </c>
      <c r="F46" s="96">
        <f t="shared" si="0"/>
        <v>100</v>
      </c>
      <c r="G46" s="106"/>
    </row>
    <row r="47" spans="1:7" ht="18" customHeight="1" x14ac:dyDescent="0.25">
      <c r="A47" s="208" t="s">
        <v>627</v>
      </c>
      <c r="B47" s="21" t="s">
        <v>226</v>
      </c>
      <c r="C47" s="100" t="s">
        <v>225</v>
      </c>
      <c r="D47" s="197">
        <f>10.9-5.1</f>
        <v>5.8000000000000007</v>
      </c>
      <c r="E47" s="197">
        <f>10.9-5.1</f>
        <v>5.8000000000000007</v>
      </c>
      <c r="F47" s="96">
        <f t="shared" si="0"/>
        <v>100</v>
      </c>
      <c r="G47" s="106"/>
    </row>
    <row r="48" spans="1:7" ht="39.6" x14ac:dyDescent="0.25">
      <c r="A48" s="21" t="s">
        <v>411</v>
      </c>
      <c r="B48" s="83"/>
      <c r="C48" s="99" t="s">
        <v>766</v>
      </c>
      <c r="D48" s="96">
        <f>D49+D51+D53+D55</f>
        <v>4290.2000000000007</v>
      </c>
      <c r="E48" s="96">
        <f>E49+E51+E53+E55</f>
        <v>4290.2000000000007</v>
      </c>
      <c r="F48" s="96">
        <f t="shared" si="0"/>
        <v>100</v>
      </c>
      <c r="G48" s="106"/>
    </row>
    <row r="49" spans="1:7" ht="52.8" x14ac:dyDescent="0.25">
      <c r="A49" s="57" t="s">
        <v>629</v>
      </c>
      <c r="B49" s="21"/>
      <c r="C49" s="100" t="s">
        <v>630</v>
      </c>
      <c r="D49" s="96">
        <f>D50</f>
        <v>2953.8</v>
      </c>
      <c r="E49" s="96">
        <f>E50</f>
        <v>2953.8</v>
      </c>
      <c r="F49" s="96">
        <f t="shared" si="0"/>
        <v>100</v>
      </c>
      <c r="G49" s="106"/>
    </row>
    <row r="50" spans="1:7" x14ac:dyDescent="0.25">
      <c r="A50" s="57" t="s">
        <v>629</v>
      </c>
      <c r="B50" s="21" t="s">
        <v>226</v>
      </c>
      <c r="C50" s="100" t="s">
        <v>225</v>
      </c>
      <c r="D50" s="96">
        <f>1491+1294.4+168.4</f>
        <v>2953.8</v>
      </c>
      <c r="E50" s="96">
        <f>1491+1294.4+168.4</f>
        <v>2953.8</v>
      </c>
      <c r="F50" s="96">
        <f t="shared" si="0"/>
        <v>100</v>
      </c>
      <c r="G50" s="106"/>
    </row>
    <row r="51" spans="1:7" ht="48.75" customHeight="1" x14ac:dyDescent="0.25">
      <c r="A51" s="57" t="s">
        <v>631</v>
      </c>
      <c r="B51" s="57"/>
      <c r="C51" s="151" t="s">
        <v>632</v>
      </c>
      <c r="D51" s="96">
        <f>D52</f>
        <v>676.4</v>
      </c>
      <c r="E51" s="96">
        <f>E52</f>
        <v>676.4</v>
      </c>
      <c r="F51" s="96">
        <f t="shared" si="0"/>
        <v>100</v>
      </c>
      <c r="G51" s="106"/>
    </row>
    <row r="52" spans="1:7" x14ac:dyDescent="0.25">
      <c r="A52" s="57" t="s">
        <v>631</v>
      </c>
      <c r="B52" s="21" t="s">
        <v>226</v>
      </c>
      <c r="C52" s="100" t="s">
        <v>225</v>
      </c>
      <c r="D52" s="96">
        <f>423.8+200+52.6</f>
        <v>676.4</v>
      </c>
      <c r="E52" s="96">
        <f>423.8+200+52.6</f>
        <v>676.4</v>
      </c>
      <c r="F52" s="96">
        <f t="shared" si="0"/>
        <v>100</v>
      </c>
      <c r="G52" s="106"/>
    </row>
    <row r="53" spans="1:7" ht="39.6" x14ac:dyDescent="0.25">
      <c r="A53" s="57" t="s">
        <v>633</v>
      </c>
      <c r="B53" s="21"/>
      <c r="C53" s="54" t="s">
        <v>634</v>
      </c>
      <c r="D53" s="96">
        <f>D54</f>
        <v>500</v>
      </c>
      <c r="E53" s="96">
        <f>E54</f>
        <v>500</v>
      </c>
      <c r="F53" s="96">
        <f t="shared" si="0"/>
        <v>100</v>
      </c>
      <c r="G53" s="106"/>
    </row>
    <row r="54" spans="1:7" x14ac:dyDescent="0.25">
      <c r="A54" s="57" t="s">
        <v>633</v>
      </c>
      <c r="B54" s="21" t="s">
        <v>226</v>
      </c>
      <c r="C54" s="100" t="s">
        <v>225</v>
      </c>
      <c r="D54" s="96">
        <v>500</v>
      </c>
      <c r="E54" s="96">
        <v>500</v>
      </c>
      <c r="F54" s="96">
        <f t="shared" si="0"/>
        <v>100</v>
      </c>
      <c r="G54" s="106"/>
    </row>
    <row r="55" spans="1:7" ht="39.6" x14ac:dyDescent="0.25">
      <c r="A55" s="210" t="s">
        <v>410</v>
      </c>
      <c r="B55" s="21"/>
      <c r="C55" s="151" t="s">
        <v>635</v>
      </c>
      <c r="D55" s="96">
        <f>D56</f>
        <v>160</v>
      </c>
      <c r="E55" s="96">
        <f>E56</f>
        <v>160</v>
      </c>
      <c r="F55" s="96">
        <f t="shared" si="0"/>
        <v>100</v>
      </c>
      <c r="G55" s="106"/>
    </row>
    <row r="56" spans="1:7" x14ac:dyDescent="0.25">
      <c r="A56" s="210" t="s">
        <v>410</v>
      </c>
      <c r="B56" s="21" t="s">
        <v>226</v>
      </c>
      <c r="C56" s="100" t="s">
        <v>225</v>
      </c>
      <c r="D56" s="96">
        <v>160</v>
      </c>
      <c r="E56" s="96">
        <v>160</v>
      </c>
      <c r="F56" s="96">
        <f t="shared" si="0"/>
        <v>100</v>
      </c>
      <c r="G56" s="106"/>
    </row>
    <row r="57" spans="1:7" ht="54" customHeight="1" x14ac:dyDescent="0.25">
      <c r="A57" s="21" t="s">
        <v>767</v>
      </c>
      <c r="B57" s="21"/>
      <c r="C57" s="99" t="s">
        <v>768</v>
      </c>
      <c r="D57" s="96">
        <f>D58+D60+D62</f>
        <v>20418.199999999997</v>
      </c>
      <c r="E57" s="96">
        <f>E58+E60+E62</f>
        <v>20411</v>
      </c>
      <c r="F57" s="96">
        <f t="shared" si="0"/>
        <v>100</v>
      </c>
      <c r="G57" s="106"/>
    </row>
    <row r="58" spans="1:7" ht="39.6" x14ac:dyDescent="0.25">
      <c r="A58" s="57" t="s">
        <v>636</v>
      </c>
      <c r="B58" s="21"/>
      <c r="C58" s="100" t="s">
        <v>316</v>
      </c>
      <c r="D58" s="96">
        <f>D59</f>
        <v>5360.4</v>
      </c>
      <c r="E58" s="96">
        <f>E59</f>
        <v>5360.4</v>
      </c>
      <c r="F58" s="96">
        <f t="shared" si="0"/>
        <v>100</v>
      </c>
      <c r="G58" s="106"/>
    </row>
    <row r="59" spans="1:7" x14ac:dyDescent="0.25">
      <c r="A59" s="57" t="s">
        <v>636</v>
      </c>
      <c r="B59" s="21" t="s">
        <v>226</v>
      </c>
      <c r="C59" s="100" t="s">
        <v>225</v>
      </c>
      <c r="D59" s="158">
        <v>5360.4</v>
      </c>
      <c r="E59" s="158">
        <v>5360.4</v>
      </c>
      <c r="F59" s="96">
        <f t="shared" si="0"/>
        <v>100</v>
      </c>
      <c r="G59" s="106"/>
    </row>
    <row r="60" spans="1:7" ht="66" x14ac:dyDescent="0.25">
      <c r="A60" s="21" t="s">
        <v>637</v>
      </c>
      <c r="B60" s="21"/>
      <c r="C60" s="100" t="s">
        <v>138</v>
      </c>
      <c r="D60" s="96">
        <f>D61</f>
        <v>14770.3</v>
      </c>
      <c r="E60" s="96">
        <f>E61</f>
        <v>14763.6</v>
      </c>
      <c r="F60" s="96">
        <f t="shared" si="0"/>
        <v>100</v>
      </c>
      <c r="G60" s="106"/>
    </row>
    <row r="61" spans="1:7" x14ac:dyDescent="0.25">
      <c r="A61" s="21" t="s">
        <v>637</v>
      </c>
      <c r="B61" s="21" t="s">
        <v>226</v>
      </c>
      <c r="C61" s="100" t="s">
        <v>225</v>
      </c>
      <c r="D61" s="96">
        <v>14770.3</v>
      </c>
      <c r="E61" s="109">
        <v>14763.6</v>
      </c>
      <c r="F61" s="96">
        <f t="shared" si="0"/>
        <v>100</v>
      </c>
      <c r="G61" s="106"/>
    </row>
    <row r="62" spans="1:7" ht="52.8" x14ac:dyDescent="0.25">
      <c r="A62" s="21" t="s">
        <v>638</v>
      </c>
      <c r="B62" s="21"/>
      <c r="C62" s="100" t="s">
        <v>639</v>
      </c>
      <c r="D62" s="96">
        <f>D63</f>
        <v>287.5</v>
      </c>
      <c r="E62" s="96">
        <f>E63</f>
        <v>287</v>
      </c>
      <c r="F62" s="96">
        <f t="shared" si="0"/>
        <v>99.8</v>
      </c>
      <c r="G62" s="106"/>
    </row>
    <row r="63" spans="1:7" x14ac:dyDescent="0.25">
      <c r="A63" s="21" t="s">
        <v>638</v>
      </c>
      <c r="B63" s="21" t="s">
        <v>226</v>
      </c>
      <c r="C63" s="100" t="s">
        <v>225</v>
      </c>
      <c r="D63" s="41">
        <f>497-78-131.5</f>
        <v>287.5</v>
      </c>
      <c r="E63" s="96">
        <v>287</v>
      </c>
      <c r="F63" s="96">
        <f t="shared" si="0"/>
        <v>99.8</v>
      </c>
      <c r="G63" s="106"/>
    </row>
    <row r="64" spans="1:7" ht="52.8" x14ac:dyDescent="0.25">
      <c r="A64" s="21" t="s">
        <v>769</v>
      </c>
      <c r="B64" s="21"/>
      <c r="C64" s="99" t="s">
        <v>770</v>
      </c>
      <c r="D64" s="41">
        <f>D65+D67+D70+D72+D75</f>
        <v>26063.200000000001</v>
      </c>
      <c r="E64" s="41">
        <f>E65+E67+E70+E72+E75</f>
        <v>24601.800000000003</v>
      </c>
      <c r="F64" s="96">
        <f t="shared" si="0"/>
        <v>94.4</v>
      </c>
      <c r="G64" s="106"/>
    </row>
    <row r="65" spans="1:7" ht="52.8" x14ac:dyDescent="0.25">
      <c r="A65" s="21" t="s">
        <v>640</v>
      </c>
      <c r="B65" s="84"/>
      <c r="C65" s="55" t="s">
        <v>391</v>
      </c>
      <c r="D65" s="41">
        <f>D66</f>
        <v>18083.2</v>
      </c>
      <c r="E65" s="41">
        <f>E66</f>
        <v>18083.2</v>
      </c>
      <c r="F65" s="96">
        <f t="shared" si="0"/>
        <v>100</v>
      </c>
      <c r="G65" s="106"/>
    </row>
    <row r="66" spans="1:7" x14ac:dyDescent="0.25">
      <c r="A66" s="21" t="s">
        <v>640</v>
      </c>
      <c r="B66" s="21" t="s">
        <v>226</v>
      </c>
      <c r="C66" s="100" t="s">
        <v>225</v>
      </c>
      <c r="D66" s="197">
        <v>18083.2</v>
      </c>
      <c r="E66" s="197">
        <v>18083.2</v>
      </c>
      <c r="F66" s="96">
        <f t="shared" si="0"/>
        <v>100</v>
      </c>
      <c r="G66" s="106"/>
    </row>
    <row r="67" spans="1:7" ht="26.4" x14ac:dyDescent="0.25">
      <c r="A67" s="57" t="s">
        <v>698</v>
      </c>
      <c r="B67" s="21"/>
      <c r="C67" s="100" t="s">
        <v>137</v>
      </c>
      <c r="D67" s="41">
        <f>SUM(D68:D69)</f>
        <v>135.30000000000001</v>
      </c>
      <c r="E67" s="41">
        <f>SUM(E68:E69)</f>
        <v>135.30000000000001</v>
      </c>
      <c r="F67" s="96">
        <f t="shared" si="0"/>
        <v>100</v>
      </c>
      <c r="G67" s="106"/>
    </row>
    <row r="68" spans="1:7" ht="26.4" x14ac:dyDescent="0.25">
      <c r="A68" s="57" t="s">
        <v>698</v>
      </c>
      <c r="B68" s="84" t="s">
        <v>70</v>
      </c>
      <c r="C68" s="55" t="s">
        <v>133</v>
      </c>
      <c r="D68" s="41">
        <f>64.4-26.3-14.3</f>
        <v>23.800000000000008</v>
      </c>
      <c r="E68" s="41">
        <f>64.4-26.3-14.3</f>
        <v>23.800000000000008</v>
      </c>
      <c r="F68" s="96">
        <f t="shared" si="0"/>
        <v>100</v>
      </c>
      <c r="G68" s="106"/>
    </row>
    <row r="69" spans="1:7" ht="39.6" x14ac:dyDescent="0.25">
      <c r="A69" s="57" t="s">
        <v>698</v>
      </c>
      <c r="B69" s="84" t="s">
        <v>212</v>
      </c>
      <c r="C69" s="100" t="s">
        <v>213</v>
      </c>
      <c r="D69" s="41">
        <f>70.9+26.3+14.3</f>
        <v>111.5</v>
      </c>
      <c r="E69" s="41">
        <f>70.9+26.3+14.3</f>
        <v>111.5</v>
      </c>
      <c r="F69" s="96">
        <f t="shared" si="0"/>
        <v>100</v>
      </c>
      <c r="G69" s="106"/>
    </row>
    <row r="70" spans="1:7" x14ac:dyDescent="0.25">
      <c r="A70" s="57" t="s">
        <v>684</v>
      </c>
      <c r="B70" s="21"/>
      <c r="C70" s="100" t="s">
        <v>50</v>
      </c>
      <c r="D70" s="41">
        <f>D71</f>
        <v>1342.4</v>
      </c>
      <c r="E70" s="96">
        <f>E71</f>
        <v>1313.2</v>
      </c>
      <c r="F70" s="96">
        <f t="shared" si="0"/>
        <v>97.8</v>
      </c>
      <c r="G70" s="106"/>
    </row>
    <row r="71" spans="1:7" x14ac:dyDescent="0.25">
      <c r="A71" s="57" t="s">
        <v>684</v>
      </c>
      <c r="B71" s="21" t="s">
        <v>226</v>
      </c>
      <c r="C71" s="100" t="s">
        <v>225</v>
      </c>
      <c r="D71" s="41">
        <f>1200.2+142.2</f>
        <v>1342.4</v>
      </c>
      <c r="E71" s="96">
        <v>1313.2</v>
      </c>
      <c r="F71" s="96">
        <f t="shared" si="0"/>
        <v>97.8</v>
      </c>
      <c r="G71" s="106"/>
    </row>
    <row r="72" spans="1:7" ht="39.6" x14ac:dyDescent="0.25">
      <c r="A72" s="57" t="s">
        <v>685</v>
      </c>
      <c r="B72" s="21"/>
      <c r="C72" s="100" t="s">
        <v>686</v>
      </c>
      <c r="D72" s="41">
        <f>SUM(D73:D74)</f>
        <v>2769.5</v>
      </c>
      <c r="E72" s="41">
        <f>SUM(E73:E74)</f>
        <v>1674.6999999999998</v>
      </c>
      <c r="F72" s="96">
        <f t="shared" si="0"/>
        <v>60.5</v>
      </c>
      <c r="G72" s="106"/>
    </row>
    <row r="73" spans="1:7" x14ac:dyDescent="0.25">
      <c r="A73" s="57" t="s">
        <v>685</v>
      </c>
      <c r="B73" s="21" t="s">
        <v>226</v>
      </c>
      <c r="C73" s="100" t="s">
        <v>225</v>
      </c>
      <c r="D73" s="158">
        <v>2049</v>
      </c>
      <c r="E73" s="96">
        <v>1597.6</v>
      </c>
      <c r="F73" s="96">
        <f t="shared" si="0"/>
        <v>78</v>
      </c>
      <c r="G73" s="106"/>
    </row>
    <row r="74" spans="1:7" ht="66" x14ac:dyDescent="0.25">
      <c r="A74" s="57" t="s">
        <v>685</v>
      </c>
      <c r="B74" s="16" t="s">
        <v>14</v>
      </c>
      <c r="C74" s="100" t="s">
        <v>380</v>
      </c>
      <c r="D74" s="41">
        <v>720.5</v>
      </c>
      <c r="E74" s="96">
        <v>77.099999999999994</v>
      </c>
      <c r="F74" s="96">
        <f t="shared" si="0"/>
        <v>10.7</v>
      </c>
      <c r="G74" s="106"/>
    </row>
    <row r="75" spans="1:7" ht="52.8" x14ac:dyDescent="0.25">
      <c r="A75" s="57" t="s">
        <v>641</v>
      </c>
      <c r="B75" s="16"/>
      <c r="C75" s="100" t="s">
        <v>642</v>
      </c>
      <c r="D75" s="41">
        <f>D76</f>
        <v>3732.8</v>
      </c>
      <c r="E75" s="41">
        <f>E76</f>
        <v>3395.4</v>
      </c>
      <c r="F75" s="96">
        <f t="shared" si="0"/>
        <v>91</v>
      </c>
      <c r="G75" s="106"/>
    </row>
    <row r="76" spans="1:7" x14ac:dyDescent="0.25">
      <c r="A76" s="57" t="s">
        <v>641</v>
      </c>
      <c r="B76" s="21" t="s">
        <v>226</v>
      </c>
      <c r="C76" s="100" t="s">
        <v>225</v>
      </c>
      <c r="D76" s="41">
        <f>4063-330.2</f>
        <v>3732.8</v>
      </c>
      <c r="E76" s="41">
        <v>3395.4</v>
      </c>
      <c r="F76" s="96">
        <f t="shared" si="0"/>
        <v>91</v>
      </c>
      <c r="G76" s="106"/>
    </row>
    <row r="77" spans="1:7" ht="39.6" x14ac:dyDescent="0.25">
      <c r="A77" s="57" t="s">
        <v>771</v>
      </c>
      <c r="B77" s="21"/>
      <c r="C77" s="153" t="s">
        <v>772</v>
      </c>
      <c r="D77" s="41">
        <f>D78+D80</f>
        <v>670</v>
      </c>
      <c r="E77" s="41">
        <f>E78+E80</f>
        <v>670</v>
      </c>
      <c r="F77" s="96">
        <f t="shared" si="0"/>
        <v>100</v>
      </c>
      <c r="G77" s="106"/>
    </row>
    <row r="78" spans="1:7" ht="26.4" x14ac:dyDescent="0.25">
      <c r="A78" s="57" t="s">
        <v>643</v>
      </c>
      <c r="B78" s="21"/>
      <c r="C78" s="99" t="s">
        <v>644</v>
      </c>
      <c r="D78" s="41">
        <f>D79</f>
        <v>247</v>
      </c>
      <c r="E78" s="41">
        <f>E79</f>
        <v>247</v>
      </c>
      <c r="F78" s="96">
        <f t="shared" ref="F78:F139" si="1">ROUND((E78/D78*100),1)</f>
        <v>100</v>
      </c>
      <c r="G78" s="106"/>
    </row>
    <row r="79" spans="1:7" x14ac:dyDescent="0.25">
      <c r="A79" s="57" t="s">
        <v>643</v>
      </c>
      <c r="B79" s="21" t="s">
        <v>226</v>
      </c>
      <c r="C79" s="100" t="s">
        <v>225</v>
      </c>
      <c r="D79" s="41">
        <v>247</v>
      </c>
      <c r="E79" s="41">
        <v>247</v>
      </c>
      <c r="F79" s="96">
        <f t="shared" si="1"/>
        <v>100</v>
      </c>
      <c r="G79" s="106"/>
    </row>
    <row r="80" spans="1:7" ht="26.4" x14ac:dyDescent="0.25">
      <c r="A80" s="57" t="s">
        <v>645</v>
      </c>
      <c r="B80" s="21"/>
      <c r="C80" s="99" t="s">
        <v>644</v>
      </c>
      <c r="D80" s="41">
        <f>D81</f>
        <v>423</v>
      </c>
      <c r="E80" s="41">
        <f>E81</f>
        <v>423</v>
      </c>
      <c r="F80" s="96">
        <f t="shared" si="1"/>
        <v>100</v>
      </c>
      <c r="G80" s="106"/>
    </row>
    <row r="81" spans="1:7" x14ac:dyDescent="0.25">
      <c r="A81" s="57" t="s">
        <v>645</v>
      </c>
      <c r="B81" s="21" t="s">
        <v>226</v>
      </c>
      <c r="C81" s="100" t="s">
        <v>225</v>
      </c>
      <c r="D81" s="41">
        <v>423</v>
      </c>
      <c r="E81" s="41">
        <v>423</v>
      </c>
      <c r="F81" s="96">
        <f t="shared" si="1"/>
        <v>100</v>
      </c>
      <c r="G81" s="106"/>
    </row>
    <row r="82" spans="1:7" ht="40.200000000000003" x14ac:dyDescent="0.3">
      <c r="A82" s="52" t="s">
        <v>646</v>
      </c>
      <c r="B82" s="35"/>
      <c r="C82" s="46" t="s">
        <v>647</v>
      </c>
      <c r="D82" s="58">
        <f>D83+D96+D101</f>
        <v>44029.400000000009</v>
      </c>
      <c r="E82" s="58">
        <f>E83+E96+E101</f>
        <v>43967.100000000013</v>
      </c>
      <c r="F82" s="58">
        <f t="shared" si="1"/>
        <v>99.9</v>
      </c>
      <c r="G82" s="106"/>
    </row>
    <row r="83" spans="1:7" ht="52.8" x14ac:dyDescent="0.25">
      <c r="A83" s="21" t="s">
        <v>773</v>
      </c>
      <c r="B83" s="21"/>
      <c r="C83" s="99" t="s">
        <v>774</v>
      </c>
      <c r="D83" s="41">
        <f>D84+D86+D88+D90+D92+D94</f>
        <v>42105.500000000007</v>
      </c>
      <c r="E83" s="41">
        <f>E84+E86+E88+E90+E92+E94</f>
        <v>42105.500000000007</v>
      </c>
      <c r="F83" s="96">
        <f t="shared" si="1"/>
        <v>100</v>
      </c>
      <c r="G83" s="106"/>
    </row>
    <row r="84" spans="1:7" ht="66" x14ac:dyDescent="0.25">
      <c r="A84" s="57" t="s">
        <v>648</v>
      </c>
      <c r="B84" s="16"/>
      <c r="C84" s="100" t="s">
        <v>649</v>
      </c>
      <c r="D84" s="96">
        <f>D85</f>
        <v>31117.900000000005</v>
      </c>
      <c r="E84" s="96">
        <f>E85</f>
        <v>31117.900000000005</v>
      </c>
      <c r="F84" s="96">
        <f t="shared" si="1"/>
        <v>100</v>
      </c>
      <c r="G84" s="106"/>
    </row>
    <row r="85" spans="1:7" x14ac:dyDescent="0.25">
      <c r="A85" s="57" t="s">
        <v>648</v>
      </c>
      <c r="B85" s="21" t="s">
        <v>226</v>
      </c>
      <c r="C85" s="100" t="s">
        <v>225</v>
      </c>
      <c r="D85" s="96">
        <f>32611.3-72+140.7-4583.6-20.6-4.3+344.8+1.9+83.2+2616.5</f>
        <v>31117.900000000005</v>
      </c>
      <c r="E85" s="96">
        <f>32611.3-72+140.7-4583.6-20.6-4.3+344.8+1.9+83.2+2616.5</f>
        <v>31117.900000000005</v>
      </c>
      <c r="F85" s="96">
        <f t="shared" si="1"/>
        <v>100</v>
      </c>
      <c r="G85" s="106"/>
    </row>
    <row r="86" spans="1:7" ht="39.6" x14ac:dyDescent="0.25">
      <c r="A86" s="57" t="s">
        <v>650</v>
      </c>
      <c r="B86" s="21"/>
      <c r="C86" s="151" t="s">
        <v>651</v>
      </c>
      <c r="D86" s="96">
        <f>SUM(D87:D87)</f>
        <v>1992.0999999999995</v>
      </c>
      <c r="E86" s="96">
        <f>SUM(E87:E87)</f>
        <v>1992.0999999999995</v>
      </c>
      <c r="F86" s="96">
        <f t="shared" si="1"/>
        <v>100</v>
      </c>
      <c r="G86" s="106"/>
    </row>
    <row r="87" spans="1:7" x14ac:dyDescent="0.25">
      <c r="A87" s="57" t="s">
        <v>650</v>
      </c>
      <c r="B87" s="21" t="s">
        <v>226</v>
      </c>
      <c r="C87" s="100" t="s">
        <v>225</v>
      </c>
      <c r="D87" s="96">
        <f>4629.4-20.8-2616.5</f>
        <v>1992.0999999999995</v>
      </c>
      <c r="E87" s="96">
        <f>4629.4-20.8-2616.5</f>
        <v>1992.0999999999995</v>
      </c>
      <c r="F87" s="96">
        <f t="shared" si="1"/>
        <v>100</v>
      </c>
      <c r="G87" s="106"/>
    </row>
    <row r="88" spans="1:7" ht="66" x14ac:dyDescent="0.25">
      <c r="A88" s="57" t="s">
        <v>652</v>
      </c>
      <c r="B88" s="21"/>
      <c r="C88" s="100" t="s">
        <v>653</v>
      </c>
      <c r="D88" s="96">
        <f>D89</f>
        <v>8668.6</v>
      </c>
      <c r="E88" s="96">
        <f>E89</f>
        <v>8668.6</v>
      </c>
      <c r="F88" s="96">
        <f t="shared" si="1"/>
        <v>100</v>
      </c>
      <c r="G88" s="106"/>
    </row>
    <row r="89" spans="1:7" x14ac:dyDescent="0.25">
      <c r="A89" s="57" t="s">
        <v>652</v>
      </c>
      <c r="B89" s="21" t="s">
        <v>226</v>
      </c>
      <c r="C89" s="100" t="s">
        <v>225</v>
      </c>
      <c r="D89" s="211">
        <f>6585.8+2082.8</f>
        <v>8668.6</v>
      </c>
      <c r="E89" s="211">
        <f>6585.8+2082.8</f>
        <v>8668.6</v>
      </c>
      <c r="F89" s="96">
        <f t="shared" si="1"/>
        <v>100</v>
      </c>
      <c r="G89" s="106"/>
    </row>
    <row r="90" spans="1:7" ht="66" x14ac:dyDescent="0.25">
      <c r="A90" s="57" t="s">
        <v>654</v>
      </c>
      <c r="B90" s="57"/>
      <c r="C90" s="100" t="s">
        <v>655</v>
      </c>
      <c r="D90" s="101">
        <f>D91</f>
        <v>87.300000000000011</v>
      </c>
      <c r="E90" s="101">
        <f>E91</f>
        <v>87.300000000000011</v>
      </c>
      <c r="F90" s="96">
        <f t="shared" si="1"/>
        <v>100</v>
      </c>
      <c r="G90" s="106"/>
    </row>
    <row r="91" spans="1:7" x14ac:dyDescent="0.25">
      <c r="A91" s="21" t="s">
        <v>654</v>
      </c>
      <c r="B91" s="21" t="s">
        <v>226</v>
      </c>
      <c r="C91" s="100" t="s">
        <v>225</v>
      </c>
      <c r="D91" s="41">
        <f>66.7+20.6</f>
        <v>87.300000000000011</v>
      </c>
      <c r="E91" s="41">
        <f>66.7+20.6</f>
        <v>87.300000000000011</v>
      </c>
      <c r="F91" s="96">
        <f t="shared" si="1"/>
        <v>100</v>
      </c>
      <c r="G91" s="106"/>
    </row>
    <row r="92" spans="1:7" ht="28.5" customHeight="1" x14ac:dyDescent="0.25">
      <c r="A92" s="21" t="s">
        <v>656</v>
      </c>
      <c r="B92" s="21"/>
      <c r="C92" s="125" t="s">
        <v>657</v>
      </c>
      <c r="D92" s="41">
        <f>D93</f>
        <v>237.20000000000002</v>
      </c>
      <c r="E92" s="41">
        <f>E93</f>
        <v>237.20000000000002</v>
      </c>
      <c r="F92" s="96">
        <f t="shared" si="1"/>
        <v>100</v>
      </c>
      <c r="G92" s="106"/>
    </row>
    <row r="93" spans="1:7" x14ac:dyDescent="0.25">
      <c r="A93" s="21" t="s">
        <v>656</v>
      </c>
      <c r="B93" s="21" t="s">
        <v>226</v>
      </c>
      <c r="C93" s="100" t="s">
        <v>225</v>
      </c>
      <c r="D93" s="41">
        <f>235.3+1.9</f>
        <v>237.20000000000002</v>
      </c>
      <c r="E93" s="41">
        <f>235.3+1.9</f>
        <v>237.20000000000002</v>
      </c>
      <c r="F93" s="96">
        <f t="shared" si="1"/>
        <v>100</v>
      </c>
      <c r="G93" s="106"/>
    </row>
    <row r="94" spans="1:7" ht="66" x14ac:dyDescent="0.25">
      <c r="A94" s="21" t="s">
        <v>658</v>
      </c>
      <c r="B94" s="21"/>
      <c r="C94" s="125" t="s">
        <v>659</v>
      </c>
      <c r="D94" s="41">
        <f>D95</f>
        <v>2.4</v>
      </c>
      <c r="E94" s="41">
        <f>E95</f>
        <v>2.4</v>
      </c>
      <c r="F94" s="96">
        <f t="shared" si="1"/>
        <v>100</v>
      </c>
      <c r="G94" s="106"/>
    </row>
    <row r="95" spans="1:7" x14ac:dyDescent="0.25">
      <c r="A95" s="21" t="s">
        <v>658</v>
      </c>
      <c r="B95" s="21" t="s">
        <v>226</v>
      </c>
      <c r="C95" s="100" t="s">
        <v>225</v>
      </c>
      <c r="D95" s="41">
        <f>4.3-1.9</f>
        <v>2.4</v>
      </c>
      <c r="E95" s="41">
        <f>4.3-1.9</f>
        <v>2.4</v>
      </c>
      <c r="F95" s="96">
        <f t="shared" si="1"/>
        <v>100</v>
      </c>
      <c r="G95" s="106"/>
    </row>
    <row r="96" spans="1:7" ht="27" x14ac:dyDescent="0.3">
      <c r="A96" s="21" t="s">
        <v>775</v>
      </c>
      <c r="B96" s="35"/>
      <c r="C96" s="99" t="s">
        <v>776</v>
      </c>
      <c r="D96" s="41">
        <f>D97+D99</f>
        <v>1007.8</v>
      </c>
      <c r="E96" s="41">
        <f>E97+E99</f>
        <v>1007.8</v>
      </c>
      <c r="F96" s="96">
        <f t="shared" si="1"/>
        <v>100</v>
      </c>
      <c r="G96" s="106"/>
    </row>
    <row r="97" spans="1:7" ht="57" customHeight="1" x14ac:dyDescent="0.25">
      <c r="A97" s="57" t="s">
        <v>660</v>
      </c>
      <c r="B97" s="84"/>
      <c r="C97" s="100" t="s">
        <v>661</v>
      </c>
      <c r="D97" s="41">
        <f>D98</f>
        <v>470</v>
      </c>
      <c r="E97" s="41">
        <f>E98</f>
        <v>470</v>
      </c>
      <c r="F97" s="96">
        <f t="shared" si="1"/>
        <v>100</v>
      </c>
      <c r="G97" s="106"/>
    </row>
    <row r="98" spans="1:7" ht="19.5" customHeight="1" x14ac:dyDescent="0.25">
      <c r="A98" s="57" t="s">
        <v>660</v>
      </c>
      <c r="B98" s="21" t="s">
        <v>226</v>
      </c>
      <c r="C98" s="100" t="s">
        <v>225</v>
      </c>
      <c r="D98" s="41">
        <f>500-30</f>
        <v>470</v>
      </c>
      <c r="E98" s="41">
        <f>500-30</f>
        <v>470</v>
      </c>
      <c r="F98" s="96">
        <f t="shared" si="1"/>
        <v>100</v>
      </c>
      <c r="G98" s="106"/>
    </row>
    <row r="99" spans="1:7" ht="26.4" x14ac:dyDescent="0.25">
      <c r="A99" s="57" t="s">
        <v>662</v>
      </c>
      <c r="B99" s="21"/>
      <c r="C99" s="54" t="s">
        <v>663</v>
      </c>
      <c r="D99" s="41">
        <f>D100</f>
        <v>537.79999999999995</v>
      </c>
      <c r="E99" s="41">
        <f>E100</f>
        <v>537.79999999999995</v>
      </c>
      <c r="F99" s="96">
        <f t="shared" si="1"/>
        <v>100</v>
      </c>
      <c r="G99" s="106"/>
    </row>
    <row r="100" spans="1:7" x14ac:dyDescent="0.25">
      <c r="A100" s="57" t="s">
        <v>662</v>
      </c>
      <c r="B100" s="21" t="s">
        <v>226</v>
      </c>
      <c r="C100" s="100" t="s">
        <v>225</v>
      </c>
      <c r="D100" s="41">
        <v>537.79999999999995</v>
      </c>
      <c r="E100" s="41">
        <v>537.79999999999995</v>
      </c>
      <c r="F100" s="96">
        <f t="shared" si="1"/>
        <v>100</v>
      </c>
      <c r="G100" s="106"/>
    </row>
    <row r="101" spans="1:7" ht="27" customHeight="1" x14ac:dyDescent="0.25">
      <c r="A101" s="21" t="s">
        <v>777</v>
      </c>
      <c r="B101" s="84"/>
      <c r="C101" s="99" t="s">
        <v>778</v>
      </c>
      <c r="D101" s="41">
        <f>D102+D104+D106+D108</f>
        <v>916.1</v>
      </c>
      <c r="E101" s="41">
        <f>E102+E104+E106+E108</f>
        <v>853.80000000000007</v>
      </c>
      <c r="F101" s="96">
        <f t="shared" si="1"/>
        <v>93.2</v>
      </c>
      <c r="G101" s="106"/>
    </row>
    <row r="102" spans="1:7" ht="52.8" x14ac:dyDescent="0.25">
      <c r="A102" s="57" t="s">
        <v>664</v>
      </c>
      <c r="B102" s="21"/>
      <c r="C102" s="125" t="s">
        <v>665</v>
      </c>
      <c r="D102" s="96">
        <f>D103</f>
        <v>530</v>
      </c>
      <c r="E102" s="96">
        <f>E103</f>
        <v>467.7</v>
      </c>
      <c r="F102" s="58">
        <f t="shared" si="1"/>
        <v>88.2</v>
      </c>
      <c r="G102" s="106"/>
    </row>
    <row r="103" spans="1:7" x14ac:dyDescent="0.25">
      <c r="A103" s="57" t="s">
        <v>664</v>
      </c>
      <c r="B103" s="21" t="s">
        <v>226</v>
      </c>
      <c r="C103" s="100" t="s">
        <v>225</v>
      </c>
      <c r="D103" s="96">
        <v>530</v>
      </c>
      <c r="E103" s="41">
        <v>467.7</v>
      </c>
      <c r="F103" s="96">
        <f t="shared" si="1"/>
        <v>88.2</v>
      </c>
      <c r="G103" s="106"/>
    </row>
    <row r="104" spans="1:7" ht="52.8" x14ac:dyDescent="0.25">
      <c r="A104" s="57" t="s">
        <v>666</v>
      </c>
      <c r="B104" s="21"/>
      <c r="C104" s="100" t="s">
        <v>639</v>
      </c>
      <c r="D104" s="96">
        <f>D105</f>
        <v>30</v>
      </c>
      <c r="E104" s="96">
        <f>E105</f>
        <v>30</v>
      </c>
      <c r="F104" s="96">
        <f t="shared" si="1"/>
        <v>100</v>
      </c>
      <c r="G104" s="106"/>
    </row>
    <row r="105" spans="1:7" x14ac:dyDescent="0.25">
      <c r="A105" s="57" t="s">
        <v>666</v>
      </c>
      <c r="B105" s="21" t="s">
        <v>226</v>
      </c>
      <c r="C105" s="100" t="s">
        <v>225</v>
      </c>
      <c r="D105" s="96">
        <v>30</v>
      </c>
      <c r="E105" s="96">
        <v>30</v>
      </c>
      <c r="F105" s="96">
        <f t="shared" si="1"/>
        <v>100</v>
      </c>
      <c r="G105" s="106"/>
    </row>
    <row r="106" spans="1:7" ht="26.4" x14ac:dyDescent="0.25">
      <c r="A106" s="57" t="s">
        <v>667</v>
      </c>
      <c r="B106" s="21"/>
      <c r="C106" s="100" t="s">
        <v>185</v>
      </c>
      <c r="D106" s="41">
        <f>D107</f>
        <v>250</v>
      </c>
      <c r="E106" s="41">
        <f>E107</f>
        <v>250</v>
      </c>
      <c r="F106" s="96">
        <f t="shared" si="1"/>
        <v>100</v>
      </c>
      <c r="G106" s="106"/>
    </row>
    <row r="107" spans="1:7" x14ac:dyDescent="0.25">
      <c r="A107" s="57" t="s">
        <v>667</v>
      </c>
      <c r="B107" s="21" t="s">
        <v>226</v>
      </c>
      <c r="C107" s="100" t="s">
        <v>225</v>
      </c>
      <c r="D107" s="41">
        <v>250</v>
      </c>
      <c r="E107" s="41">
        <v>250</v>
      </c>
      <c r="F107" s="96">
        <f t="shared" si="1"/>
        <v>100</v>
      </c>
      <c r="G107" s="106"/>
    </row>
    <row r="108" spans="1:7" ht="26.4" x14ac:dyDescent="0.25">
      <c r="A108" s="126" t="s">
        <v>668</v>
      </c>
      <c r="B108" s="124"/>
      <c r="C108" s="100" t="s">
        <v>669</v>
      </c>
      <c r="D108" s="109">
        <f>D109</f>
        <v>106.1</v>
      </c>
      <c r="E108" s="109">
        <f>E109</f>
        <v>106.1</v>
      </c>
      <c r="F108" s="96">
        <f t="shared" si="1"/>
        <v>100</v>
      </c>
      <c r="G108" s="106"/>
    </row>
    <row r="109" spans="1:7" x14ac:dyDescent="0.25">
      <c r="A109" s="126" t="s">
        <v>668</v>
      </c>
      <c r="B109" s="21" t="s">
        <v>226</v>
      </c>
      <c r="C109" s="100" t="s">
        <v>225</v>
      </c>
      <c r="D109" s="109">
        <f>150-43.9</f>
        <v>106.1</v>
      </c>
      <c r="E109" s="109">
        <f>150-43.9</f>
        <v>106.1</v>
      </c>
      <c r="F109" s="96">
        <f t="shared" si="1"/>
        <v>100</v>
      </c>
      <c r="G109" s="106"/>
    </row>
    <row r="110" spans="1:7" ht="26.4" x14ac:dyDescent="0.25">
      <c r="A110" s="52" t="s">
        <v>670</v>
      </c>
      <c r="B110" s="84"/>
      <c r="C110" s="46" t="s">
        <v>671</v>
      </c>
      <c r="D110" s="122">
        <f>D111+D118+D125+D135</f>
        <v>2725.4</v>
      </c>
      <c r="E110" s="122">
        <f>E111+E118+E125+E135</f>
        <v>2574.8000000000002</v>
      </c>
      <c r="F110" s="58">
        <f t="shared" si="1"/>
        <v>94.5</v>
      </c>
      <c r="G110" s="106"/>
    </row>
    <row r="111" spans="1:7" ht="26.4" x14ac:dyDescent="0.25">
      <c r="A111" s="21" t="s">
        <v>779</v>
      </c>
      <c r="B111" s="21"/>
      <c r="C111" s="99" t="s">
        <v>780</v>
      </c>
      <c r="D111" s="109">
        <f>D112+D114+D116</f>
        <v>348.2</v>
      </c>
      <c r="E111" s="109">
        <f>E112+E114+E116</f>
        <v>348.2</v>
      </c>
      <c r="F111" s="96">
        <f t="shared" si="1"/>
        <v>100</v>
      </c>
      <c r="G111" s="106"/>
    </row>
    <row r="112" spans="1:7" ht="39.6" x14ac:dyDescent="0.25">
      <c r="A112" s="21" t="s">
        <v>699</v>
      </c>
      <c r="B112" s="16"/>
      <c r="C112" s="99" t="s">
        <v>700</v>
      </c>
      <c r="D112" s="101">
        <f>D113</f>
        <v>120.1</v>
      </c>
      <c r="E112" s="101">
        <f>E113</f>
        <v>120.1</v>
      </c>
      <c r="F112" s="96">
        <f t="shared" si="1"/>
        <v>100</v>
      </c>
      <c r="G112" s="106"/>
    </row>
    <row r="113" spans="1:7" x14ac:dyDescent="0.25">
      <c r="A113" s="21" t="s">
        <v>699</v>
      </c>
      <c r="B113" s="84" t="s">
        <v>373</v>
      </c>
      <c r="C113" s="100" t="s">
        <v>374</v>
      </c>
      <c r="D113" s="41">
        <f>129.1-9</f>
        <v>120.1</v>
      </c>
      <c r="E113" s="41">
        <f>129.1-9</f>
        <v>120.1</v>
      </c>
      <c r="F113" s="96">
        <f t="shared" si="1"/>
        <v>100</v>
      </c>
      <c r="G113" s="106"/>
    </row>
    <row r="114" spans="1:7" ht="39.6" x14ac:dyDescent="0.25">
      <c r="A114" s="57" t="s">
        <v>701</v>
      </c>
      <c r="B114" s="16"/>
      <c r="C114" s="100" t="s">
        <v>54</v>
      </c>
      <c r="D114" s="41">
        <f>D115</f>
        <v>178.1</v>
      </c>
      <c r="E114" s="41">
        <f>E115</f>
        <v>178.1</v>
      </c>
      <c r="F114" s="96">
        <f t="shared" si="1"/>
        <v>100</v>
      </c>
      <c r="G114" s="106"/>
    </row>
    <row r="115" spans="1:7" ht="39.6" x14ac:dyDescent="0.25">
      <c r="A115" s="57" t="s">
        <v>701</v>
      </c>
      <c r="B115" s="84" t="s">
        <v>212</v>
      </c>
      <c r="C115" s="100" t="s">
        <v>213</v>
      </c>
      <c r="D115" s="41">
        <f>176.1-4.6+6.6</f>
        <v>178.1</v>
      </c>
      <c r="E115" s="41">
        <f>176.1-4.6+6.6</f>
        <v>178.1</v>
      </c>
      <c r="F115" s="96">
        <f t="shared" si="1"/>
        <v>100</v>
      </c>
      <c r="G115" s="106"/>
    </row>
    <row r="116" spans="1:7" ht="66" x14ac:dyDescent="0.25">
      <c r="A116" s="57" t="s">
        <v>672</v>
      </c>
      <c r="B116" s="16"/>
      <c r="C116" s="100" t="s">
        <v>412</v>
      </c>
      <c r="D116" s="41">
        <f>D117</f>
        <v>50</v>
      </c>
      <c r="E116" s="41">
        <f>E117</f>
        <v>50</v>
      </c>
      <c r="F116" s="96">
        <f t="shared" si="1"/>
        <v>100</v>
      </c>
      <c r="G116" s="106"/>
    </row>
    <row r="117" spans="1:7" x14ac:dyDescent="0.25">
      <c r="A117" s="57" t="s">
        <v>672</v>
      </c>
      <c r="B117" s="21" t="s">
        <v>226</v>
      </c>
      <c r="C117" s="100" t="s">
        <v>225</v>
      </c>
      <c r="D117" s="41">
        <v>50</v>
      </c>
      <c r="E117" s="41">
        <v>50</v>
      </c>
      <c r="F117" s="96">
        <f t="shared" si="1"/>
        <v>100</v>
      </c>
      <c r="G117" s="106"/>
    </row>
    <row r="118" spans="1:7" ht="39.6" x14ac:dyDescent="0.25">
      <c r="A118" s="21" t="s">
        <v>781</v>
      </c>
      <c r="B118" s="21"/>
      <c r="C118" s="99" t="s">
        <v>782</v>
      </c>
      <c r="D118" s="101">
        <f>D119+D121+D123</f>
        <v>1247.2</v>
      </c>
      <c r="E118" s="101">
        <f>E119+E121+E123</f>
        <v>1287.0999999999999</v>
      </c>
      <c r="F118" s="96">
        <f t="shared" si="1"/>
        <v>103.2</v>
      </c>
      <c r="G118" s="106"/>
    </row>
    <row r="119" spans="1:7" ht="39.6" x14ac:dyDescent="0.25">
      <c r="A119" s="57" t="s">
        <v>683</v>
      </c>
      <c r="B119" s="16"/>
      <c r="C119" s="100" t="s">
        <v>49</v>
      </c>
      <c r="D119" s="41">
        <f>D120</f>
        <v>152.4</v>
      </c>
      <c r="E119" s="41">
        <f>E120</f>
        <v>143.80000000000001</v>
      </c>
      <c r="F119" s="96">
        <f t="shared" si="1"/>
        <v>94.4</v>
      </c>
      <c r="G119" s="106"/>
    </row>
    <row r="120" spans="1:7" x14ac:dyDescent="0.25">
      <c r="A120" s="57" t="s">
        <v>683</v>
      </c>
      <c r="B120" s="21" t="s">
        <v>226</v>
      </c>
      <c r="C120" s="100" t="s">
        <v>225</v>
      </c>
      <c r="D120" s="96">
        <f>250-97.6</f>
        <v>152.4</v>
      </c>
      <c r="E120" s="96">
        <v>143.80000000000001</v>
      </c>
      <c r="F120" s="96">
        <f t="shared" si="1"/>
        <v>94.4</v>
      </c>
      <c r="G120" s="106"/>
    </row>
    <row r="121" spans="1:7" ht="39.6" x14ac:dyDescent="0.25">
      <c r="A121" s="57" t="s">
        <v>702</v>
      </c>
      <c r="B121" s="16"/>
      <c r="C121" s="151" t="s">
        <v>703</v>
      </c>
      <c r="D121" s="96">
        <f>D122</f>
        <v>68.8</v>
      </c>
      <c r="E121" s="96">
        <f>E122</f>
        <v>68.8</v>
      </c>
      <c r="F121" s="96">
        <f t="shared" si="1"/>
        <v>100</v>
      </c>
      <c r="G121" s="106"/>
    </row>
    <row r="122" spans="1:7" x14ac:dyDescent="0.25">
      <c r="A122" s="57" t="s">
        <v>702</v>
      </c>
      <c r="B122" s="21" t="s">
        <v>226</v>
      </c>
      <c r="C122" s="100" t="s">
        <v>225</v>
      </c>
      <c r="D122" s="96">
        <f>88.9-33.7+13.6</f>
        <v>68.8</v>
      </c>
      <c r="E122" s="96">
        <v>68.8</v>
      </c>
      <c r="F122" s="96">
        <f t="shared" si="1"/>
        <v>100</v>
      </c>
      <c r="G122" s="106"/>
    </row>
    <row r="123" spans="1:7" ht="92.4" x14ac:dyDescent="0.25">
      <c r="A123" s="81">
        <v>140210560</v>
      </c>
      <c r="B123" s="84"/>
      <c r="C123" s="100" t="s">
        <v>184</v>
      </c>
      <c r="D123" s="41">
        <f>D124</f>
        <v>1026</v>
      </c>
      <c r="E123" s="41">
        <f>E124</f>
        <v>1074.5</v>
      </c>
      <c r="F123" s="96">
        <f t="shared" si="1"/>
        <v>104.7</v>
      </c>
      <c r="G123" s="106"/>
    </row>
    <row r="124" spans="1:7" ht="26.4" x14ac:dyDescent="0.25">
      <c r="A124" s="81">
        <v>140210560</v>
      </c>
      <c r="B124" s="83" t="s">
        <v>283</v>
      </c>
      <c r="C124" s="100" t="s">
        <v>284</v>
      </c>
      <c r="D124" s="158">
        <v>1026</v>
      </c>
      <c r="E124" s="101">
        <v>1074.5</v>
      </c>
      <c r="F124" s="96">
        <f t="shared" si="1"/>
        <v>104.7</v>
      </c>
      <c r="G124" s="106"/>
    </row>
    <row r="125" spans="1:7" ht="39.6" x14ac:dyDescent="0.25">
      <c r="A125" s="21" t="s">
        <v>784</v>
      </c>
      <c r="B125" s="21"/>
      <c r="C125" s="99" t="s">
        <v>785</v>
      </c>
      <c r="D125" s="41">
        <f>D126+D128+D131+D133</f>
        <v>1080</v>
      </c>
      <c r="E125" s="41">
        <f>E126+E128+E131+E133</f>
        <v>889.5</v>
      </c>
      <c r="F125" s="96">
        <f t="shared" si="1"/>
        <v>82.4</v>
      </c>
      <c r="G125" s="106"/>
    </row>
    <row r="126" spans="1:7" ht="66" x14ac:dyDescent="0.25">
      <c r="A126" s="81">
        <v>140323020</v>
      </c>
      <c r="B126" s="83"/>
      <c r="C126" s="100" t="s">
        <v>136</v>
      </c>
      <c r="D126" s="41">
        <f>D127</f>
        <v>281.3</v>
      </c>
      <c r="E126" s="41">
        <f>E127</f>
        <v>281.3</v>
      </c>
      <c r="F126" s="96">
        <f t="shared" si="1"/>
        <v>100</v>
      </c>
      <c r="G126" s="106"/>
    </row>
    <row r="127" spans="1:7" ht="39.6" x14ac:dyDescent="0.25">
      <c r="A127" s="81">
        <v>140323020</v>
      </c>
      <c r="B127" s="84" t="s">
        <v>212</v>
      </c>
      <c r="C127" s="100" t="s">
        <v>213</v>
      </c>
      <c r="D127" s="41">
        <v>281.3</v>
      </c>
      <c r="E127" s="41">
        <v>281.3</v>
      </c>
      <c r="F127" s="96">
        <f t="shared" si="1"/>
        <v>100</v>
      </c>
      <c r="G127" s="106"/>
    </row>
    <row r="128" spans="1:7" ht="62.25" customHeight="1" x14ac:dyDescent="0.25">
      <c r="A128" s="81">
        <v>140323025</v>
      </c>
      <c r="B128" s="83"/>
      <c r="C128" s="100" t="s">
        <v>704</v>
      </c>
      <c r="D128" s="41">
        <f>SUM(D129:D130)</f>
        <v>305.7</v>
      </c>
      <c r="E128" s="41">
        <f>SUM(E129:E130)</f>
        <v>305.7</v>
      </c>
      <c r="F128" s="96">
        <f t="shared" si="1"/>
        <v>100</v>
      </c>
      <c r="G128" s="106"/>
    </row>
    <row r="129" spans="1:7" ht="39.6" x14ac:dyDescent="0.25">
      <c r="A129" s="81">
        <v>140323025</v>
      </c>
      <c r="B129" s="84" t="s">
        <v>212</v>
      </c>
      <c r="C129" s="100" t="s">
        <v>213</v>
      </c>
      <c r="D129" s="41">
        <f>305.7-35</f>
        <v>270.7</v>
      </c>
      <c r="E129" s="39">
        <v>270.7</v>
      </c>
      <c r="F129" s="96">
        <f t="shared" si="1"/>
        <v>100</v>
      </c>
      <c r="G129" s="106"/>
    </row>
    <row r="130" spans="1:7" x14ac:dyDescent="0.25">
      <c r="A130" s="81">
        <v>140323025</v>
      </c>
      <c r="B130" s="84" t="s">
        <v>705</v>
      </c>
      <c r="C130" s="100" t="s">
        <v>706</v>
      </c>
      <c r="D130" s="41">
        <v>35</v>
      </c>
      <c r="E130" s="39">
        <v>35</v>
      </c>
      <c r="F130" s="96">
        <f t="shared" si="1"/>
        <v>100</v>
      </c>
      <c r="G130" s="106"/>
    </row>
    <row r="131" spans="1:7" ht="52.8" x14ac:dyDescent="0.25">
      <c r="A131" s="81" t="s">
        <v>707</v>
      </c>
      <c r="B131" s="84"/>
      <c r="C131" s="100" t="s">
        <v>708</v>
      </c>
      <c r="D131" s="41">
        <f>D132</f>
        <v>83</v>
      </c>
      <c r="E131" s="41">
        <f>E132</f>
        <v>55</v>
      </c>
      <c r="F131" s="96">
        <f t="shared" si="1"/>
        <v>66.3</v>
      </c>
      <c r="G131" s="106"/>
    </row>
    <row r="132" spans="1:7" ht="39.6" x14ac:dyDescent="0.25">
      <c r="A132" s="81" t="s">
        <v>707</v>
      </c>
      <c r="B132" s="84" t="s">
        <v>212</v>
      </c>
      <c r="C132" s="100" t="s">
        <v>213</v>
      </c>
      <c r="D132" s="41">
        <f>49.3+33.7</f>
        <v>83</v>
      </c>
      <c r="E132" s="101">
        <v>55</v>
      </c>
      <c r="F132" s="96">
        <f t="shared" si="1"/>
        <v>66.3</v>
      </c>
      <c r="G132" s="106"/>
    </row>
    <row r="133" spans="1:7" ht="29.25" customHeight="1" x14ac:dyDescent="0.25">
      <c r="A133" s="81">
        <v>140311080</v>
      </c>
      <c r="B133" s="84"/>
      <c r="C133" s="100" t="s">
        <v>709</v>
      </c>
      <c r="D133" s="41">
        <f>D134</f>
        <v>410</v>
      </c>
      <c r="E133" s="41">
        <f>E134</f>
        <v>247.5</v>
      </c>
      <c r="F133" s="96">
        <f t="shared" si="1"/>
        <v>60.4</v>
      </c>
      <c r="G133" s="106"/>
    </row>
    <row r="134" spans="1:7" ht="39.6" x14ac:dyDescent="0.25">
      <c r="A134" s="81">
        <v>140311080</v>
      </c>
      <c r="B134" s="84" t="s">
        <v>212</v>
      </c>
      <c r="C134" s="100" t="s">
        <v>213</v>
      </c>
      <c r="D134" s="158">
        <v>410</v>
      </c>
      <c r="E134" s="39">
        <v>247.5</v>
      </c>
      <c r="F134" s="96">
        <f t="shared" si="1"/>
        <v>60.4</v>
      </c>
      <c r="G134" s="106"/>
    </row>
    <row r="135" spans="1:7" ht="26.4" x14ac:dyDescent="0.25">
      <c r="A135" s="21" t="s">
        <v>786</v>
      </c>
      <c r="B135" s="84"/>
      <c r="C135" s="216" t="s">
        <v>787</v>
      </c>
      <c r="D135" s="158">
        <f>D136</f>
        <v>50</v>
      </c>
      <c r="E135" s="158">
        <f>E136</f>
        <v>50</v>
      </c>
      <c r="F135" s="96">
        <f t="shared" si="1"/>
        <v>100</v>
      </c>
      <c r="G135" s="106"/>
    </row>
    <row r="136" spans="1:7" ht="52.8" x14ac:dyDescent="0.25">
      <c r="A136" s="21" t="s">
        <v>710</v>
      </c>
      <c r="B136" s="84"/>
      <c r="C136" s="162" t="s">
        <v>711</v>
      </c>
      <c r="D136" s="158">
        <f>D137</f>
        <v>50</v>
      </c>
      <c r="E136" s="158">
        <f>E137</f>
        <v>50</v>
      </c>
      <c r="F136" s="96">
        <f t="shared" si="1"/>
        <v>100</v>
      </c>
      <c r="G136" s="106"/>
    </row>
    <row r="137" spans="1:7" ht="39.6" x14ac:dyDescent="0.25">
      <c r="A137" s="21" t="s">
        <v>710</v>
      </c>
      <c r="B137" s="84" t="s">
        <v>212</v>
      </c>
      <c r="C137" s="100" t="s">
        <v>213</v>
      </c>
      <c r="D137" s="158">
        <v>50</v>
      </c>
      <c r="E137" s="39">
        <v>50</v>
      </c>
      <c r="F137" s="96">
        <f t="shared" si="1"/>
        <v>100</v>
      </c>
      <c r="G137" s="106"/>
    </row>
    <row r="138" spans="1:7" x14ac:dyDescent="0.25">
      <c r="A138" s="52" t="s">
        <v>82</v>
      </c>
      <c r="B138" s="16"/>
      <c r="C138" s="66" t="s">
        <v>51</v>
      </c>
      <c r="D138" s="41">
        <f>D139</f>
        <v>7313.3</v>
      </c>
      <c r="E138" s="41">
        <f>E139</f>
        <v>7300.7999999999993</v>
      </c>
      <c r="F138" s="96">
        <f t="shared" si="1"/>
        <v>99.8</v>
      </c>
      <c r="G138" s="106"/>
    </row>
    <row r="139" spans="1:7" ht="52.8" x14ac:dyDescent="0.25">
      <c r="A139" s="81">
        <v>190022200</v>
      </c>
      <c r="B139" s="84"/>
      <c r="C139" s="100" t="s">
        <v>712</v>
      </c>
      <c r="D139" s="41">
        <f>SUM(D140:D142)</f>
        <v>7313.3</v>
      </c>
      <c r="E139" s="41">
        <f>SUM(E140:E142)</f>
        <v>7300.7999999999993</v>
      </c>
      <c r="F139" s="96">
        <f t="shared" si="1"/>
        <v>99.8</v>
      </c>
      <c r="G139" s="106"/>
    </row>
    <row r="140" spans="1:7" ht="26.4" x14ac:dyDescent="0.25">
      <c r="A140" s="81">
        <v>190022200</v>
      </c>
      <c r="B140" s="16" t="s">
        <v>68</v>
      </c>
      <c r="C140" s="55" t="s">
        <v>69</v>
      </c>
      <c r="D140" s="41">
        <f>6640.6+20+266.1</f>
        <v>6926.7000000000007</v>
      </c>
      <c r="E140" s="41">
        <v>6917.4</v>
      </c>
      <c r="F140" s="96">
        <f t="shared" ref="F140:F199" si="2">ROUND((E140/D140*100),1)</f>
        <v>99.9</v>
      </c>
      <c r="G140" s="106"/>
    </row>
    <row r="141" spans="1:7" ht="39.6" x14ac:dyDescent="0.25">
      <c r="A141" s="81">
        <v>190022200</v>
      </c>
      <c r="B141" s="84" t="s">
        <v>212</v>
      </c>
      <c r="C141" s="100" t="s">
        <v>213</v>
      </c>
      <c r="D141" s="41">
        <f>406.6-0.2-20</f>
        <v>386.40000000000003</v>
      </c>
      <c r="E141" s="41">
        <v>383.2</v>
      </c>
      <c r="F141" s="96">
        <f t="shared" si="2"/>
        <v>99.2</v>
      </c>
      <c r="G141" s="106"/>
    </row>
    <row r="142" spans="1:7" x14ac:dyDescent="0.25">
      <c r="A142" s="81">
        <v>190022200</v>
      </c>
      <c r="B142" s="84" t="s">
        <v>134</v>
      </c>
      <c r="C142" s="100" t="s">
        <v>135</v>
      </c>
      <c r="D142" s="41">
        <v>0.2</v>
      </c>
      <c r="E142" s="41">
        <v>0.2</v>
      </c>
      <c r="F142" s="96">
        <f t="shared" si="2"/>
        <v>100</v>
      </c>
      <c r="G142" s="106"/>
    </row>
    <row r="143" spans="1:7" ht="79.8" x14ac:dyDescent="0.3">
      <c r="A143" s="73" t="s">
        <v>65</v>
      </c>
      <c r="B143" s="35"/>
      <c r="C143" s="53" t="s">
        <v>673</v>
      </c>
      <c r="D143" s="65">
        <f>D144+D193+D202+D218</f>
        <v>120962.80000000003</v>
      </c>
      <c r="E143" s="65">
        <f>E144+E193+E202+E218</f>
        <v>115617.10000000002</v>
      </c>
      <c r="F143" s="96">
        <f t="shared" si="2"/>
        <v>95.6</v>
      </c>
      <c r="G143" s="106"/>
    </row>
    <row r="144" spans="1:7" ht="27" x14ac:dyDescent="0.3">
      <c r="A144" s="21" t="s">
        <v>66</v>
      </c>
      <c r="B144" s="35"/>
      <c r="C144" s="48" t="s">
        <v>173</v>
      </c>
      <c r="D144" s="58">
        <f>D145+D157+D168+D177+D182+D185+D188</f>
        <v>94050.800000000017</v>
      </c>
      <c r="E144" s="58">
        <f>E145+E157+E168+E177+E182+E185+E188</f>
        <v>93842.700000000012</v>
      </c>
      <c r="F144" s="96">
        <f t="shared" si="2"/>
        <v>99.8</v>
      </c>
      <c r="G144" s="106"/>
    </row>
    <row r="145" spans="1:7" ht="39.6" x14ac:dyDescent="0.3">
      <c r="A145" s="21" t="s">
        <v>209</v>
      </c>
      <c r="B145" s="35"/>
      <c r="C145" s="104" t="s">
        <v>214</v>
      </c>
      <c r="D145" s="96">
        <f>D146+D149+D151+D154</f>
        <v>59948.500000000007</v>
      </c>
      <c r="E145" s="96">
        <f>E146+E149+E151+E154</f>
        <v>59740.4</v>
      </c>
      <c r="F145" s="96">
        <f t="shared" si="2"/>
        <v>99.7</v>
      </c>
      <c r="G145" s="106"/>
    </row>
    <row r="146" spans="1:7" ht="26.4" x14ac:dyDescent="0.25">
      <c r="A146" s="74">
        <v>210122900</v>
      </c>
      <c r="B146" s="16"/>
      <c r="C146" s="190" t="s">
        <v>172</v>
      </c>
      <c r="D146" s="39">
        <f>D147+D148</f>
        <v>10300.900000000001</v>
      </c>
      <c r="E146" s="39">
        <f>E147+E148</f>
        <v>10092.799999999999</v>
      </c>
      <c r="F146" s="96">
        <f t="shared" si="2"/>
        <v>98</v>
      </c>
      <c r="G146" s="106"/>
    </row>
    <row r="147" spans="1:7" ht="26.4" x14ac:dyDescent="0.25">
      <c r="A147" s="74">
        <v>210122900</v>
      </c>
      <c r="B147" s="84" t="s">
        <v>70</v>
      </c>
      <c r="C147" s="55" t="s">
        <v>133</v>
      </c>
      <c r="D147" s="39">
        <v>5635.6</v>
      </c>
      <c r="E147" s="96">
        <v>5635.6</v>
      </c>
      <c r="F147" s="96">
        <f t="shared" si="2"/>
        <v>100</v>
      </c>
      <c r="G147" s="106"/>
    </row>
    <row r="148" spans="1:7" ht="39.6" x14ac:dyDescent="0.25">
      <c r="A148" s="74">
        <v>210122900</v>
      </c>
      <c r="B148" s="84" t="s">
        <v>212</v>
      </c>
      <c r="C148" s="100" t="s">
        <v>213</v>
      </c>
      <c r="D148" s="39">
        <f>4888.4+14.8-301.9+64</f>
        <v>4665.3</v>
      </c>
      <c r="E148" s="39">
        <v>4457.2</v>
      </c>
      <c r="F148" s="96">
        <f t="shared" si="2"/>
        <v>95.5</v>
      </c>
      <c r="G148" s="106"/>
    </row>
    <row r="149" spans="1:7" ht="52.8" x14ac:dyDescent="0.25">
      <c r="A149" s="74">
        <v>210121100</v>
      </c>
      <c r="B149" s="16"/>
      <c r="C149" s="190" t="s">
        <v>174</v>
      </c>
      <c r="D149" s="39">
        <f>D150</f>
        <v>26410.7</v>
      </c>
      <c r="E149" s="39">
        <f>E150</f>
        <v>26410.7</v>
      </c>
      <c r="F149" s="96">
        <f t="shared" si="2"/>
        <v>100</v>
      </c>
      <c r="G149" s="106"/>
    </row>
    <row r="150" spans="1:7" x14ac:dyDescent="0.25">
      <c r="A150" s="74">
        <v>210121100</v>
      </c>
      <c r="B150" s="21" t="s">
        <v>226</v>
      </c>
      <c r="C150" s="100" t="s">
        <v>225</v>
      </c>
      <c r="D150" s="39">
        <f>26548.3+236.7-102-240-32.3</f>
        <v>26410.7</v>
      </c>
      <c r="E150" s="39">
        <v>26410.7</v>
      </c>
      <c r="F150" s="96">
        <f t="shared" si="2"/>
        <v>100</v>
      </c>
      <c r="G150" s="106"/>
    </row>
    <row r="151" spans="1:7" ht="39.6" x14ac:dyDescent="0.25">
      <c r="A151" s="74" t="s">
        <v>328</v>
      </c>
      <c r="B151" s="84"/>
      <c r="C151" s="100" t="s">
        <v>325</v>
      </c>
      <c r="D151" s="39">
        <f>SUM(D152:D153)</f>
        <v>232.3</v>
      </c>
      <c r="E151" s="39">
        <f>SUM(E152:E153)</f>
        <v>232.3</v>
      </c>
      <c r="F151" s="96">
        <f t="shared" si="2"/>
        <v>100</v>
      </c>
      <c r="G151" s="106"/>
    </row>
    <row r="152" spans="1:7" ht="26.4" x14ac:dyDescent="0.25">
      <c r="A152" s="74" t="s">
        <v>328</v>
      </c>
      <c r="B152" s="84" t="s">
        <v>70</v>
      </c>
      <c r="C152" s="55" t="s">
        <v>133</v>
      </c>
      <c r="D152" s="158">
        <v>50</v>
      </c>
      <c r="E152" s="158">
        <v>50</v>
      </c>
      <c r="F152" s="96">
        <f t="shared" si="2"/>
        <v>100</v>
      </c>
      <c r="G152" s="106"/>
    </row>
    <row r="153" spans="1:7" x14ac:dyDescent="0.25">
      <c r="A153" s="74" t="s">
        <v>328</v>
      </c>
      <c r="B153" s="21" t="s">
        <v>226</v>
      </c>
      <c r="C153" s="100" t="s">
        <v>225</v>
      </c>
      <c r="D153" s="39">
        <f>150+32.3</f>
        <v>182.3</v>
      </c>
      <c r="E153" s="39">
        <v>182.3</v>
      </c>
      <c r="F153" s="96">
        <f t="shared" si="2"/>
        <v>100</v>
      </c>
      <c r="G153" s="106"/>
    </row>
    <row r="154" spans="1:7" ht="52.8" x14ac:dyDescent="0.25">
      <c r="A154" s="74">
        <v>210110680</v>
      </c>
      <c r="B154" s="84"/>
      <c r="C154" s="100" t="s">
        <v>369</v>
      </c>
      <c r="D154" s="39">
        <f>SUM(D155:D156)</f>
        <v>23004.6</v>
      </c>
      <c r="E154" s="39">
        <f>SUM(E155:E156)</f>
        <v>23004.6</v>
      </c>
      <c r="F154" s="96">
        <f t="shared" si="2"/>
        <v>100</v>
      </c>
      <c r="G154" s="106"/>
    </row>
    <row r="155" spans="1:7" ht="26.4" x14ac:dyDescent="0.25">
      <c r="A155" s="74">
        <v>210110680</v>
      </c>
      <c r="B155" s="84" t="s">
        <v>70</v>
      </c>
      <c r="C155" s="55" t="s">
        <v>133</v>
      </c>
      <c r="D155" s="158">
        <f>5432+1219.9</f>
        <v>6651.9</v>
      </c>
      <c r="E155" s="158">
        <f>5432+1219.9</f>
        <v>6651.9</v>
      </c>
      <c r="F155" s="96">
        <f t="shared" si="2"/>
        <v>100</v>
      </c>
      <c r="G155" s="106"/>
    </row>
    <row r="156" spans="1:7" x14ac:dyDescent="0.25">
      <c r="A156" s="74">
        <v>210110680</v>
      </c>
      <c r="B156" s="21" t="s">
        <v>226</v>
      </c>
      <c r="C156" s="100" t="s">
        <v>225</v>
      </c>
      <c r="D156" s="39">
        <f>12768.4+3584.3</f>
        <v>16352.7</v>
      </c>
      <c r="E156" s="39">
        <f>12768.4+3584.3</f>
        <v>16352.7</v>
      </c>
      <c r="F156" s="96">
        <f t="shared" si="2"/>
        <v>100</v>
      </c>
      <c r="G156" s="106"/>
    </row>
    <row r="157" spans="1:7" ht="26.4" x14ac:dyDescent="0.25">
      <c r="A157" s="21" t="s">
        <v>257</v>
      </c>
      <c r="B157" s="21"/>
      <c r="C157" s="104" t="s">
        <v>789</v>
      </c>
      <c r="D157" s="39">
        <f>D158+D160+D162+D164+D166</f>
        <v>14710.699999999999</v>
      </c>
      <c r="E157" s="39">
        <f>E158+E160+E162+E164+E166</f>
        <v>14710.699999999999</v>
      </c>
      <c r="F157" s="96">
        <f t="shared" si="2"/>
        <v>100</v>
      </c>
      <c r="G157" s="106"/>
    </row>
    <row r="158" spans="1:7" ht="26.4" x14ac:dyDescent="0.25">
      <c r="A158" s="74">
        <v>210221100</v>
      </c>
      <c r="B158" s="16"/>
      <c r="C158" s="190" t="s">
        <v>175</v>
      </c>
      <c r="D158" s="39">
        <f>D159</f>
        <v>10587.199999999999</v>
      </c>
      <c r="E158" s="39">
        <f>E159</f>
        <v>10587.199999999999</v>
      </c>
      <c r="F158" s="96">
        <f t="shared" si="2"/>
        <v>100</v>
      </c>
      <c r="G158" s="106"/>
    </row>
    <row r="159" spans="1:7" x14ac:dyDescent="0.25">
      <c r="A159" s="74">
        <v>210221100</v>
      </c>
      <c r="B159" s="21" t="s">
        <v>226</v>
      </c>
      <c r="C159" s="100" t="s">
        <v>225</v>
      </c>
      <c r="D159" s="148">
        <f>11359.3+72.9-500-8.6-1.5-334.9</f>
        <v>10587.199999999999</v>
      </c>
      <c r="E159" s="148">
        <f>11359.3+72.9-500-8.6-1.5-334.9</f>
        <v>10587.199999999999</v>
      </c>
      <c r="F159" s="96">
        <f t="shared" si="2"/>
        <v>100</v>
      </c>
      <c r="G159" s="106"/>
    </row>
    <row r="160" spans="1:7" ht="66" x14ac:dyDescent="0.25">
      <c r="A160" s="74">
        <v>210210690</v>
      </c>
      <c r="B160" s="21"/>
      <c r="C160" s="100" t="s">
        <v>326</v>
      </c>
      <c r="D160" s="39">
        <f>D161</f>
        <v>3993.3</v>
      </c>
      <c r="E160" s="39">
        <f>E161</f>
        <v>3993.3</v>
      </c>
      <c r="F160" s="96">
        <f t="shared" si="2"/>
        <v>100</v>
      </c>
      <c r="G160" s="106"/>
    </row>
    <row r="161" spans="1:7" x14ac:dyDescent="0.25">
      <c r="A161" s="74">
        <v>210210690</v>
      </c>
      <c r="B161" s="21" t="s">
        <v>226</v>
      </c>
      <c r="C161" s="100" t="s">
        <v>225</v>
      </c>
      <c r="D161" s="211">
        <f>3151.3+842</f>
        <v>3993.3</v>
      </c>
      <c r="E161" s="211">
        <f>3151.3+842</f>
        <v>3993.3</v>
      </c>
      <c r="F161" s="96">
        <f t="shared" si="2"/>
        <v>100</v>
      </c>
      <c r="G161" s="106"/>
    </row>
    <row r="162" spans="1:7" ht="52.8" x14ac:dyDescent="0.25">
      <c r="A162" s="74" t="s">
        <v>674</v>
      </c>
      <c r="B162" s="84"/>
      <c r="C162" s="100" t="s">
        <v>327</v>
      </c>
      <c r="D162" s="39">
        <f>SUM(D163:D163)</f>
        <v>40.4</v>
      </c>
      <c r="E162" s="39">
        <f>SUM(E163:E163)</f>
        <v>40.4</v>
      </c>
      <c r="F162" s="96">
        <f t="shared" si="2"/>
        <v>100</v>
      </c>
      <c r="G162" s="106"/>
    </row>
    <row r="163" spans="1:7" x14ac:dyDescent="0.25">
      <c r="A163" s="74" t="s">
        <v>674</v>
      </c>
      <c r="B163" s="21" t="s">
        <v>226</v>
      </c>
      <c r="C163" s="189" t="s">
        <v>225</v>
      </c>
      <c r="D163" s="39">
        <f>31.8+8.6</f>
        <v>40.4</v>
      </c>
      <c r="E163" s="39">
        <f>31.8+8.6</f>
        <v>40.4</v>
      </c>
      <c r="F163" s="96">
        <f t="shared" si="2"/>
        <v>100</v>
      </c>
      <c r="G163" s="106"/>
    </row>
    <row r="164" spans="1:7" ht="52.8" x14ac:dyDescent="0.25">
      <c r="A164" s="74">
        <v>210211390</v>
      </c>
      <c r="B164" s="221"/>
      <c r="C164" s="224" t="s">
        <v>675</v>
      </c>
      <c r="D164" s="222">
        <f>D165</f>
        <v>88.899999999999991</v>
      </c>
      <c r="E164" s="222">
        <f>E165</f>
        <v>88.899999999999991</v>
      </c>
      <c r="F164" s="96">
        <f t="shared" si="2"/>
        <v>100</v>
      </c>
      <c r="G164" s="106"/>
    </row>
    <row r="165" spans="1:7" x14ac:dyDescent="0.25">
      <c r="A165" s="74">
        <v>210211390</v>
      </c>
      <c r="B165" s="21" t="s">
        <v>226</v>
      </c>
      <c r="C165" s="223" t="s">
        <v>225</v>
      </c>
      <c r="D165" s="39">
        <f>88.3+0.6</f>
        <v>88.899999999999991</v>
      </c>
      <c r="E165" s="39">
        <f>88.3+0.6</f>
        <v>88.899999999999991</v>
      </c>
      <c r="F165" s="96">
        <f t="shared" si="2"/>
        <v>100</v>
      </c>
      <c r="G165" s="106"/>
    </row>
    <row r="166" spans="1:7" ht="65.25" customHeight="1" x14ac:dyDescent="0.25">
      <c r="A166" s="74" t="s">
        <v>676</v>
      </c>
      <c r="B166" s="21"/>
      <c r="C166" s="125" t="s">
        <v>677</v>
      </c>
      <c r="D166" s="39">
        <f>D167</f>
        <v>0.9</v>
      </c>
      <c r="E166" s="39">
        <f>E167</f>
        <v>0.9</v>
      </c>
      <c r="F166" s="96">
        <f t="shared" si="2"/>
        <v>100</v>
      </c>
      <c r="G166" s="106"/>
    </row>
    <row r="167" spans="1:7" x14ac:dyDescent="0.25">
      <c r="A167" s="74" t="s">
        <v>676</v>
      </c>
      <c r="B167" s="21" t="s">
        <v>226</v>
      </c>
      <c r="C167" s="100" t="s">
        <v>225</v>
      </c>
      <c r="D167" s="39">
        <f>1.5-0.6</f>
        <v>0.9</v>
      </c>
      <c r="E167" s="39">
        <f>1.5-0.6</f>
        <v>0.9</v>
      </c>
      <c r="F167" s="96">
        <f t="shared" si="2"/>
        <v>100</v>
      </c>
      <c r="G167" s="106"/>
    </row>
    <row r="168" spans="1:7" ht="52.8" x14ac:dyDescent="0.3">
      <c r="A168" s="21" t="s">
        <v>259</v>
      </c>
      <c r="B168" s="35"/>
      <c r="C168" s="100" t="s">
        <v>258</v>
      </c>
      <c r="D168" s="41">
        <f>D169+D171+D173+D175</f>
        <v>8540.2999999999993</v>
      </c>
      <c r="E168" s="41">
        <f>E169+E171+E173+E175</f>
        <v>8540.2999999999993</v>
      </c>
      <c r="F168" s="58">
        <f t="shared" si="2"/>
        <v>100</v>
      </c>
      <c r="G168" s="106"/>
    </row>
    <row r="169" spans="1:7" ht="52.8" x14ac:dyDescent="0.25">
      <c r="A169" s="152" t="s">
        <v>713</v>
      </c>
      <c r="B169" s="84"/>
      <c r="C169" s="162" t="s">
        <v>381</v>
      </c>
      <c r="D169" s="39">
        <f>D170</f>
        <v>187.3</v>
      </c>
      <c r="E169" s="39">
        <f>E170</f>
        <v>187.3</v>
      </c>
      <c r="F169" s="96">
        <f t="shared" si="2"/>
        <v>100</v>
      </c>
      <c r="G169" s="106"/>
    </row>
    <row r="170" spans="1:7" x14ac:dyDescent="0.25">
      <c r="A170" s="152" t="s">
        <v>713</v>
      </c>
      <c r="B170" s="21" t="s">
        <v>226</v>
      </c>
      <c r="C170" s="100" t="s">
        <v>225</v>
      </c>
      <c r="D170" s="39">
        <f>35+180.3-28</f>
        <v>187.3</v>
      </c>
      <c r="E170" s="39">
        <f>35+180.3-28</f>
        <v>187.3</v>
      </c>
      <c r="F170" s="96">
        <f t="shared" si="2"/>
        <v>100</v>
      </c>
      <c r="G170" s="106"/>
    </row>
    <row r="171" spans="1:7" ht="39.6" x14ac:dyDescent="0.25">
      <c r="A171" s="212" t="s">
        <v>714</v>
      </c>
      <c r="B171" s="21"/>
      <c r="C171" s="100" t="s">
        <v>715</v>
      </c>
      <c r="D171" s="39">
        <f>D172</f>
        <v>953</v>
      </c>
      <c r="E171" s="39">
        <f>E172</f>
        <v>953</v>
      </c>
      <c r="F171" s="96">
        <f t="shared" si="2"/>
        <v>100</v>
      </c>
      <c r="G171" s="106"/>
    </row>
    <row r="172" spans="1:7" x14ac:dyDescent="0.25">
      <c r="A172" s="212" t="s">
        <v>714</v>
      </c>
      <c r="B172" s="21" t="s">
        <v>226</v>
      </c>
      <c r="C172" s="100" t="s">
        <v>225</v>
      </c>
      <c r="D172" s="39">
        <f>223+800-70</f>
        <v>953</v>
      </c>
      <c r="E172" s="39">
        <f>223+800-70</f>
        <v>953</v>
      </c>
      <c r="F172" s="96">
        <f t="shared" si="2"/>
        <v>100</v>
      </c>
      <c r="G172" s="106"/>
    </row>
    <row r="173" spans="1:7" ht="52.8" x14ac:dyDescent="0.25">
      <c r="A173" s="212" t="s">
        <v>716</v>
      </c>
      <c r="B173" s="21"/>
      <c r="C173" s="100" t="s">
        <v>717</v>
      </c>
      <c r="D173" s="39">
        <f>D174</f>
        <v>740</v>
      </c>
      <c r="E173" s="39">
        <f>E174</f>
        <v>740</v>
      </c>
      <c r="F173" s="96">
        <f t="shared" si="2"/>
        <v>100</v>
      </c>
      <c r="G173" s="106"/>
    </row>
    <row r="174" spans="1:7" x14ac:dyDescent="0.25">
      <c r="A174" s="212" t="s">
        <v>716</v>
      </c>
      <c r="B174" s="21" t="s">
        <v>226</v>
      </c>
      <c r="C174" s="100" t="s">
        <v>225</v>
      </c>
      <c r="D174" s="39">
        <v>740</v>
      </c>
      <c r="E174" s="39">
        <v>740</v>
      </c>
      <c r="F174" s="96">
        <f t="shared" si="2"/>
        <v>100</v>
      </c>
      <c r="G174" s="106"/>
    </row>
    <row r="175" spans="1:7" ht="52.8" x14ac:dyDescent="0.25">
      <c r="A175" s="212" t="s">
        <v>718</v>
      </c>
      <c r="B175" s="21"/>
      <c r="C175" s="100" t="s">
        <v>717</v>
      </c>
      <c r="D175" s="39">
        <f>D176</f>
        <v>6660</v>
      </c>
      <c r="E175" s="39">
        <f>E176</f>
        <v>6660</v>
      </c>
      <c r="F175" s="96">
        <f t="shared" si="2"/>
        <v>100</v>
      </c>
      <c r="G175" s="106"/>
    </row>
    <row r="176" spans="1:7" x14ac:dyDescent="0.25">
      <c r="A176" s="212" t="s">
        <v>718</v>
      </c>
      <c r="B176" s="21" t="s">
        <v>226</v>
      </c>
      <c r="C176" s="100" t="s">
        <v>225</v>
      </c>
      <c r="D176" s="39">
        <v>6660</v>
      </c>
      <c r="E176" s="39">
        <v>6660</v>
      </c>
      <c r="F176" s="96">
        <f t="shared" si="2"/>
        <v>100</v>
      </c>
      <c r="G176" s="106"/>
    </row>
    <row r="177" spans="1:7" ht="79.2" x14ac:dyDescent="0.3">
      <c r="A177" s="21" t="s">
        <v>790</v>
      </c>
      <c r="B177" s="35"/>
      <c r="C177" s="100" t="s">
        <v>791</v>
      </c>
      <c r="D177" s="41">
        <f>D178+D180</f>
        <v>393.7</v>
      </c>
      <c r="E177" s="41">
        <f>E178+E180</f>
        <v>393.7</v>
      </c>
      <c r="F177" s="96">
        <f t="shared" si="2"/>
        <v>100</v>
      </c>
      <c r="G177" s="106"/>
    </row>
    <row r="178" spans="1:7" ht="66" x14ac:dyDescent="0.25">
      <c r="A178" s="212" t="s">
        <v>678</v>
      </c>
      <c r="B178" s="21"/>
      <c r="C178" s="54" t="s">
        <v>679</v>
      </c>
      <c r="D178" s="39">
        <f t="shared" ref="D178:E178" si="3">D179</f>
        <v>245</v>
      </c>
      <c r="E178" s="39">
        <f t="shared" si="3"/>
        <v>245</v>
      </c>
      <c r="F178" s="96">
        <f t="shared" si="2"/>
        <v>100</v>
      </c>
      <c r="G178" s="106"/>
    </row>
    <row r="179" spans="1:7" x14ac:dyDescent="0.25">
      <c r="A179" s="212" t="s">
        <v>678</v>
      </c>
      <c r="B179" s="21" t="s">
        <v>226</v>
      </c>
      <c r="C179" s="100" t="s">
        <v>225</v>
      </c>
      <c r="D179" s="39">
        <v>245</v>
      </c>
      <c r="E179" s="39">
        <v>245</v>
      </c>
      <c r="F179" s="96">
        <f t="shared" si="2"/>
        <v>100</v>
      </c>
      <c r="G179" s="106"/>
    </row>
    <row r="180" spans="1:7" ht="52.8" x14ac:dyDescent="0.25">
      <c r="A180" s="212" t="s">
        <v>680</v>
      </c>
      <c r="B180" s="21"/>
      <c r="C180" s="151" t="s">
        <v>681</v>
      </c>
      <c r="D180" s="39">
        <f>D181</f>
        <v>148.69999999999999</v>
      </c>
      <c r="E180" s="39">
        <f>E181</f>
        <v>148.69999999999999</v>
      </c>
      <c r="F180" s="96">
        <f t="shared" si="2"/>
        <v>100</v>
      </c>
      <c r="G180" s="106"/>
    </row>
    <row r="181" spans="1:7" x14ac:dyDescent="0.25">
      <c r="A181" s="212" t="s">
        <v>680</v>
      </c>
      <c r="B181" s="21" t="s">
        <v>226</v>
      </c>
      <c r="C181" s="100" t="s">
        <v>225</v>
      </c>
      <c r="D181" s="39">
        <v>148.69999999999999</v>
      </c>
      <c r="E181" s="39">
        <v>148.69999999999999</v>
      </c>
      <c r="F181" s="96">
        <f t="shared" si="2"/>
        <v>100</v>
      </c>
      <c r="G181" s="106"/>
    </row>
    <row r="182" spans="1:7" ht="39.6" x14ac:dyDescent="0.25">
      <c r="A182" s="212" t="s">
        <v>795</v>
      </c>
      <c r="B182" s="21"/>
      <c r="C182" s="100" t="s">
        <v>796</v>
      </c>
      <c r="D182" s="39">
        <f>D183</f>
        <v>10000</v>
      </c>
      <c r="E182" s="39">
        <f>E183</f>
        <v>10000</v>
      </c>
      <c r="F182" s="96">
        <f t="shared" si="2"/>
        <v>100</v>
      </c>
      <c r="G182" s="106"/>
    </row>
    <row r="183" spans="1:7" ht="26.4" x14ac:dyDescent="0.25">
      <c r="A183" s="212" t="s">
        <v>719</v>
      </c>
      <c r="B183" s="21"/>
      <c r="C183" s="100" t="s">
        <v>720</v>
      </c>
      <c r="D183" s="39">
        <f>D184</f>
        <v>10000</v>
      </c>
      <c r="E183" s="39">
        <f>E184</f>
        <v>10000</v>
      </c>
      <c r="F183" s="58">
        <f t="shared" si="2"/>
        <v>100</v>
      </c>
      <c r="G183" s="106"/>
    </row>
    <row r="184" spans="1:7" ht="39.6" x14ac:dyDescent="0.25">
      <c r="A184" s="212" t="s">
        <v>719</v>
      </c>
      <c r="B184" s="84" t="s">
        <v>212</v>
      </c>
      <c r="C184" s="100" t="s">
        <v>213</v>
      </c>
      <c r="D184" s="39">
        <v>10000</v>
      </c>
      <c r="E184" s="39">
        <v>10000</v>
      </c>
      <c r="F184" s="96">
        <f t="shared" si="2"/>
        <v>100</v>
      </c>
      <c r="G184" s="106"/>
    </row>
    <row r="185" spans="1:7" ht="50.25" customHeight="1" x14ac:dyDescent="0.25">
      <c r="A185" s="212" t="s">
        <v>406</v>
      </c>
      <c r="B185" s="21"/>
      <c r="C185" s="100" t="s">
        <v>407</v>
      </c>
      <c r="D185" s="39">
        <f>D186</f>
        <v>67.599999999999994</v>
      </c>
      <c r="E185" s="39">
        <f>E186</f>
        <v>67.599999999999994</v>
      </c>
      <c r="F185" s="96">
        <f t="shared" si="2"/>
        <v>100</v>
      </c>
      <c r="G185" s="106"/>
    </row>
    <row r="186" spans="1:7" ht="54" customHeight="1" x14ac:dyDescent="0.25">
      <c r="A186" s="212" t="s">
        <v>721</v>
      </c>
      <c r="B186" s="21"/>
      <c r="C186" s="100" t="s">
        <v>722</v>
      </c>
      <c r="D186" s="39">
        <f>D187</f>
        <v>67.599999999999994</v>
      </c>
      <c r="E186" s="39">
        <f>E187</f>
        <v>67.599999999999994</v>
      </c>
      <c r="F186" s="96">
        <f t="shared" si="2"/>
        <v>100</v>
      </c>
      <c r="G186" s="106"/>
    </row>
    <row r="187" spans="1:7" x14ac:dyDescent="0.25">
      <c r="A187" s="212" t="s">
        <v>721</v>
      </c>
      <c r="B187" s="21" t="s">
        <v>226</v>
      </c>
      <c r="C187" s="100" t="s">
        <v>225</v>
      </c>
      <c r="D187" s="39">
        <f>1+66.6</f>
        <v>67.599999999999994</v>
      </c>
      <c r="E187" s="39">
        <f>1+66.6</f>
        <v>67.599999999999994</v>
      </c>
      <c r="F187" s="96">
        <f t="shared" si="2"/>
        <v>100</v>
      </c>
      <c r="G187" s="106"/>
    </row>
    <row r="188" spans="1:7" ht="26.4" x14ac:dyDescent="0.3">
      <c r="A188" s="21" t="s">
        <v>726</v>
      </c>
      <c r="B188" s="35"/>
      <c r="C188" s="104" t="s">
        <v>260</v>
      </c>
      <c r="D188" s="41">
        <f>D189+D191</f>
        <v>390</v>
      </c>
      <c r="E188" s="41">
        <f>E189+E191</f>
        <v>390</v>
      </c>
      <c r="F188" s="96">
        <f t="shared" si="2"/>
        <v>100</v>
      </c>
      <c r="G188" s="106"/>
    </row>
    <row r="189" spans="1:7" ht="39.6" x14ac:dyDescent="0.25">
      <c r="A189" s="21" t="s">
        <v>727</v>
      </c>
      <c r="B189" s="16"/>
      <c r="C189" s="100" t="s">
        <v>176</v>
      </c>
      <c r="D189" s="41">
        <f t="shared" ref="D189:E189" si="4">D190</f>
        <v>300</v>
      </c>
      <c r="E189" s="41">
        <f t="shared" si="4"/>
        <v>300</v>
      </c>
      <c r="F189" s="58">
        <f t="shared" si="2"/>
        <v>100</v>
      </c>
      <c r="G189" s="106"/>
    </row>
    <row r="190" spans="1:7" ht="39.6" x14ac:dyDescent="0.25">
      <c r="A190" s="21" t="s">
        <v>727</v>
      </c>
      <c r="B190" s="84" t="s">
        <v>212</v>
      </c>
      <c r="C190" s="100" t="s">
        <v>213</v>
      </c>
      <c r="D190" s="41">
        <v>300</v>
      </c>
      <c r="E190" s="41">
        <v>300</v>
      </c>
      <c r="F190" s="96">
        <f t="shared" si="2"/>
        <v>100</v>
      </c>
      <c r="G190" s="106"/>
    </row>
    <row r="191" spans="1:7" ht="26.4" x14ac:dyDescent="0.25">
      <c r="A191" s="21" t="s">
        <v>728</v>
      </c>
      <c r="B191" s="84"/>
      <c r="C191" s="125" t="s">
        <v>729</v>
      </c>
      <c r="D191" s="41">
        <f>D192</f>
        <v>90</v>
      </c>
      <c r="E191" s="41">
        <f>E192</f>
        <v>90</v>
      </c>
      <c r="F191" s="96">
        <f t="shared" si="2"/>
        <v>100</v>
      </c>
      <c r="G191" s="106"/>
    </row>
    <row r="192" spans="1:7" ht="39.6" x14ac:dyDescent="0.25">
      <c r="A192" s="214" t="s">
        <v>728</v>
      </c>
      <c r="B192" s="84" t="s">
        <v>212</v>
      </c>
      <c r="C192" s="100" t="s">
        <v>213</v>
      </c>
      <c r="D192" s="41">
        <v>90</v>
      </c>
      <c r="E192" s="41">
        <v>90</v>
      </c>
      <c r="F192" s="96">
        <f t="shared" si="2"/>
        <v>100</v>
      </c>
      <c r="G192" s="106"/>
    </row>
    <row r="193" spans="1:6" ht="27" x14ac:dyDescent="0.3">
      <c r="A193" s="52" t="s">
        <v>48</v>
      </c>
      <c r="B193" s="35"/>
      <c r="C193" s="48" t="s">
        <v>202</v>
      </c>
      <c r="D193" s="58">
        <f>D194</f>
        <v>15796.3</v>
      </c>
      <c r="E193" s="58">
        <f>E194</f>
        <v>10694.5</v>
      </c>
      <c r="F193" s="62">
        <f t="shared" si="2"/>
        <v>67.7</v>
      </c>
    </row>
    <row r="194" spans="1:6" ht="79.8" x14ac:dyDescent="0.3">
      <c r="A194" s="21" t="s">
        <v>261</v>
      </c>
      <c r="B194" s="35"/>
      <c r="C194" s="102" t="s">
        <v>262</v>
      </c>
      <c r="D194" s="58">
        <f>D195+D197+D200</f>
        <v>15796.3</v>
      </c>
      <c r="E194" s="58">
        <f>E195+E197+E200</f>
        <v>10694.5</v>
      </c>
      <c r="F194" s="58">
        <f t="shared" si="2"/>
        <v>67.7</v>
      </c>
    </row>
    <row r="195" spans="1:6" ht="79.2" x14ac:dyDescent="0.25">
      <c r="A195" s="21" t="s">
        <v>733</v>
      </c>
      <c r="B195" s="21"/>
      <c r="C195" s="102" t="s">
        <v>178</v>
      </c>
      <c r="D195" s="39">
        <f>D196</f>
        <v>415.7</v>
      </c>
      <c r="E195" s="39">
        <f>E196</f>
        <v>415.7</v>
      </c>
      <c r="F195" s="96">
        <f t="shared" si="2"/>
        <v>100</v>
      </c>
    </row>
    <row r="196" spans="1:6" ht="39.6" x14ac:dyDescent="0.25">
      <c r="A196" s="21" t="s">
        <v>733</v>
      </c>
      <c r="B196" s="84" t="s">
        <v>212</v>
      </c>
      <c r="C196" s="100" t="s">
        <v>213</v>
      </c>
      <c r="D196" s="39">
        <v>415.7</v>
      </c>
      <c r="E196" s="39">
        <v>415.7</v>
      </c>
      <c r="F196" s="96">
        <f t="shared" si="2"/>
        <v>100</v>
      </c>
    </row>
    <row r="197" spans="1:6" ht="52.8" x14ac:dyDescent="0.25">
      <c r="A197" s="21" t="s">
        <v>734</v>
      </c>
      <c r="B197" s="21"/>
      <c r="C197" s="102" t="s">
        <v>67</v>
      </c>
      <c r="D197" s="39">
        <f>SUM(D198:D199)</f>
        <v>80.599999999999994</v>
      </c>
      <c r="E197" s="39">
        <f>SUM(E198:E199)</f>
        <v>80.5</v>
      </c>
      <c r="F197" s="96">
        <f t="shared" si="2"/>
        <v>99.9</v>
      </c>
    </row>
    <row r="198" spans="1:6" ht="36" customHeight="1" x14ac:dyDescent="0.25">
      <c r="A198" s="21" t="s">
        <v>734</v>
      </c>
      <c r="B198" s="84" t="s">
        <v>70</v>
      </c>
      <c r="C198" s="55" t="s">
        <v>133</v>
      </c>
      <c r="D198" s="39">
        <v>44.6</v>
      </c>
      <c r="E198" s="39">
        <v>44.5</v>
      </c>
      <c r="F198" s="96">
        <f t="shared" si="2"/>
        <v>99.8</v>
      </c>
    </row>
    <row r="199" spans="1:6" ht="39.6" x14ac:dyDescent="0.25">
      <c r="A199" s="21" t="s">
        <v>734</v>
      </c>
      <c r="B199" s="84" t="s">
        <v>212</v>
      </c>
      <c r="C199" s="100" t="s">
        <v>213</v>
      </c>
      <c r="D199" s="39">
        <v>36</v>
      </c>
      <c r="E199" s="39">
        <v>36</v>
      </c>
      <c r="F199" s="96">
        <f t="shared" si="2"/>
        <v>100</v>
      </c>
    </row>
    <row r="200" spans="1:6" ht="26.4" x14ac:dyDescent="0.25">
      <c r="A200" s="21" t="s">
        <v>735</v>
      </c>
      <c r="B200" s="84"/>
      <c r="C200" s="100" t="s">
        <v>736</v>
      </c>
      <c r="D200" s="39">
        <f>D201</f>
        <v>15300</v>
      </c>
      <c r="E200" s="39">
        <f>E201</f>
        <v>10198.299999999999</v>
      </c>
      <c r="F200" s="96">
        <f t="shared" ref="F200:F263" si="5">ROUND((E200/D200*100),1)</f>
        <v>66.7</v>
      </c>
    </row>
    <row r="201" spans="1:6" ht="39.6" x14ac:dyDescent="0.25">
      <c r="A201" s="21" t="s">
        <v>735</v>
      </c>
      <c r="B201" s="84" t="s">
        <v>212</v>
      </c>
      <c r="C201" s="100" t="s">
        <v>213</v>
      </c>
      <c r="D201" s="39">
        <f>100+28+172+15000</f>
        <v>15300</v>
      </c>
      <c r="E201" s="39">
        <v>10198.299999999999</v>
      </c>
      <c r="F201" s="96">
        <f t="shared" si="5"/>
        <v>66.7</v>
      </c>
    </row>
    <row r="202" spans="1:6" ht="26.4" x14ac:dyDescent="0.25">
      <c r="A202" s="52" t="s">
        <v>35</v>
      </c>
      <c r="B202" s="21"/>
      <c r="C202" s="48" t="s">
        <v>179</v>
      </c>
      <c r="D202" s="41">
        <f>D203+D212+D215</f>
        <v>8155.0999999999995</v>
      </c>
      <c r="E202" s="41">
        <f>E203+E212+E215</f>
        <v>8155.0999999999995</v>
      </c>
      <c r="F202" s="96">
        <f t="shared" si="5"/>
        <v>100</v>
      </c>
    </row>
    <row r="203" spans="1:6" ht="26.4" x14ac:dyDescent="0.25">
      <c r="A203" s="21" t="s">
        <v>210</v>
      </c>
      <c r="B203" s="16"/>
      <c r="C203" s="104" t="s">
        <v>317</v>
      </c>
      <c r="D203" s="41">
        <f>D204+D206+D208+D210</f>
        <v>343.20000000000005</v>
      </c>
      <c r="E203" s="41">
        <f>E204+E206+E208+E210</f>
        <v>343.20000000000005</v>
      </c>
      <c r="F203" s="96">
        <f t="shared" si="5"/>
        <v>100</v>
      </c>
    </row>
    <row r="204" spans="1:6" ht="52.8" x14ac:dyDescent="0.25">
      <c r="A204" s="195" t="s">
        <v>687</v>
      </c>
      <c r="B204" s="16"/>
      <c r="C204" s="103" t="s">
        <v>207</v>
      </c>
      <c r="D204" s="39">
        <f>D205</f>
        <v>6.6</v>
      </c>
      <c r="E204" s="39">
        <f>E205</f>
        <v>6.6</v>
      </c>
      <c r="F204" s="96">
        <f t="shared" si="5"/>
        <v>100</v>
      </c>
    </row>
    <row r="205" spans="1:6" ht="39.6" x14ac:dyDescent="0.25">
      <c r="A205" s="195" t="s">
        <v>687</v>
      </c>
      <c r="B205" s="84" t="s">
        <v>212</v>
      </c>
      <c r="C205" s="100" t="s">
        <v>213</v>
      </c>
      <c r="D205" s="41">
        <v>6.6</v>
      </c>
      <c r="E205" s="41">
        <v>6.6</v>
      </c>
      <c r="F205" s="96">
        <f t="shared" si="5"/>
        <v>100</v>
      </c>
    </row>
    <row r="206" spans="1:6" ht="26.4" x14ac:dyDescent="0.25">
      <c r="A206" s="195" t="s">
        <v>688</v>
      </c>
      <c r="B206" s="16"/>
      <c r="C206" s="100" t="s">
        <v>180</v>
      </c>
      <c r="D206" s="41">
        <f>D207</f>
        <v>271.60000000000002</v>
      </c>
      <c r="E206" s="41">
        <f>E207</f>
        <v>271.60000000000002</v>
      </c>
      <c r="F206" s="96">
        <f t="shared" si="5"/>
        <v>100</v>
      </c>
    </row>
    <row r="207" spans="1:6" ht="39.6" x14ac:dyDescent="0.25">
      <c r="A207" s="195" t="s">
        <v>688</v>
      </c>
      <c r="B207" s="84" t="s">
        <v>212</v>
      </c>
      <c r="C207" s="100" t="s">
        <v>213</v>
      </c>
      <c r="D207" s="41">
        <f>289.6-18</f>
        <v>271.60000000000002</v>
      </c>
      <c r="E207" s="41">
        <f>289.6-18</f>
        <v>271.60000000000002</v>
      </c>
      <c r="F207" s="96">
        <f t="shared" si="5"/>
        <v>100</v>
      </c>
    </row>
    <row r="208" spans="1:6" ht="52.8" x14ac:dyDescent="0.25">
      <c r="A208" s="195" t="s">
        <v>689</v>
      </c>
      <c r="B208" s="16"/>
      <c r="C208" s="100" t="s">
        <v>83</v>
      </c>
      <c r="D208" s="41">
        <f>D209</f>
        <v>15</v>
      </c>
      <c r="E208" s="41">
        <f>E209</f>
        <v>15</v>
      </c>
      <c r="F208" s="58">
        <f t="shared" si="5"/>
        <v>100</v>
      </c>
    </row>
    <row r="209" spans="1:6" ht="39.6" x14ac:dyDescent="0.25">
      <c r="A209" s="195" t="s">
        <v>689</v>
      </c>
      <c r="B209" s="84" t="s">
        <v>212</v>
      </c>
      <c r="C209" s="100" t="s">
        <v>213</v>
      </c>
      <c r="D209" s="41">
        <v>15</v>
      </c>
      <c r="E209" s="41">
        <v>15</v>
      </c>
      <c r="F209" s="96">
        <f t="shared" si="5"/>
        <v>100</v>
      </c>
    </row>
    <row r="210" spans="1:6" x14ac:dyDescent="0.25">
      <c r="A210" s="195" t="s">
        <v>690</v>
      </c>
      <c r="B210" s="84"/>
      <c r="C210" s="54" t="s">
        <v>396</v>
      </c>
      <c r="D210" s="41">
        <f>D211</f>
        <v>50</v>
      </c>
      <c r="E210" s="41">
        <f>E211</f>
        <v>50</v>
      </c>
      <c r="F210" s="96">
        <f t="shared" si="5"/>
        <v>100</v>
      </c>
    </row>
    <row r="211" spans="1:6" ht="39.6" x14ac:dyDescent="0.25">
      <c r="A211" s="195" t="s">
        <v>690</v>
      </c>
      <c r="B211" s="84" t="s">
        <v>212</v>
      </c>
      <c r="C211" s="100" t="s">
        <v>213</v>
      </c>
      <c r="D211" s="41">
        <v>50</v>
      </c>
      <c r="E211" s="41">
        <v>50</v>
      </c>
      <c r="F211" s="96">
        <f t="shared" si="5"/>
        <v>100</v>
      </c>
    </row>
    <row r="212" spans="1:6" ht="79.2" x14ac:dyDescent="0.25">
      <c r="A212" s="21" t="s">
        <v>263</v>
      </c>
      <c r="B212" s="16"/>
      <c r="C212" s="104" t="s">
        <v>264</v>
      </c>
      <c r="D212" s="41">
        <f t="shared" ref="D212:E213" si="6">D213</f>
        <v>7316.2</v>
      </c>
      <c r="E212" s="41">
        <f t="shared" si="6"/>
        <v>7316.2</v>
      </c>
      <c r="F212" s="96">
        <f t="shared" si="5"/>
        <v>100</v>
      </c>
    </row>
    <row r="213" spans="1:6" ht="39.6" x14ac:dyDescent="0.25">
      <c r="A213" s="74">
        <v>230221100</v>
      </c>
      <c r="B213" s="16"/>
      <c r="C213" s="100" t="s">
        <v>0</v>
      </c>
      <c r="D213" s="41">
        <f t="shared" si="6"/>
        <v>7316.2</v>
      </c>
      <c r="E213" s="41">
        <f t="shared" si="6"/>
        <v>7316.2</v>
      </c>
      <c r="F213" s="96">
        <f t="shared" si="5"/>
        <v>100</v>
      </c>
    </row>
    <row r="214" spans="1:6" x14ac:dyDescent="0.25">
      <c r="A214" s="74">
        <v>230221100</v>
      </c>
      <c r="B214" s="84" t="s">
        <v>226</v>
      </c>
      <c r="C214" s="100" t="s">
        <v>225</v>
      </c>
      <c r="D214" s="41">
        <v>7316.2</v>
      </c>
      <c r="E214" s="41">
        <v>7316.2</v>
      </c>
      <c r="F214" s="96">
        <f t="shared" si="5"/>
        <v>100</v>
      </c>
    </row>
    <row r="215" spans="1:6" ht="66" x14ac:dyDescent="0.25">
      <c r="A215" s="21" t="s">
        <v>691</v>
      </c>
      <c r="B215" s="84"/>
      <c r="C215" s="100" t="s">
        <v>692</v>
      </c>
      <c r="D215" s="41">
        <f t="shared" ref="D215:E216" si="7">D216</f>
        <v>495.7</v>
      </c>
      <c r="E215" s="41">
        <f t="shared" si="7"/>
        <v>495.7</v>
      </c>
      <c r="F215" s="96">
        <f t="shared" si="5"/>
        <v>100</v>
      </c>
    </row>
    <row r="216" spans="1:6" ht="52.8" x14ac:dyDescent="0.25">
      <c r="A216" s="74">
        <v>230321210</v>
      </c>
      <c r="B216" s="84"/>
      <c r="C216" s="100" t="s">
        <v>693</v>
      </c>
      <c r="D216" s="41">
        <f t="shared" si="7"/>
        <v>495.7</v>
      </c>
      <c r="E216" s="41">
        <f t="shared" si="7"/>
        <v>495.7</v>
      </c>
      <c r="F216" s="96">
        <f t="shared" si="5"/>
        <v>100</v>
      </c>
    </row>
    <row r="217" spans="1:6" ht="39.6" x14ac:dyDescent="0.25">
      <c r="A217" s="74">
        <v>230321210</v>
      </c>
      <c r="B217" s="84" t="s">
        <v>212</v>
      </c>
      <c r="C217" s="100" t="s">
        <v>213</v>
      </c>
      <c r="D217" s="41">
        <v>495.7</v>
      </c>
      <c r="E217" s="41">
        <v>495.7</v>
      </c>
      <c r="F217" s="96">
        <f t="shared" si="5"/>
        <v>100</v>
      </c>
    </row>
    <row r="218" spans="1:6" x14ac:dyDescent="0.25">
      <c r="A218" s="52" t="s">
        <v>36</v>
      </c>
      <c r="B218" s="21"/>
      <c r="C218" s="66" t="s">
        <v>51</v>
      </c>
      <c r="D218" s="58">
        <f>D219</f>
        <v>2960.6000000000004</v>
      </c>
      <c r="E218" s="58">
        <f>E219</f>
        <v>2924.8</v>
      </c>
      <c r="F218" s="96">
        <f t="shared" si="5"/>
        <v>98.8</v>
      </c>
    </row>
    <row r="219" spans="1:6" ht="66" x14ac:dyDescent="0.25">
      <c r="A219" s="81">
        <v>290022200</v>
      </c>
      <c r="B219" s="21"/>
      <c r="C219" s="100" t="s">
        <v>266</v>
      </c>
      <c r="D219" s="96">
        <f>SUM(D220:D221)</f>
        <v>2960.6000000000004</v>
      </c>
      <c r="E219" s="96">
        <f>SUM(E220:E221)</f>
        <v>2924.8</v>
      </c>
      <c r="F219" s="96">
        <f t="shared" si="5"/>
        <v>98.8</v>
      </c>
    </row>
    <row r="220" spans="1:6" ht="26.4" x14ac:dyDescent="0.25">
      <c r="A220" s="81">
        <v>290022200</v>
      </c>
      <c r="B220" s="16" t="s">
        <v>68</v>
      </c>
      <c r="C220" s="55" t="s">
        <v>69</v>
      </c>
      <c r="D220" s="96">
        <f>2788.9+116.4</f>
        <v>2905.3</v>
      </c>
      <c r="E220" s="96">
        <v>2875.5</v>
      </c>
      <c r="F220" s="96">
        <f t="shared" si="5"/>
        <v>99</v>
      </c>
    </row>
    <row r="221" spans="1:6" ht="39.6" x14ac:dyDescent="0.25">
      <c r="A221" s="81">
        <v>290022200</v>
      </c>
      <c r="B221" s="84" t="s">
        <v>212</v>
      </c>
      <c r="C221" s="100" t="s">
        <v>213</v>
      </c>
      <c r="D221" s="41">
        <f>61.5-6.2</f>
        <v>55.3</v>
      </c>
      <c r="E221" s="96">
        <v>49.3</v>
      </c>
      <c r="F221" s="96">
        <f t="shared" si="5"/>
        <v>89.2</v>
      </c>
    </row>
    <row r="222" spans="1:6" ht="79.2" x14ac:dyDescent="0.25">
      <c r="A222" s="73" t="s">
        <v>75</v>
      </c>
      <c r="B222" s="16"/>
      <c r="C222" s="194" t="s">
        <v>484</v>
      </c>
      <c r="D222" s="98">
        <f>D223+D238</f>
        <v>34102.9</v>
      </c>
      <c r="E222" s="98">
        <f>E223+E238</f>
        <v>17153.3</v>
      </c>
      <c r="F222" s="58">
        <f t="shared" si="5"/>
        <v>50.3</v>
      </c>
    </row>
    <row r="223" spans="1:6" ht="26.4" x14ac:dyDescent="0.25">
      <c r="A223" s="52" t="s">
        <v>76</v>
      </c>
      <c r="B223" s="16"/>
      <c r="C223" s="48" t="s">
        <v>158</v>
      </c>
      <c r="D223" s="95">
        <f>D224+D227</f>
        <v>32080.899999999998</v>
      </c>
      <c r="E223" s="95">
        <f>E224+E227</f>
        <v>15131.3</v>
      </c>
      <c r="F223" s="96">
        <f t="shared" si="5"/>
        <v>47.2</v>
      </c>
    </row>
    <row r="224" spans="1:6" ht="39.6" x14ac:dyDescent="0.25">
      <c r="A224" s="21" t="s">
        <v>246</v>
      </c>
      <c r="B224" s="16"/>
      <c r="C224" s="102" t="s">
        <v>247</v>
      </c>
      <c r="D224" s="101">
        <f t="shared" ref="D224:E225" si="8">D225</f>
        <v>349</v>
      </c>
      <c r="E224" s="101">
        <f t="shared" si="8"/>
        <v>309</v>
      </c>
      <c r="F224" s="96">
        <f t="shared" si="5"/>
        <v>88.5</v>
      </c>
    </row>
    <row r="225" spans="1:6" ht="39.6" x14ac:dyDescent="0.25">
      <c r="A225" s="84" t="s">
        <v>485</v>
      </c>
      <c r="B225" s="16"/>
      <c r="C225" s="99" t="s">
        <v>159</v>
      </c>
      <c r="D225" s="41">
        <f t="shared" si="8"/>
        <v>349</v>
      </c>
      <c r="E225" s="41">
        <f t="shared" si="8"/>
        <v>309</v>
      </c>
      <c r="F225" s="96">
        <f t="shared" si="5"/>
        <v>88.5</v>
      </c>
    </row>
    <row r="226" spans="1:6" ht="39.6" x14ac:dyDescent="0.25">
      <c r="A226" s="84" t="s">
        <v>485</v>
      </c>
      <c r="B226" s="84" t="s">
        <v>212</v>
      </c>
      <c r="C226" s="100" t="s">
        <v>213</v>
      </c>
      <c r="D226" s="41">
        <f>250+100-1</f>
        <v>349</v>
      </c>
      <c r="E226" s="41">
        <v>309</v>
      </c>
      <c r="F226" s="96">
        <f t="shared" si="5"/>
        <v>88.5</v>
      </c>
    </row>
    <row r="227" spans="1:6" ht="52.5" customHeight="1" x14ac:dyDescent="0.25">
      <c r="A227" s="21" t="s">
        <v>248</v>
      </c>
      <c r="B227" s="84"/>
      <c r="C227" s="102" t="s">
        <v>249</v>
      </c>
      <c r="D227" s="41">
        <f>D228+D230+D232+D236</f>
        <v>31731.899999999998</v>
      </c>
      <c r="E227" s="41">
        <f>E228+E230+E232+E236</f>
        <v>14822.3</v>
      </c>
      <c r="F227" s="96">
        <f t="shared" si="5"/>
        <v>46.7</v>
      </c>
    </row>
    <row r="228" spans="1:6" ht="52.8" x14ac:dyDescent="0.25">
      <c r="A228" s="195" t="s">
        <v>486</v>
      </c>
      <c r="B228" s="16"/>
      <c r="C228" s="99" t="s">
        <v>160</v>
      </c>
      <c r="D228" s="41">
        <f>D229</f>
        <v>237</v>
      </c>
      <c r="E228" s="41">
        <f>E229</f>
        <v>237</v>
      </c>
      <c r="F228" s="96">
        <f t="shared" si="5"/>
        <v>100</v>
      </c>
    </row>
    <row r="229" spans="1:6" ht="39.6" x14ac:dyDescent="0.25">
      <c r="A229" s="195" t="s">
        <v>486</v>
      </c>
      <c r="B229" s="84" t="s">
        <v>212</v>
      </c>
      <c r="C229" s="100" t="s">
        <v>213</v>
      </c>
      <c r="D229" s="41">
        <f>100+50+50+36+1</f>
        <v>237</v>
      </c>
      <c r="E229" s="41">
        <f>100+50+50+36+1</f>
        <v>237</v>
      </c>
      <c r="F229" s="96">
        <f t="shared" si="5"/>
        <v>100</v>
      </c>
    </row>
    <row r="230" spans="1:6" ht="79.2" x14ac:dyDescent="0.25">
      <c r="A230" s="195" t="s">
        <v>487</v>
      </c>
      <c r="B230" s="16"/>
      <c r="C230" s="99" t="s">
        <v>161</v>
      </c>
      <c r="D230" s="41">
        <f>D231</f>
        <v>209</v>
      </c>
      <c r="E230" s="41">
        <f>E231</f>
        <v>209</v>
      </c>
      <c r="F230" s="96">
        <f t="shared" si="5"/>
        <v>100</v>
      </c>
    </row>
    <row r="231" spans="1:6" ht="39.6" x14ac:dyDescent="0.25">
      <c r="A231" s="195" t="s">
        <v>487</v>
      </c>
      <c r="B231" s="84" t="s">
        <v>212</v>
      </c>
      <c r="C231" s="100" t="s">
        <v>213</v>
      </c>
      <c r="D231" s="41">
        <f>110+99</f>
        <v>209</v>
      </c>
      <c r="E231" s="41">
        <f>110+99</f>
        <v>209</v>
      </c>
      <c r="F231" s="96">
        <f t="shared" si="5"/>
        <v>100</v>
      </c>
    </row>
    <row r="232" spans="1:6" ht="39.6" x14ac:dyDescent="0.25">
      <c r="A232" s="195" t="s">
        <v>488</v>
      </c>
      <c r="B232" s="16"/>
      <c r="C232" s="99" t="s">
        <v>162</v>
      </c>
      <c r="D232" s="41">
        <f>SUM(D233:D235)</f>
        <v>29285.899999999998</v>
      </c>
      <c r="E232" s="41">
        <f>SUM(E233:E235)</f>
        <v>12376.3</v>
      </c>
      <c r="F232" s="96">
        <f t="shared" si="5"/>
        <v>42.3</v>
      </c>
    </row>
    <row r="233" spans="1:6" ht="39.6" x14ac:dyDescent="0.25">
      <c r="A233" s="195" t="s">
        <v>488</v>
      </c>
      <c r="B233" s="84" t="s">
        <v>212</v>
      </c>
      <c r="C233" s="100" t="s">
        <v>213</v>
      </c>
      <c r="D233" s="109">
        <f>7420.6+1496+2743.1+363.3-50-100-692.1+200+1800-50-36+180+1497.8+15650+13.8-1497.8</f>
        <v>28938.699999999997</v>
      </c>
      <c r="E233" s="41">
        <v>12029.1</v>
      </c>
      <c r="F233" s="96">
        <f t="shared" si="5"/>
        <v>41.6</v>
      </c>
    </row>
    <row r="234" spans="1:6" x14ac:dyDescent="0.25">
      <c r="A234" s="195" t="s">
        <v>488</v>
      </c>
      <c r="B234" s="84" t="s">
        <v>308</v>
      </c>
      <c r="C234" s="54" t="s">
        <v>309</v>
      </c>
      <c r="D234" s="41">
        <f>0.2+286.2</f>
        <v>286.39999999999998</v>
      </c>
      <c r="E234" s="41">
        <v>286.39999999999998</v>
      </c>
      <c r="F234" s="96">
        <f t="shared" si="5"/>
        <v>100</v>
      </c>
    </row>
    <row r="235" spans="1:6" x14ac:dyDescent="0.25">
      <c r="A235" s="195" t="s">
        <v>488</v>
      </c>
      <c r="B235" s="84" t="s">
        <v>134</v>
      </c>
      <c r="C235" s="100" t="s">
        <v>135</v>
      </c>
      <c r="D235" s="41">
        <v>60.8</v>
      </c>
      <c r="E235" s="158">
        <v>60.8</v>
      </c>
      <c r="F235" s="96">
        <f t="shared" si="5"/>
        <v>100</v>
      </c>
    </row>
    <row r="236" spans="1:6" ht="39.6" x14ac:dyDescent="0.25">
      <c r="A236" s="195" t="s">
        <v>489</v>
      </c>
      <c r="B236" s="84"/>
      <c r="C236" s="100" t="s">
        <v>490</v>
      </c>
      <c r="D236" s="41">
        <f>D237</f>
        <v>2000</v>
      </c>
      <c r="E236" s="41">
        <f t="shared" ref="E236" si="9">E237</f>
        <v>2000</v>
      </c>
      <c r="F236" s="96">
        <f t="shared" si="5"/>
        <v>100</v>
      </c>
    </row>
    <row r="237" spans="1:6" ht="66" x14ac:dyDescent="0.25">
      <c r="A237" s="195" t="s">
        <v>489</v>
      </c>
      <c r="B237" s="83" t="s">
        <v>14</v>
      </c>
      <c r="C237" s="100" t="s">
        <v>380</v>
      </c>
      <c r="D237" s="41">
        <v>2000</v>
      </c>
      <c r="E237" s="41">
        <v>2000</v>
      </c>
      <c r="F237" s="96">
        <f t="shared" si="5"/>
        <v>100</v>
      </c>
    </row>
    <row r="238" spans="1:6" ht="38.25" customHeight="1" x14ac:dyDescent="0.25">
      <c r="A238" s="52" t="s">
        <v>164</v>
      </c>
      <c r="B238" s="16"/>
      <c r="C238" s="48" t="s">
        <v>163</v>
      </c>
      <c r="D238" s="95">
        <f>D239+D242</f>
        <v>2022.0000000000002</v>
      </c>
      <c r="E238" s="95">
        <f>E239+E242</f>
        <v>2022</v>
      </c>
      <c r="F238" s="58">
        <f t="shared" si="5"/>
        <v>100</v>
      </c>
    </row>
    <row r="239" spans="1:6" s="107" customFormat="1" ht="79.2" x14ac:dyDescent="0.25">
      <c r="A239" s="21" t="s">
        <v>250</v>
      </c>
      <c r="B239" s="16"/>
      <c r="C239" s="102" t="s">
        <v>318</v>
      </c>
      <c r="D239" s="41">
        <f t="shared" ref="D239:E240" si="10">D240</f>
        <v>200</v>
      </c>
      <c r="E239" s="41">
        <f t="shared" si="10"/>
        <v>200</v>
      </c>
      <c r="F239" s="96">
        <f t="shared" si="5"/>
        <v>100</v>
      </c>
    </row>
    <row r="240" spans="1:6" ht="53.4" x14ac:dyDescent="0.3">
      <c r="A240" s="21" t="s">
        <v>522</v>
      </c>
      <c r="B240" s="30"/>
      <c r="C240" s="99" t="s">
        <v>165</v>
      </c>
      <c r="D240" s="41">
        <f t="shared" si="10"/>
        <v>200</v>
      </c>
      <c r="E240" s="41">
        <f t="shared" si="10"/>
        <v>200</v>
      </c>
      <c r="F240" s="96">
        <f t="shared" si="5"/>
        <v>100</v>
      </c>
    </row>
    <row r="241" spans="1:6" ht="39.6" x14ac:dyDescent="0.25">
      <c r="A241" s="21" t="s">
        <v>522</v>
      </c>
      <c r="B241" s="84" t="s">
        <v>212</v>
      </c>
      <c r="C241" s="100" t="s">
        <v>213</v>
      </c>
      <c r="D241" s="39">
        <v>200</v>
      </c>
      <c r="E241" s="39">
        <v>200</v>
      </c>
      <c r="F241" s="96">
        <f t="shared" si="5"/>
        <v>100</v>
      </c>
    </row>
    <row r="242" spans="1:6" ht="26.4" x14ac:dyDescent="0.25">
      <c r="A242" s="21" t="s">
        <v>357</v>
      </c>
      <c r="B242" s="84"/>
      <c r="C242" s="102" t="s">
        <v>354</v>
      </c>
      <c r="D242" s="41">
        <f>D243+D245</f>
        <v>1822.0000000000002</v>
      </c>
      <c r="E242" s="41">
        <f>E243+E245</f>
        <v>1822</v>
      </c>
      <c r="F242" s="96">
        <f t="shared" si="5"/>
        <v>100</v>
      </c>
    </row>
    <row r="243" spans="1:6" ht="40.200000000000003" x14ac:dyDescent="0.3">
      <c r="A243" s="84" t="s">
        <v>523</v>
      </c>
      <c r="B243" s="30"/>
      <c r="C243" s="99" t="s">
        <v>168</v>
      </c>
      <c r="D243" s="41">
        <f t="shared" ref="D243:E243" si="11">D244</f>
        <v>22.2</v>
      </c>
      <c r="E243" s="41">
        <f t="shared" si="11"/>
        <v>22.2</v>
      </c>
      <c r="F243" s="96">
        <f t="shared" si="5"/>
        <v>100</v>
      </c>
    </row>
    <row r="244" spans="1:6" ht="39.6" x14ac:dyDescent="0.25">
      <c r="A244" s="84" t="s">
        <v>523</v>
      </c>
      <c r="B244" s="84" t="s">
        <v>212</v>
      </c>
      <c r="C244" s="100" t="s">
        <v>213</v>
      </c>
      <c r="D244" s="41">
        <f>36-13.8</f>
        <v>22.2</v>
      </c>
      <c r="E244" s="41">
        <f>36-13.8</f>
        <v>22.2</v>
      </c>
      <c r="F244" s="96">
        <f t="shared" si="5"/>
        <v>100</v>
      </c>
    </row>
    <row r="245" spans="1:6" ht="39.6" x14ac:dyDescent="0.25">
      <c r="A245" s="84" t="s">
        <v>393</v>
      </c>
      <c r="B245" s="84"/>
      <c r="C245" s="100" t="s">
        <v>394</v>
      </c>
      <c r="D245" s="109">
        <f>D246</f>
        <v>1799.8000000000002</v>
      </c>
      <c r="E245" s="109">
        <f>E246</f>
        <v>1799.8</v>
      </c>
      <c r="F245" s="58">
        <f t="shared" si="5"/>
        <v>100</v>
      </c>
    </row>
    <row r="246" spans="1:6" ht="39.6" x14ac:dyDescent="0.25">
      <c r="A246" s="84" t="s">
        <v>393</v>
      </c>
      <c r="B246" s="84" t="s">
        <v>212</v>
      </c>
      <c r="C246" s="100" t="s">
        <v>213</v>
      </c>
      <c r="D246" s="109">
        <f>1698.4+101.4</f>
        <v>1799.8000000000002</v>
      </c>
      <c r="E246" s="101">
        <v>1799.8</v>
      </c>
      <c r="F246" s="96">
        <f t="shared" si="5"/>
        <v>100</v>
      </c>
    </row>
    <row r="247" spans="1:6" ht="77.25" customHeight="1" x14ac:dyDescent="0.3">
      <c r="A247" s="76">
        <v>400000000</v>
      </c>
      <c r="B247" s="30"/>
      <c r="C247" s="196" t="s">
        <v>503</v>
      </c>
      <c r="D247" s="98">
        <f>D248+D268+D281</f>
        <v>32403.3</v>
      </c>
      <c r="E247" s="98">
        <f>E248+E268+E281</f>
        <v>31095.1</v>
      </c>
      <c r="F247" s="62">
        <f t="shared" si="5"/>
        <v>96</v>
      </c>
    </row>
    <row r="248" spans="1:6" ht="53.4" x14ac:dyDescent="0.3">
      <c r="A248" s="75">
        <v>410000000</v>
      </c>
      <c r="B248" s="30"/>
      <c r="C248" s="46" t="s">
        <v>504</v>
      </c>
      <c r="D248" s="95">
        <f>D249+D252+D257</f>
        <v>2230.5</v>
      </c>
      <c r="E248" s="95">
        <f>E249+E252+E257</f>
        <v>2230.5</v>
      </c>
      <c r="F248" s="58">
        <f t="shared" si="5"/>
        <v>100</v>
      </c>
    </row>
    <row r="249" spans="1:6" ht="40.200000000000003" x14ac:dyDescent="0.3">
      <c r="A249" s="74">
        <v>410100000</v>
      </c>
      <c r="B249" s="30"/>
      <c r="C249" s="99" t="s">
        <v>505</v>
      </c>
      <c r="D249" s="95">
        <f t="shared" ref="D249:E250" si="12">D250</f>
        <v>423.5</v>
      </c>
      <c r="E249" s="95">
        <f t="shared" si="12"/>
        <v>423.5</v>
      </c>
      <c r="F249" s="96">
        <f t="shared" si="5"/>
        <v>100</v>
      </c>
    </row>
    <row r="250" spans="1:6" ht="26.4" x14ac:dyDescent="0.25">
      <c r="A250" s="195" t="s">
        <v>797</v>
      </c>
      <c r="B250" s="16"/>
      <c r="C250" s="102" t="s">
        <v>170</v>
      </c>
      <c r="D250" s="39">
        <f t="shared" si="12"/>
        <v>423.5</v>
      </c>
      <c r="E250" s="39">
        <f t="shared" si="12"/>
        <v>423.5</v>
      </c>
      <c r="F250" s="96">
        <f t="shared" si="5"/>
        <v>100</v>
      </c>
    </row>
    <row r="251" spans="1:6" ht="39.6" x14ac:dyDescent="0.25">
      <c r="A251" s="195" t="s">
        <v>797</v>
      </c>
      <c r="B251" s="84" t="s">
        <v>212</v>
      </c>
      <c r="C251" s="100" t="s">
        <v>213</v>
      </c>
      <c r="D251" s="39">
        <f>600-176.5</f>
        <v>423.5</v>
      </c>
      <c r="E251" s="41">
        <v>423.5</v>
      </c>
      <c r="F251" s="96">
        <f t="shared" si="5"/>
        <v>100</v>
      </c>
    </row>
    <row r="252" spans="1:6" ht="53.4" x14ac:dyDescent="0.3">
      <c r="A252" s="74">
        <v>410200000</v>
      </c>
      <c r="B252" s="30"/>
      <c r="C252" s="99" t="s">
        <v>746</v>
      </c>
      <c r="D252" s="39">
        <f>D253+D255</f>
        <v>120</v>
      </c>
      <c r="E252" s="39">
        <f>E253+E255</f>
        <v>120</v>
      </c>
      <c r="F252" s="96">
        <f t="shared" si="5"/>
        <v>100</v>
      </c>
    </row>
    <row r="253" spans="1:6" ht="66" x14ac:dyDescent="0.25">
      <c r="A253" s="195" t="s">
        <v>524</v>
      </c>
      <c r="B253" s="84"/>
      <c r="C253" s="100" t="s">
        <v>525</v>
      </c>
      <c r="D253" s="39">
        <f t="shared" ref="D253:E253" si="13">D254</f>
        <v>100</v>
      </c>
      <c r="E253" s="39">
        <f t="shared" si="13"/>
        <v>100</v>
      </c>
      <c r="F253" s="96">
        <f t="shared" si="5"/>
        <v>100</v>
      </c>
    </row>
    <row r="254" spans="1:6" ht="39.6" x14ac:dyDescent="0.25">
      <c r="A254" s="195" t="s">
        <v>524</v>
      </c>
      <c r="B254" s="84" t="s">
        <v>212</v>
      </c>
      <c r="C254" s="100" t="s">
        <v>213</v>
      </c>
      <c r="D254" s="39">
        <f>50+50</f>
        <v>100</v>
      </c>
      <c r="E254" s="158">
        <v>100</v>
      </c>
      <c r="F254" s="96">
        <f t="shared" si="5"/>
        <v>100</v>
      </c>
    </row>
    <row r="255" spans="1:6" ht="26.4" x14ac:dyDescent="0.25">
      <c r="A255" s="195" t="s">
        <v>526</v>
      </c>
      <c r="B255" s="84"/>
      <c r="C255" s="100" t="s">
        <v>527</v>
      </c>
      <c r="D255" s="39">
        <f>D256</f>
        <v>20</v>
      </c>
      <c r="E255" s="41">
        <f t="shared" ref="E255" si="14">E256</f>
        <v>20</v>
      </c>
      <c r="F255" s="96">
        <f t="shared" si="5"/>
        <v>100</v>
      </c>
    </row>
    <row r="256" spans="1:6" ht="39.6" x14ac:dyDescent="0.25">
      <c r="A256" s="195" t="s">
        <v>526</v>
      </c>
      <c r="B256" s="84" t="s">
        <v>212</v>
      </c>
      <c r="C256" s="100" t="s">
        <v>213</v>
      </c>
      <c r="D256" s="39">
        <v>20</v>
      </c>
      <c r="E256" s="41">
        <v>20</v>
      </c>
      <c r="F256" s="96">
        <f t="shared" si="5"/>
        <v>100</v>
      </c>
    </row>
    <row r="257" spans="1:6" ht="39.6" x14ac:dyDescent="0.25">
      <c r="A257" s="195" t="s">
        <v>747</v>
      </c>
      <c r="B257" s="84"/>
      <c r="C257" s="99" t="s">
        <v>748</v>
      </c>
      <c r="D257" s="39">
        <f>D258+D260+D262+D264+D266</f>
        <v>1687</v>
      </c>
      <c r="E257" s="39">
        <f>E258+E260+E262+E264+E266</f>
        <v>1687</v>
      </c>
      <c r="F257" s="96">
        <f t="shared" si="5"/>
        <v>100</v>
      </c>
    </row>
    <row r="258" spans="1:6" ht="52.8" x14ac:dyDescent="0.25">
      <c r="A258" s="195" t="s">
        <v>528</v>
      </c>
      <c r="B258" s="84"/>
      <c r="C258" s="100" t="s">
        <v>529</v>
      </c>
      <c r="D258" s="39">
        <f>D259</f>
        <v>99.4</v>
      </c>
      <c r="E258" s="39">
        <f>E259</f>
        <v>99.4</v>
      </c>
      <c r="F258" s="96">
        <f t="shared" si="5"/>
        <v>100</v>
      </c>
    </row>
    <row r="259" spans="1:6" ht="64.5" customHeight="1" x14ac:dyDescent="0.25">
      <c r="A259" s="195" t="s">
        <v>528</v>
      </c>
      <c r="B259" s="16" t="s">
        <v>14</v>
      </c>
      <c r="C259" s="100" t="s">
        <v>380</v>
      </c>
      <c r="D259" s="39">
        <f>100-0.6</f>
        <v>99.4</v>
      </c>
      <c r="E259" s="41">
        <v>99.4</v>
      </c>
      <c r="F259" s="96">
        <f t="shared" si="5"/>
        <v>100</v>
      </c>
    </row>
    <row r="260" spans="1:6" ht="66" x14ac:dyDescent="0.25">
      <c r="A260" s="195" t="s">
        <v>530</v>
      </c>
      <c r="B260" s="84"/>
      <c r="C260" s="100" t="s">
        <v>531</v>
      </c>
      <c r="D260" s="39">
        <f>D261</f>
        <v>499.5</v>
      </c>
      <c r="E260" s="39">
        <f>E261</f>
        <v>499.5</v>
      </c>
      <c r="F260" s="96">
        <f t="shared" si="5"/>
        <v>100</v>
      </c>
    </row>
    <row r="261" spans="1:6" ht="36.75" customHeight="1" x14ac:dyDescent="0.25">
      <c r="A261" s="195" t="s">
        <v>530</v>
      </c>
      <c r="B261" s="16" t="s">
        <v>14</v>
      </c>
      <c r="C261" s="100" t="s">
        <v>380</v>
      </c>
      <c r="D261" s="39">
        <f>500-0.5</f>
        <v>499.5</v>
      </c>
      <c r="E261" s="39">
        <v>499.5</v>
      </c>
      <c r="F261" s="96">
        <f t="shared" si="5"/>
        <v>100</v>
      </c>
    </row>
    <row r="262" spans="1:6" ht="92.4" x14ac:dyDescent="0.25">
      <c r="A262" s="195" t="s">
        <v>532</v>
      </c>
      <c r="B262" s="84"/>
      <c r="C262" s="100" t="s">
        <v>533</v>
      </c>
      <c r="D262" s="39">
        <f>D263</f>
        <v>100</v>
      </c>
      <c r="E262" s="39">
        <f>E263</f>
        <v>100</v>
      </c>
      <c r="F262" s="96">
        <f t="shared" si="5"/>
        <v>100</v>
      </c>
    </row>
    <row r="263" spans="1:6" ht="66" x14ac:dyDescent="0.25">
      <c r="A263" s="195" t="s">
        <v>532</v>
      </c>
      <c r="B263" s="16" t="s">
        <v>14</v>
      </c>
      <c r="C263" s="100" t="s">
        <v>380</v>
      </c>
      <c r="D263" s="39">
        <v>100</v>
      </c>
      <c r="E263" s="158">
        <v>100</v>
      </c>
      <c r="F263" s="96">
        <f t="shared" si="5"/>
        <v>100</v>
      </c>
    </row>
    <row r="264" spans="1:6" ht="81.75" customHeight="1" x14ac:dyDescent="0.25">
      <c r="A264" s="195" t="s">
        <v>534</v>
      </c>
      <c r="B264" s="84"/>
      <c r="C264" s="100" t="s">
        <v>535</v>
      </c>
      <c r="D264" s="39">
        <f>D265</f>
        <v>700</v>
      </c>
      <c r="E264" s="39">
        <f>E265</f>
        <v>700</v>
      </c>
      <c r="F264" s="96">
        <f t="shared" ref="F264:F297" si="15">ROUND((E264/D264*100),1)</f>
        <v>100</v>
      </c>
    </row>
    <row r="265" spans="1:6" ht="66" x14ac:dyDescent="0.25">
      <c r="A265" s="195" t="s">
        <v>534</v>
      </c>
      <c r="B265" s="16" t="s">
        <v>14</v>
      </c>
      <c r="C265" s="100" t="s">
        <v>380</v>
      </c>
      <c r="D265" s="39">
        <v>700</v>
      </c>
      <c r="E265" s="41">
        <v>700</v>
      </c>
      <c r="F265" s="96">
        <f t="shared" si="15"/>
        <v>100</v>
      </c>
    </row>
    <row r="266" spans="1:6" ht="79.2" x14ac:dyDescent="0.25">
      <c r="A266" s="195" t="s">
        <v>536</v>
      </c>
      <c r="B266" s="16"/>
      <c r="C266" s="100" t="s">
        <v>537</v>
      </c>
      <c r="D266" s="39">
        <f>D267</f>
        <v>288.10000000000002</v>
      </c>
      <c r="E266" s="39">
        <f>E267</f>
        <v>288.10000000000002</v>
      </c>
      <c r="F266" s="96">
        <f t="shared" si="15"/>
        <v>100</v>
      </c>
    </row>
    <row r="267" spans="1:6" ht="66" x14ac:dyDescent="0.25">
      <c r="A267" s="195" t="s">
        <v>536</v>
      </c>
      <c r="B267" s="16" t="s">
        <v>14</v>
      </c>
      <c r="C267" s="100" t="s">
        <v>380</v>
      </c>
      <c r="D267" s="39">
        <f>300-11.9</f>
        <v>288.10000000000002</v>
      </c>
      <c r="E267" s="39">
        <f>300-11.9</f>
        <v>288.10000000000002</v>
      </c>
      <c r="F267" s="96">
        <f t="shared" si="15"/>
        <v>100</v>
      </c>
    </row>
    <row r="268" spans="1:6" ht="53.4" x14ac:dyDescent="0.3">
      <c r="A268" s="75">
        <v>420000000</v>
      </c>
      <c r="B268" s="30"/>
      <c r="C268" s="46" t="s">
        <v>233</v>
      </c>
      <c r="D268" s="95">
        <f>D269+D276</f>
        <v>3808.5</v>
      </c>
      <c r="E268" s="95">
        <f>E269+E276</f>
        <v>3807.5</v>
      </c>
      <c r="F268" s="58">
        <f t="shared" si="15"/>
        <v>100</v>
      </c>
    </row>
    <row r="269" spans="1:6" ht="105.6" x14ac:dyDescent="0.25">
      <c r="A269" s="74">
        <v>420100000</v>
      </c>
      <c r="B269" s="16"/>
      <c r="C269" s="99" t="s">
        <v>761</v>
      </c>
      <c r="D269" s="41">
        <f>D270+D272+D274</f>
        <v>2796.4</v>
      </c>
      <c r="E269" s="41">
        <f>E270+E272+E274</f>
        <v>2796.4</v>
      </c>
      <c r="F269" s="96">
        <f t="shared" si="15"/>
        <v>100</v>
      </c>
    </row>
    <row r="270" spans="1:6" ht="39.6" x14ac:dyDescent="0.25">
      <c r="A270" s="74" t="s">
        <v>314</v>
      </c>
      <c r="B270" s="16"/>
      <c r="C270" s="100" t="s">
        <v>370</v>
      </c>
      <c r="D270" s="41">
        <f>D271</f>
        <v>600</v>
      </c>
      <c r="E270" s="41">
        <f>E271</f>
        <v>600</v>
      </c>
      <c r="F270" s="96">
        <f t="shared" si="15"/>
        <v>100</v>
      </c>
    </row>
    <row r="271" spans="1:6" ht="66" x14ac:dyDescent="0.25">
      <c r="A271" s="74" t="s">
        <v>314</v>
      </c>
      <c r="B271" s="16" t="s">
        <v>23</v>
      </c>
      <c r="C271" s="102" t="s">
        <v>376</v>
      </c>
      <c r="D271" s="41">
        <f>300+300</f>
        <v>600</v>
      </c>
      <c r="E271" s="41">
        <f>300+300</f>
        <v>600</v>
      </c>
      <c r="F271" s="96">
        <f t="shared" si="15"/>
        <v>100</v>
      </c>
    </row>
    <row r="272" spans="1:6" ht="66" x14ac:dyDescent="0.25">
      <c r="A272" s="74">
        <v>420123230</v>
      </c>
      <c r="B272" s="16"/>
      <c r="C272" s="102" t="s">
        <v>737</v>
      </c>
      <c r="D272" s="41">
        <f>D273</f>
        <v>1300</v>
      </c>
      <c r="E272" s="41">
        <f>E273</f>
        <v>1300</v>
      </c>
      <c r="F272" s="96">
        <f t="shared" si="15"/>
        <v>100</v>
      </c>
    </row>
    <row r="273" spans="1:6" ht="39.6" x14ac:dyDescent="0.25">
      <c r="A273" s="74">
        <v>420123230</v>
      </c>
      <c r="B273" s="84" t="s">
        <v>212</v>
      </c>
      <c r="C273" s="100" t="s">
        <v>213</v>
      </c>
      <c r="D273" s="41">
        <f>1290+10</f>
        <v>1300</v>
      </c>
      <c r="E273" s="41">
        <f>1290+10</f>
        <v>1300</v>
      </c>
      <c r="F273" s="96">
        <f t="shared" si="15"/>
        <v>100</v>
      </c>
    </row>
    <row r="274" spans="1:6" ht="39.6" x14ac:dyDescent="0.25">
      <c r="A274" s="74">
        <v>420110320</v>
      </c>
      <c r="B274" s="148"/>
      <c r="C274" s="191" t="s">
        <v>738</v>
      </c>
      <c r="D274" s="41">
        <f>D275</f>
        <v>896.4</v>
      </c>
      <c r="E274" s="41">
        <f>E275</f>
        <v>896.4</v>
      </c>
      <c r="F274" s="96">
        <f t="shared" si="15"/>
        <v>100</v>
      </c>
    </row>
    <row r="275" spans="1:6" ht="66" x14ac:dyDescent="0.25">
      <c r="A275" s="74">
        <v>420110320</v>
      </c>
      <c r="B275" s="16" t="s">
        <v>23</v>
      </c>
      <c r="C275" s="102" t="s">
        <v>376</v>
      </c>
      <c r="D275" s="41">
        <v>896.4</v>
      </c>
      <c r="E275" s="41">
        <v>896.4</v>
      </c>
      <c r="F275" s="96">
        <f t="shared" si="15"/>
        <v>100</v>
      </c>
    </row>
    <row r="276" spans="1:6" ht="118.8" x14ac:dyDescent="0.25">
      <c r="A276" s="74">
        <v>420200000</v>
      </c>
      <c r="B276" s="16"/>
      <c r="C276" s="99" t="s">
        <v>762</v>
      </c>
      <c r="D276" s="41">
        <f>D277+D279</f>
        <v>1012.0999999999999</v>
      </c>
      <c r="E276" s="41">
        <f>E277+E279</f>
        <v>1011.0999999999999</v>
      </c>
      <c r="F276" s="58">
        <f t="shared" si="15"/>
        <v>99.9</v>
      </c>
    </row>
    <row r="277" spans="1:6" ht="62.25" customHeight="1" x14ac:dyDescent="0.3">
      <c r="A277" s="74">
        <v>420223235</v>
      </c>
      <c r="B277" s="30"/>
      <c r="C277" s="100" t="s">
        <v>739</v>
      </c>
      <c r="D277" s="41">
        <f>D278</f>
        <v>575.29999999999995</v>
      </c>
      <c r="E277" s="41">
        <f>E278</f>
        <v>575.29999999999995</v>
      </c>
      <c r="F277" s="96">
        <f t="shared" si="15"/>
        <v>100</v>
      </c>
    </row>
    <row r="278" spans="1:6" ht="39.6" x14ac:dyDescent="0.25">
      <c r="A278" s="74">
        <v>420223235</v>
      </c>
      <c r="B278" s="84" t="s">
        <v>212</v>
      </c>
      <c r="C278" s="100" t="s">
        <v>213</v>
      </c>
      <c r="D278" s="41">
        <v>575.29999999999995</v>
      </c>
      <c r="E278" s="41">
        <v>575.29999999999995</v>
      </c>
      <c r="F278" s="96">
        <f t="shared" si="15"/>
        <v>100</v>
      </c>
    </row>
    <row r="279" spans="1:6" ht="52.8" x14ac:dyDescent="0.25">
      <c r="A279" s="74">
        <v>420223240</v>
      </c>
      <c r="B279" s="84"/>
      <c r="C279" s="100" t="s">
        <v>740</v>
      </c>
      <c r="D279" s="41">
        <f>D280</f>
        <v>436.8</v>
      </c>
      <c r="E279" s="41">
        <f>E280</f>
        <v>435.8</v>
      </c>
      <c r="F279" s="96">
        <f t="shared" si="15"/>
        <v>99.8</v>
      </c>
    </row>
    <row r="280" spans="1:6" ht="39.6" x14ac:dyDescent="0.25">
      <c r="A280" s="74">
        <v>420223240</v>
      </c>
      <c r="B280" s="84" t="s">
        <v>212</v>
      </c>
      <c r="C280" s="100" t="s">
        <v>213</v>
      </c>
      <c r="D280" s="41">
        <v>436.8</v>
      </c>
      <c r="E280" s="101">
        <v>435.8</v>
      </c>
      <c r="F280" s="96">
        <f t="shared" si="15"/>
        <v>99.8</v>
      </c>
    </row>
    <row r="281" spans="1:6" ht="132" x14ac:dyDescent="0.25">
      <c r="A281" s="75">
        <v>430000000</v>
      </c>
      <c r="B281" s="16"/>
      <c r="C281" s="121" t="s">
        <v>605</v>
      </c>
      <c r="D281" s="95">
        <f>D282+D287</f>
        <v>26364.3</v>
      </c>
      <c r="E281" s="95">
        <f>E282+E287</f>
        <v>25057.1</v>
      </c>
      <c r="F281" s="58">
        <f t="shared" si="15"/>
        <v>95</v>
      </c>
    </row>
    <row r="282" spans="1:6" ht="53.4" x14ac:dyDescent="0.3">
      <c r="A282" s="74">
        <v>430100000</v>
      </c>
      <c r="B282" s="30"/>
      <c r="C282" s="99" t="s">
        <v>234</v>
      </c>
      <c r="D282" s="101">
        <f>D283+D285</f>
        <v>1409.1000000000001</v>
      </c>
      <c r="E282" s="101">
        <f>E283+E285</f>
        <v>1367</v>
      </c>
      <c r="F282" s="96">
        <f t="shared" si="15"/>
        <v>97</v>
      </c>
    </row>
    <row r="283" spans="1:6" ht="51" customHeight="1" x14ac:dyDescent="0.25">
      <c r="A283" s="80">
        <v>430127310</v>
      </c>
      <c r="B283" s="16"/>
      <c r="C283" s="100" t="s">
        <v>344</v>
      </c>
      <c r="D283" s="41">
        <f>D284</f>
        <v>1228.2</v>
      </c>
      <c r="E283" s="41">
        <f t="shared" ref="E283" si="16">E284</f>
        <v>1228.2</v>
      </c>
      <c r="F283" s="96">
        <f t="shared" si="15"/>
        <v>100</v>
      </c>
    </row>
    <row r="284" spans="1:6" ht="66" x14ac:dyDescent="0.25">
      <c r="A284" s="80">
        <v>430127310</v>
      </c>
      <c r="B284" s="16" t="s">
        <v>14</v>
      </c>
      <c r="C284" s="100" t="s">
        <v>331</v>
      </c>
      <c r="D284" s="41">
        <f>1000+235.4-7.2</f>
        <v>1228.2</v>
      </c>
      <c r="E284" s="41">
        <f>1000+235.4-7.2</f>
        <v>1228.2</v>
      </c>
      <c r="F284" s="96">
        <f t="shared" si="15"/>
        <v>100</v>
      </c>
    </row>
    <row r="285" spans="1:6" ht="105.6" x14ac:dyDescent="0.25">
      <c r="A285" s="80">
        <v>430127320</v>
      </c>
      <c r="B285" s="16"/>
      <c r="C285" s="100" t="s">
        <v>606</v>
      </c>
      <c r="D285" s="41">
        <f>D286</f>
        <v>180.9</v>
      </c>
      <c r="E285" s="41">
        <f>E286</f>
        <v>138.80000000000001</v>
      </c>
      <c r="F285" s="96">
        <f t="shared" si="15"/>
        <v>76.7</v>
      </c>
    </row>
    <row r="286" spans="1:6" ht="66" x14ac:dyDescent="0.25">
      <c r="A286" s="80">
        <v>430127320</v>
      </c>
      <c r="B286" s="16" t="s">
        <v>14</v>
      </c>
      <c r="C286" s="100" t="s">
        <v>331</v>
      </c>
      <c r="D286" s="41">
        <v>180.9</v>
      </c>
      <c r="E286" s="41">
        <v>138.80000000000001</v>
      </c>
      <c r="F286" s="96">
        <f t="shared" si="15"/>
        <v>76.7</v>
      </c>
    </row>
    <row r="287" spans="1:6" ht="39.6" x14ac:dyDescent="0.25">
      <c r="A287" s="74">
        <v>430200000</v>
      </c>
      <c r="B287" s="84"/>
      <c r="C287" s="99" t="s">
        <v>298</v>
      </c>
      <c r="D287" s="41">
        <f t="shared" ref="D287:E288" si="17">D288</f>
        <v>24955.200000000001</v>
      </c>
      <c r="E287" s="41">
        <f t="shared" si="17"/>
        <v>23690.1</v>
      </c>
      <c r="F287" s="96">
        <f t="shared" si="15"/>
        <v>94.9</v>
      </c>
    </row>
    <row r="288" spans="1:6" ht="52.8" x14ac:dyDescent="0.25">
      <c r="A288" s="74">
        <v>430227330</v>
      </c>
      <c r="B288" s="16"/>
      <c r="C288" s="100" t="s">
        <v>171</v>
      </c>
      <c r="D288" s="41">
        <f t="shared" si="17"/>
        <v>24955.200000000001</v>
      </c>
      <c r="E288" s="41">
        <f t="shared" si="17"/>
        <v>23690.1</v>
      </c>
      <c r="F288" s="96">
        <f t="shared" si="15"/>
        <v>94.9</v>
      </c>
    </row>
    <row r="289" spans="1:7" ht="63" customHeight="1" x14ac:dyDescent="0.25">
      <c r="A289" s="74">
        <v>430227330</v>
      </c>
      <c r="B289" s="16" t="s">
        <v>14</v>
      </c>
      <c r="C289" s="100" t="s">
        <v>331</v>
      </c>
      <c r="D289" s="39">
        <f>12819.1-2000+14136.1</f>
        <v>24955.200000000001</v>
      </c>
      <c r="E289" s="41">
        <v>23690.1</v>
      </c>
      <c r="F289" s="96">
        <f t="shared" si="15"/>
        <v>94.9</v>
      </c>
      <c r="G289" s="106"/>
    </row>
    <row r="290" spans="1:7" ht="79.2" x14ac:dyDescent="0.25">
      <c r="A290" s="73" t="s">
        <v>154</v>
      </c>
      <c r="B290" s="16"/>
      <c r="C290" s="196" t="s">
        <v>542</v>
      </c>
      <c r="D290" s="98">
        <f>D291+D299+D306</f>
        <v>6584.4</v>
      </c>
      <c r="E290" s="98">
        <f>E291+E299+E306</f>
        <v>4308.5</v>
      </c>
      <c r="F290" s="62">
        <f t="shared" si="15"/>
        <v>65.400000000000006</v>
      </c>
    </row>
    <row r="291" spans="1:7" ht="39.6" x14ac:dyDescent="0.25">
      <c r="A291" s="52" t="s">
        <v>150</v>
      </c>
      <c r="B291" s="16"/>
      <c r="C291" s="48" t="s">
        <v>302</v>
      </c>
      <c r="D291" s="95">
        <f>D292+D296</f>
        <v>1702.4999999999998</v>
      </c>
      <c r="E291" s="95">
        <f>E292+E296</f>
        <v>1625.3999999999999</v>
      </c>
      <c r="F291" s="58">
        <f t="shared" si="15"/>
        <v>95.5</v>
      </c>
    </row>
    <row r="292" spans="1:7" ht="39.6" x14ac:dyDescent="0.25">
      <c r="A292" s="21" t="s">
        <v>267</v>
      </c>
      <c r="B292" s="16"/>
      <c r="C292" s="102" t="s">
        <v>269</v>
      </c>
      <c r="D292" s="95">
        <f>D293</f>
        <v>1151.6999999999998</v>
      </c>
      <c r="E292" s="95">
        <f>E293</f>
        <v>1074.5999999999999</v>
      </c>
      <c r="F292" s="96">
        <f t="shared" si="15"/>
        <v>93.3</v>
      </c>
      <c r="G292" s="106"/>
    </row>
    <row r="293" spans="1:7" ht="39.6" x14ac:dyDescent="0.3">
      <c r="A293" s="202" t="s">
        <v>543</v>
      </c>
      <c r="B293" s="3"/>
      <c r="C293" s="100" t="s">
        <v>268</v>
      </c>
      <c r="D293" s="41">
        <f>SUM(D294:D295)</f>
        <v>1151.6999999999998</v>
      </c>
      <c r="E293" s="41">
        <f>SUM(E294:E295)</f>
        <v>1074.5999999999999</v>
      </c>
      <c r="F293" s="96">
        <f t="shared" si="15"/>
        <v>93.3</v>
      </c>
      <c r="G293" s="106"/>
    </row>
    <row r="294" spans="1:7" ht="39.6" x14ac:dyDescent="0.25">
      <c r="A294" s="202" t="s">
        <v>543</v>
      </c>
      <c r="B294" s="84" t="s">
        <v>212</v>
      </c>
      <c r="C294" s="100" t="s">
        <v>213</v>
      </c>
      <c r="D294" s="41">
        <f>150+892.1-4-2+11.6+155.2-4.8-53.4</f>
        <v>1144.6999999999998</v>
      </c>
      <c r="E294" s="96">
        <v>1067.5999999999999</v>
      </c>
      <c r="F294" s="96">
        <f t="shared" si="15"/>
        <v>93.3</v>
      </c>
      <c r="G294" s="106"/>
    </row>
    <row r="295" spans="1:7" x14ac:dyDescent="0.25">
      <c r="A295" s="202" t="s">
        <v>543</v>
      </c>
      <c r="B295" s="84" t="s">
        <v>308</v>
      </c>
      <c r="C295" s="100" t="s">
        <v>309</v>
      </c>
      <c r="D295" s="41">
        <f>4+2+1</f>
        <v>7</v>
      </c>
      <c r="E295" s="96">
        <v>7</v>
      </c>
      <c r="F295" s="96">
        <f t="shared" si="15"/>
        <v>100</v>
      </c>
      <c r="G295" s="106"/>
    </row>
    <row r="296" spans="1:7" ht="39.6" x14ac:dyDescent="0.25">
      <c r="A296" s="21" t="s">
        <v>303</v>
      </c>
      <c r="B296" s="16"/>
      <c r="C296" s="102" t="s">
        <v>270</v>
      </c>
      <c r="D296" s="95">
        <f>D297</f>
        <v>550.79999999999995</v>
      </c>
      <c r="E296" s="41">
        <f>E297</f>
        <v>550.79999999999995</v>
      </c>
      <c r="F296" s="96">
        <f t="shared" si="15"/>
        <v>100</v>
      </c>
      <c r="G296" s="106"/>
    </row>
    <row r="297" spans="1:7" ht="26.4" x14ac:dyDescent="0.3">
      <c r="A297" s="21" t="s">
        <v>544</v>
      </c>
      <c r="B297" s="3"/>
      <c r="C297" s="100" t="s">
        <v>352</v>
      </c>
      <c r="D297" s="41">
        <f>D298</f>
        <v>550.79999999999995</v>
      </c>
      <c r="E297" s="41">
        <f>E298</f>
        <v>550.79999999999995</v>
      </c>
      <c r="F297" s="96">
        <f t="shared" si="15"/>
        <v>100</v>
      </c>
      <c r="G297" s="106"/>
    </row>
    <row r="298" spans="1:7" ht="39.6" x14ac:dyDescent="0.25">
      <c r="A298" s="21" t="s">
        <v>544</v>
      </c>
      <c r="B298" s="84" t="s">
        <v>212</v>
      </c>
      <c r="C298" s="100" t="s">
        <v>213</v>
      </c>
      <c r="D298" s="39">
        <f>697.9+8.1-155.2</f>
        <v>550.79999999999995</v>
      </c>
      <c r="E298" s="92">
        <v>550.79999999999995</v>
      </c>
      <c r="F298" s="96">
        <f>ROUND((прил.5!I237/D298*100),1)</f>
        <v>100</v>
      </c>
      <c r="G298" s="106"/>
    </row>
    <row r="299" spans="1:7" ht="39.6" x14ac:dyDescent="0.25">
      <c r="A299" s="52" t="s">
        <v>151</v>
      </c>
      <c r="B299" s="16"/>
      <c r="C299" s="48" t="s">
        <v>148</v>
      </c>
      <c r="D299" s="95">
        <f>D300+D303</f>
        <v>1262.9000000000001</v>
      </c>
      <c r="E299" s="95">
        <f>E300+E303</f>
        <v>1050</v>
      </c>
      <c r="F299" s="58">
        <f t="shared" ref="F299:F312" si="18">ROUND((E299/D299*100),1)</f>
        <v>83.1</v>
      </c>
      <c r="G299" s="106"/>
    </row>
    <row r="300" spans="1:7" ht="26.4" x14ac:dyDescent="0.25">
      <c r="A300" s="21" t="s">
        <v>271</v>
      </c>
      <c r="B300" s="84"/>
      <c r="C300" s="102" t="s">
        <v>272</v>
      </c>
      <c r="D300" s="95">
        <f>D301</f>
        <v>200</v>
      </c>
      <c r="E300" s="95">
        <f>E301</f>
        <v>0</v>
      </c>
      <c r="F300" s="58">
        <f t="shared" si="18"/>
        <v>0</v>
      </c>
      <c r="G300" s="106"/>
    </row>
    <row r="301" spans="1:7" ht="18" customHeight="1" x14ac:dyDescent="0.25">
      <c r="A301" s="202" t="s">
        <v>545</v>
      </c>
      <c r="B301" s="84"/>
      <c r="C301" s="100" t="s">
        <v>546</v>
      </c>
      <c r="D301" s="41">
        <f>D302</f>
        <v>200</v>
      </c>
      <c r="E301" s="41">
        <f>E302</f>
        <v>0</v>
      </c>
      <c r="F301" s="96">
        <f t="shared" si="18"/>
        <v>0</v>
      </c>
      <c r="G301" s="106"/>
    </row>
    <row r="302" spans="1:7" ht="39.6" x14ac:dyDescent="0.25">
      <c r="A302" s="202" t="s">
        <v>545</v>
      </c>
      <c r="B302" s="84" t="s">
        <v>212</v>
      </c>
      <c r="C302" s="100" t="s">
        <v>213</v>
      </c>
      <c r="D302" s="41">
        <f>400-200</f>
        <v>200</v>
      </c>
      <c r="E302" s="95">
        <v>0</v>
      </c>
      <c r="F302" s="58">
        <f t="shared" si="18"/>
        <v>0</v>
      </c>
      <c r="G302" s="106"/>
    </row>
    <row r="303" spans="1:7" ht="26.4" x14ac:dyDescent="0.25">
      <c r="A303" s="21" t="s">
        <v>273</v>
      </c>
      <c r="B303" s="84"/>
      <c r="C303" s="102" t="s">
        <v>751</v>
      </c>
      <c r="D303" s="41">
        <f>D304</f>
        <v>1062.9000000000001</v>
      </c>
      <c r="E303" s="41">
        <f>E304</f>
        <v>1050</v>
      </c>
      <c r="F303" s="96">
        <f t="shared" si="18"/>
        <v>98.8</v>
      </c>
    </row>
    <row r="304" spans="1:7" ht="52.8" x14ac:dyDescent="0.25">
      <c r="A304" s="80">
        <v>520223265</v>
      </c>
      <c r="B304" s="84"/>
      <c r="C304" s="100" t="s">
        <v>547</v>
      </c>
      <c r="D304" s="41">
        <f>D305</f>
        <v>1062.9000000000001</v>
      </c>
      <c r="E304" s="41">
        <f>E305</f>
        <v>1050</v>
      </c>
      <c r="F304" s="96">
        <f t="shared" si="18"/>
        <v>98.8</v>
      </c>
    </row>
    <row r="305" spans="1:7" x14ac:dyDescent="0.25">
      <c r="A305" s="80">
        <v>520223265</v>
      </c>
      <c r="B305" s="111" t="s">
        <v>252</v>
      </c>
      <c r="C305" s="108" t="s">
        <v>275</v>
      </c>
      <c r="D305" s="41">
        <v>1062.9000000000001</v>
      </c>
      <c r="E305" s="41">
        <v>1050</v>
      </c>
      <c r="F305" s="96">
        <f t="shared" si="18"/>
        <v>98.8</v>
      </c>
    </row>
    <row r="306" spans="1:7" ht="52.8" x14ac:dyDescent="0.25">
      <c r="A306" s="52" t="s">
        <v>152</v>
      </c>
      <c r="B306" s="16"/>
      <c r="C306" s="48" t="s">
        <v>149</v>
      </c>
      <c r="D306" s="95">
        <f>D307+D310</f>
        <v>3619</v>
      </c>
      <c r="E306" s="95">
        <f>E307+E310</f>
        <v>1633.1000000000001</v>
      </c>
      <c r="F306" s="58">
        <f t="shared" si="18"/>
        <v>45.1</v>
      </c>
    </row>
    <row r="307" spans="1:7" ht="66" customHeight="1" x14ac:dyDescent="0.25">
      <c r="A307" s="21" t="s">
        <v>276</v>
      </c>
      <c r="B307" s="84"/>
      <c r="C307" s="102" t="s">
        <v>319</v>
      </c>
      <c r="D307" s="101">
        <f t="shared" ref="D307:E308" si="19">D308</f>
        <v>1635.7</v>
      </c>
      <c r="E307" s="101">
        <f t="shared" si="19"/>
        <v>1581.7</v>
      </c>
      <c r="F307" s="96">
        <f t="shared" si="18"/>
        <v>96.7</v>
      </c>
    </row>
    <row r="308" spans="1:7" ht="66" x14ac:dyDescent="0.25">
      <c r="A308" s="80">
        <v>530123271</v>
      </c>
      <c r="B308" s="16"/>
      <c r="C308" s="100" t="s">
        <v>153</v>
      </c>
      <c r="D308" s="41">
        <f t="shared" si="19"/>
        <v>1635.7</v>
      </c>
      <c r="E308" s="41">
        <f t="shared" si="19"/>
        <v>1581.7</v>
      </c>
      <c r="F308" s="96">
        <f t="shared" si="18"/>
        <v>96.7</v>
      </c>
    </row>
    <row r="309" spans="1:7" ht="39.6" x14ac:dyDescent="0.25">
      <c r="A309" s="80">
        <v>530123271</v>
      </c>
      <c r="B309" s="84" t="s">
        <v>212</v>
      </c>
      <c r="C309" s="100" t="s">
        <v>213</v>
      </c>
      <c r="D309" s="148">
        <v>1635.7</v>
      </c>
      <c r="E309" s="109">
        <v>1581.7</v>
      </c>
      <c r="F309" s="96">
        <f t="shared" si="18"/>
        <v>96.7</v>
      </c>
    </row>
    <row r="310" spans="1:7" ht="52.8" x14ac:dyDescent="0.25">
      <c r="A310" s="21" t="s">
        <v>277</v>
      </c>
      <c r="B310" s="16"/>
      <c r="C310" s="102" t="s">
        <v>752</v>
      </c>
      <c r="D310" s="41">
        <f t="shared" ref="D310:E311" si="20">D311</f>
        <v>1983.3</v>
      </c>
      <c r="E310" s="41">
        <f t="shared" si="20"/>
        <v>51.4</v>
      </c>
      <c r="F310" s="96">
        <f t="shared" si="18"/>
        <v>2.6</v>
      </c>
    </row>
    <row r="311" spans="1:7" ht="40.5" customHeight="1" x14ac:dyDescent="0.25">
      <c r="A311" s="80">
        <v>530223272</v>
      </c>
      <c r="B311" s="16"/>
      <c r="C311" s="100" t="s">
        <v>548</v>
      </c>
      <c r="D311" s="41">
        <f t="shared" si="20"/>
        <v>1983.3</v>
      </c>
      <c r="E311" s="41">
        <f t="shared" si="20"/>
        <v>51.4</v>
      </c>
      <c r="F311" s="96">
        <f t="shared" si="18"/>
        <v>2.6</v>
      </c>
    </row>
    <row r="312" spans="1:7" ht="39.6" x14ac:dyDescent="0.25">
      <c r="A312" s="80">
        <v>530223272</v>
      </c>
      <c r="B312" s="84" t="s">
        <v>212</v>
      </c>
      <c r="C312" s="100" t="s">
        <v>213</v>
      </c>
      <c r="D312" s="41">
        <f>2400-416.7</f>
        <v>1983.3</v>
      </c>
      <c r="E312" s="41">
        <v>51.4</v>
      </c>
      <c r="F312" s="96">
        <f t="shared" si="18"/>
        <v>2.6</v>
      </c>
    </row>
    <row r="313" spans="1:7" ht="79.2" x14ac:dyDescent="0.25">
      <c r="A313" s="78" t="s">
        <v>71</v>
      </c>
      <c r="B313" s="16"/>
      <c r="C313" s="63" t="s">
        <v>563</v>
      </c>
      <c r="D313" s="98">
        <f t="shared" ref="D313:E316" si="21">D314</f>
        <v>629.29999999999995</v>
      </c>
      <c r="E313" s="98">
        <f t="shared" si="21"/>
        <v>624.70000000000005</v>
      </c>
      <c r="F313" s="62">
        <f t="shared" ref="F313:F352" si="22">ROUND((E313/D313*100),1)</f>
        <v>99.3</v>
      </c>
    </row>
    <row r="314" spans="1:7" ht="42" customHeight="1" x14ac:dyDescent="0.25">
      <c r="A314" s="77" t="s">
        <v>72</v>
      </c>
      <c r="B314" s="16"/>
      <c r="C314" s="60" t="s">
        <v>564</v>
      </c>
      <c r="D314" s="95">
        <f t="shared" si="21"/>
        <v>629.29999999999995</v>
      </c>
      <c r="E314" s="95">
        <f t="shared" si="21"/>
        <v>624.70000000000005</v>
      </c>
      <c r="F314" s="58">
        <f t="shared" si="22"/>
        <v>99.3</v>
      </c>
    </row>
    <row r="315" spans="1:7" ht="66" x14ac:dyDescent="0.25">
      <c r="A315" s="74">
        <v>610100000</v>
      </c>
      <c r="B315" s="16"/>
      <c r="C315" s="100" t="s">
        <v>756</v>
      </c>
      <c r="D315" s="101">
        <f>D316+D318</f>
        <v>629.29999999999995</v>
      </c>
      <c r="E315" s="101">
        <f>E316+E318</f>
        <v>624.70000000000005</v>
      </c>
      <c r="F315" s="96">
        <f t="shared" si="22"/>
        <v>99.3</v>
      </c>
    </row>
    <row r="316" spans="1:7" ht="39.6" x14ac:dyDescent="0.25">
      <c r="A316" s="198" t="s">
        <v>565</v>
      </c>
      <c r="B316" s="16"/>
      <c r="C316" s="100" t="s">
        <v>566</v>
      </c>
      <c r="D316" s="41">
        <f t="shared" si="21"/>
        <v>620.29999999999995</v>
      </c>
      <c r="E316" s="41">
        <f>E317</f>
        <v>620</v>
      </c>
      <c r="F316" s="58">
        <f t="shared" si="22"/>
        <v>100</v>
      </c>
      <c r="G316" s="106"/>
    </row>
    <row r="317" spans="1:7" ht="36.75" customHeight="1" x14ac:dyDescent="0.25">
      <c r="A317" s="198" t="s">
        <v>565</v>
      </c>
      <c r="B317" s="84" t="s">
        <v>212</v>
      </c>
      <c r="C317" s="100" t="s">
        <v>213</v>
      </c>
      <c r="D317" s="41">
        <v>620.29999999999995</v>
      </c>
      <c r="E317" s="39">
        <v>620</v>
      </c>
      <c r="F317" s="96">
        <f t="shared" si="22"/>
        <v>100</v>
      </c>
    </row>
    <row r="318" spans="1:7" ht="34.5" customHeight="1" x14ac:dyDescent="0.25">
      <c r="A318" s="198" t="s">
        <v>567</v>
      </c>
      <c r="B318" s="84"/>
      <c r="C318" s="100" t="s">
        <v>568</v>
      </c>
      <c r="D318" s="41">
        <f>D319</f>
        <v>9</v>
      </c>
      <c r="E318" s="41">
        <f>E319</f>
        <v>4.7</v>
      </c>
      <c r="F318" s="96">
        <f t="shared" si="22"/>
        <v>52.2</v>
      </c>
    </row>
    <row r="319" spans="1:7" ht="39.6" x14ac:dyDescent="0.25">
      <c r="A319" s="198" t="s">
        <v>567</v>
      </c>
      <c r="B319" s="84" t="s">
        <v>212</v>
      </c>
      <c r="C319" s="100" t="s">
        <v>213</v>
      </c>
      <c r="D319" s="41">
        <v>9</v>
      </c>
      <c r="E319" s="41">
        <v>4.7</v>
      </c>
      <c r="F319" s="96">
        <f t="shared" si="22"/>
        <v>52.2</v>
      </c>
    </row>
    <row r="320" spans="1:7" ht="92.4" x14ac:dyDescent="0.25">
      <c r="A320" s="82" t="s">
        <v>37</v>
      </c>
      <c r="B320" s="16"/>
      <c r="C320" s="53" t="s">
        <v>552</v>
      </c>
      <c r="D320" s="98">
        <f>D321+D328+D334</f>
        <v>4945.0999999999995</v>
      </c>
      <c r="E320" s="98">
        <f>E321+E328+E334</f>
        <v>4618</v>
      </c>
      <c r="F320" s="62">
        <f t="shared" si="22"/>
        <v>93.4</v>
      </c>
    </row>
    <row r="321" spans="1:7" ht="33" customHeight="1" x14ac:dyDescent="0.25">
      <c r="A321" s="52" t="s">
        <v>38</v>
      </c>
      <c r="B321" s="16"/>
      <c r="C321" s="48" t="s">
        <v>753</v>
      </c>
      <c r="D321" s="95">
        <f>D322+D325</f>
        <v>452.9</v>
      </c>
      <c r="E321" s="95">
        <f>E322+E325</f>
        <v>452.7</v>
      </c>
      <c r="F321" s="58">
        <f t="shared" si="22"/>
        <v>100</v>
      </c>
    </row>
    <row r="322" spans="1:7" ht="39.6" x14ac:dyDescent="0.25">
      <c r="A322" s="21" t="s">
        <v>236</v>
      </c>
      <c r="B322" s="16"/>
      <c r="C322" s="102" t="s">
        <v>235</v>
      </c>
      <c r="D322" s="95">
        <f t="shared" ref="D322:E323" si="23">D323</f>
        <v>442.9</v>
      </c>
      <c r="E322" s="95">
        <f t="shared" si="23"/>
        <v>442.7</v>
      </c>
      <c r="F322" s="58">
        <f t="shared" si="22"/>
        <v>100</v>
      </c>
    </row>
    <row r="323" spans="1:7" ht="26.4" x14ac:dyDescent="0.3">
      <c r="A323" s="21" t="s">
        <v>554</v>
      </c>
      <c r="B323" s="3"/>
      <c r="C323" s="100" t="s">
        <v>190</v>
      </c>
      <c r="D323" s="41">
        <f t="shared" si="23"/>
        <v>442.9</v>
      </c>
      <c r="E323" s="41">
        <f t="shared" si="23"/>
        <v>442.7</v>
      </c>
      <c r="F323" s="96">
        <f t="shared" si="22"/>
        <v>100</v>
      </c>
    </row>
    <row r="324" spans="1:7" ht="39.6" x14ac:dyDescent="0.25">
      <c r="A324" s="21" t="s">
        <v>554</v>
      </c>
      <c r="B324" s="84" t="s">
        <v>212</v>
      </c>
      <c r="C324" s="100" t="s">
        <v>213</v>
      </c>
      <c r="D324" s="41">
        <f>443-0.1</f>
        <v>442.9</v>
      </c>
      <c r="E324" s="41">
        <v>442.7</v>
      </c>
      <c r="F324" s="96">
        <f t="shared" si="22"/>
        <v>100</v>
      </c>
    </row>
    <row r="325" spans="1:7" ht="39.6" x14ac:dyDescent="0.25">
      <c r="A325" s="21" t="s">
        <v>350</v>
      </c>
      <c r="B325" s="84"/>
      <c r="C325" s="102" t="s">
        <v>349</v>
      </c>
      <c r="D325" s="41">
        <f>D326</f>
        <v>10</v>
      </c>
      <c r="E325" s="41">
        <f>E326</f>
        <v>10</v>
      </c>
      <c r="F325" s="96">
        <f t="shared" si="22"/>
        <v>100</v>
      </c>
    </row>
    <row r="326" spans="1:7" ht="26.4" x14ac:dyDescent="0.25">
      <c r="A326" s="21" t="s">
        <v>555</v>
      </c>
      <c r="B326" s="16"/>
      <c r="C326" s="100" t="s">
        <v>348</v>
      </c>
      <c r="D326" s="41">
        <f t="shared" ref="D326:E326" si="24">D327</f>
        <v>10</v>
      </c>
      <c r="E326" s="41">
        <f t="shared" si="24"/>
        <v>10</v>
      </c>
      <c r="F326" s="58">
        <f t="shared" si="22"/>
        <v>100</v>
      </c>
      <c r="G326" s="106"/>
    </row>
    <row r="327" spans="1:7" ht="39.6" x14ac:dyDescent="0.25">
      <c r="A327" s="21" t="s">
        <v>555</v>
      </c>
      <c r="B327" s="84" t="s">
        <v>212</v>
      </c>
      <c r="C327" s="100" t="s">
        <v>213</v>
      </c>
      <c r="D327" s="41">
        <f>40-30</f>
        <v>10</v>
      </c>
      <c r="E327" s="101">
        <v>10</v>
      </c>
      <c r="F327" s="96">
        <f t="shared" si="22"/>
        <v>100</v>
      </c>
    </row>
    <row r="328" spans="1:7" ht="27" customHeight="1" x14ac:dyDescent="0.25">
      <c r="A328" s="52" t="s">
        <v>384</v>
      </c>
      <c r="B328" s="16"/>
      <c r="C328" s="46" t="s">
        <v>358</v>
      </c>
      <c r="D328" s="95">
        <f>D329</f>
        <v>1094.9000000000001</v>
      </c>
      <c r="E328" s="95">
        <f>E329</f>
        <v>768</v>
      </c>
      <c r="F328" s="58">
        <f t="shared" si="22"/>
        <v>70.099999999999994</v>
      </c>
    </row>
    <row r="329" spans="1:7" ht="39.6" x14ac:dyDescent="0.25">
      <c r="A329" s="21" t="s">
        <v>418</v>
      </c>
      <c r="B329" s="16"/>
      <c r="C329" s="102" t="s">
        <v>307</v>
      </c>
      <c r="D329" s="101">
        <f>D330+D332</f>
        <v>1094.9000000000001</v>
      </c>
      <c r="E329" s="101">
        <f>E330+E332</f>
        <v>768</v>
      </c>
      <c r="F329" s="96">
        <f t="shared" si="22"/>
        <v>70.099999999999994</v>
      </c>
    </row>
    <row r="330" spans="1:7" ht="39" customHeight="1" x14ac:dyDescent="0.25">
      <c r="A330" s="21" t="s">
        <v>556</v>
      </c>
      <c r="B330" s="16"/>
      <c r="C330" s="99" t="s">
        <v>191</v>
      </c>
      <c r="D330" s="41">
        <f>D331</f>
        <v>178</v>
      </c>
      <c r="E330" s="41">
        <f>E331</f>
        <v>178</v>
      </c>
      <c r="F330" s="96">
        <f t="shared" si="22"/>
        <v>100</v>
      </c>
    </row>
    <row r="331" spans="1:7" ht="39.6" x14ac:dyDescent="0.25">
      <c r="A331" s="21" t="s">
        <v>556</v>
      </c>
      <c r="B331" s="84" t="s">
        <v>212</v>
      </c>
      <c r="C331" s="100" t="s">
        <v>213</v>
      </c>
      <c r="D331" s="41">
        <f>250-72</f>
        <v>178</v>
      </c>
      <c r="E331" s="39">
        <v>178</v>
      </c>
      <c r="F331" s="96">
        <f t="shared" si="22"/>
        <v>100</v>
      </c>
    </row>
    <row r="332" spans="1:7" ht="30" customHeight="1" x14ac:dyDescent="0.25">
      <c r="A332" s="21" t="s">
        <v>557</v>
      </c>
      <c r="B332" s="84"/>
      <c r="C332" s="100" t="s">
        <v>402</v>
      </c>
      <c r="D332" s="41">
        <f>D333</f>
        <v>916.9</v>
      </c>
      <c r="E332" s="41">
        <f>E333</f>
        <v>590</v>
      </c>
      <c r="F332" s="96">
        <f t="shared" si="22"/>
        <v>64.3</v>
      </c>
    </row>
    <row r="333" spans="1:7" ht="39.6" x14ac:dyDescent="0.25">
      <c r="A333" s="21" t="s">
        <v>557</v>
      </c>
      <c r="B333" s="84" t="s">
        <v>212</v>
      </c>
      <c r="C333" s="100" t="s">
        <v>213</v>
      </c>
      <c r="D333" s="41">
        <f>590+146.9+180</f>
        <v>916.9</v>
      </c>
      <c r="E333" s="39">
        <v>590</v>
      </c>
      <c r="F333" s="96">
        <f t="shared" si="22"/>
        <v>64.3</v>
      </c>
    </row>
    <row r="334" spans="1:7" ht="41.25" customHeight="1" x14ac:dyDescent="0.25">
      <c r="A334" s="52" t="s">
        <v>39</v>
      </c>
      <c r="B334" s="16"/>
      <c r="C334" s="46" t="s">
        <v>558</v>
      </c>
      <c r="D334" s="122">
        <f>D335+D338</f>
        <v>3397.2999999999993</v>
      </c>
      <c r="E334" s="122">
        <f>E335+E338</f>
        <v>3397.3</v>
      </c>
      <c r="F334" s="58">
        <f t="shared" si="22"/>
        <v>100</v>
      </c>
      <c r="G334" s="106"/>
    </row>
    <row r="335" spans="1:7" ht="54" customHeight="1" x14ac:dyDescent="0.25">
      <c r="A335" s="21" t="s">
        <v>237</v>
      </c>
      <c r="B335" s="16"/>
      <c r="C335" s="102" t="s">
        <v>754</v>
      </c>
      <c r="D335" s="109">
        <f>D336</f>
        <v>2523.9999999999991</v>
      </c>
      <c r="E335" s="109">
        <f>E336</f>
        <v>2524</v>
      </c>
      <c r="F335" s="58">
        <f t="shared" si="22"/>
        <v>100</v>
      </c>
      <c r="G335" s="106"/>
    </row>
    <row r="336" spans="1:7" ht="39.6" x14ac:dyDescent="0.25">
      <c r="A336" s="21" t="s">
        <v>559</v>
      </c>
      <c r="B336" s="16"/>
      <c r="C336" s="102" t="s">
        <v>560</v>
      </c>
      <c r="D336" s="109">
        <f>D337</f>
        <v>2523.9999999999991</v>
      </c>
      <c r="E336" s="109">
        <f>E337</f>
        <v>2524</v>
      </c>
      <c r="F336" s="96">
        <f t="shared" si="22"/>
        <v>100</v>
      </c>
      <c r="G336" s="106"/>
    </row>
    <row r="337" spans="1:7" ht="39.6" x14ac:dyDescent="0.25">
      <c r="A337" s="21" t="s">
        <v>559</v>
      </c>
      <c r="B337" s="84" t="s">
        <v>212</v>
      </c>
      <c r="C337" s="100" t="s">
        <v>213</v>
      </c>
      <c r="D337" s="109">
        <f>19821.8-14859.1-3849.7+127.9+68+500+722.9-7.8</f>
        <v>2523.9999999999991</v>
      </c>
      <c r="E337" s="41">
        <v>2524</v>
      </c>
      <c r="F337" s="96">
        <f t="shared" si="22"/>
        <v>100</v>
      </c>
      <c r="G337" s="106"/>
    </row>
    <row r="338" spans="1:7" ht="26.4" x14ac:dyDescent="0.25">
      <c r="A338" s="21" t="s">
        <v>383</v>
      </c>
      <c r="B338" s="84"/>
      <c r="C338" s="102" t="s">
        <v>755</v>
      </c>
      <c r="D338" s="109">
        <f>D339</f>
        <v>873.3</v>
      </c>
      <c r="E338" s="109">
        <f>E339</f>
        <v>873.3</v>
      </c>
      <c r="F338" s="96">
        <f t="shared" si="22"/>
        <v>100</v>
      </c>
    </row>
    <row r="339" spans="1:7" ht="26.4" x14ac:dyDescent="0.25">
      <c r="A339" s="21" t="s">
        <v>561</v>
      </c>
      <c r="B339" s="16"/>
      <c r="C339" s="102" t="s">
        <v>386</v>
      </c>
      <c r="D339" s="109">
        <f>D340</f>
        <v>873.3</v>
      </c>
      <c r="E339" s="109">
        <f>E340</f>
        <v>873.3</v>
      </c>
      <c r="F339" s="96">
        <f t="shared" si="22"/>
        <v>100</v>
      </c>
      <c r="G339" s="106"/>
    </row>
    <row r="340" spans="1:7" x14ac:dyDescent="0.25">
      <c r="A340" s="21" t="s">
        <v>561</v>
      </c>
      <c r="B340" s="111" t="s">
        <v>252</v>
      </c>
      <c r="C340" s="108" t="s">
        <v>275</v>
      </c>
      <c r="D340" s="109">
        <f>910.3-37</f>
        <v>873.3</v>
      </c>
      <c r="E340" s="110">
        <v>873.3</v>
      </c>
      <c r="F340" s="96">
        <f t="shared" si="22"/>
        <v>100</v>
      </c>
      <c r="G340" s="106"/>
    </row>
    <row r="341" spans="1:7" ht="79.2" x14ac:dyDescent="0.25">
      <c r="A341" s="73" t="s">
        <v>146</v>
      </c>
      <c r="B341" s="16"/>
      <c r="C341" s="63" t="s">
        <v>538</v>
      </c>
      <c r="D341" s="98">
        <f>D343</f>
        <v>300</v>
      </c>
      <c r="E341" s="98">
        <f>E343</f>
        <v>300</v>
      </c>
      <c r="F341" s="62">
        <f t="shared" si="22"/>
        <v>100</v>
      </c>
      <c r="G341" s="106"/>
    </row>
    <row r="342" spans="1:7" ht="52.8" x14ac:dyDescent="0.25">
      <c r="A342" s="21" t="s">
        <v>147</v>
      </c>
      <c r="B342" s="16"/>
      <c r="C342" s="48" t="s">
        <v>749</v>
      </c>
      <c r="D342" s="95">
        <f t="shared" ref="D342:E344" si="25">D343</f>
        <v>300</v>
      </c>
      <c r="E342" s="95">
        <f t="shared" si="25"/>
        <v>300</v>
      </c>
      <c r="F342" s="58">
        <f t="shared" si="22"/>
        <v>100</v>
      </c>
    </row>
    <row r="343" spans="1:7" ht="74.25" customHeight="1" x14ac:dyDescent="0.25">
      <c r="A343" s="21" t="s">
        <v>211</v>
      </c>
      <c r="B343" s="16"/>
      <c r="C343" s="102" t="s">
        <v>750</v>
      </c>
      <c r="D343" s="101">
        <f t="shared" si="25"/>
        <v>300</v>
      </c>
      <c r="E343" s="101">
        <f t="shared" si="25"/>
        <v>300</v>
      </c>
      <c r="F343" s="96">
        <f t="shared" si="22"/>
        <v>100</v>
      </c>
    </row>
    <row r="344" spans="1:7" ht="52.8" x14ac:dyDescent="0.25">
      <c r="A344" s="198" t="s">
        <v>540</v>
      </c>
      <c r="B344" s="16"/>
      <c r="C344" s="102" t="s">
        <v>541</v>
      </c>
      <c r="D344" s="39">
        <f t="shared" si="25"/>
        <v>300</v>
      </c>
      <c r="E344" s="39">
        <f t="shared" si="25"/>
        <v>300</v>
      </c>
      <c r="F344" s="96">
        <f t="shared" si="22"/>
        <v>100</v>
      </c>
    </row>
    <row r="345" spans="1:7" ht="39.6" x14ac:dyDescent="0.25">
      <c r="A345" s="198" t="s">
        <v>540</v>
      </c>
      <c r="B345" s="84" t="s">
        <v>212</v>
      </c>
      <c r="C345" s="100" t="s">
        <v>213</v>
      </c>
      <c r="D345" s="39">
        <v>300</v>
      </c>
      <c r="E345" s="39">
        <v>300</v>
      </c>
      <c r="F345" s="96">
        <f t="shared" si="22"/>
        <v>100</v>
      </c>
    </row>
    <row r="346" spans="1:7" ht="76.5" customHeight="1" x14ac:dyDescent="0.3">
      <c r="A346" s="117" t="s">
        <v>73</v>
      </c>
      <c r="B346" s="118"/>
      <c r="C346" s="196" t="s">
        <v>507</v>
      </c>
      <c r="D346" s="119">
        <f>D347+D369</f>
        <v>171200.9</v>
      </c>
      <c r="E346" s="119">
        <f>E347+E369</f>
        <v>167690.40000000002</v>
      </c>
      <c r="F346" s="62">
        <f t="shared" si="22"/>
        <v>97.9</v>
      </c>
    </row>
    <row r="347" spans="1:7" ht="51.75" customHeight="1" x14ac:dyDescent="0.3">
      <c r="A347" s="120" t="s">
        <v>74</v>
      </c>
      <c r="B347" s="118"/>
      <c r="C347" s="121" t="s">
        <v>166</v>
      </c>
      <c r="D347" s="122">
        <f>D348</f>
        <v>144592</v>
      </c>
      <c r="E347" s="122">
        <f>E348</f>
        <v>141493.40000000002</v>
      </c>
      <c r="F347" s="58">
        <f t="shared" si="22"/>
        <v>97.9</v>
      </c>
    </row>
    <row r="348" spans="1:7" ht="40.200000000000003" x14ac:dyDescent="0.3">
      <c r="A348" s="124" t="s">
        <v>300</v>
      </c>
      <c r="B348" s="118"/>
      <c r="C348" s="116" t="s">
        <v>315</v>
      </c>
      <c r="D348" s="122">
        <f>D349+D351+D353+D355+D357+D359+D361+D363+D365+D367</f>
        <v>144592</v>
      </c>
      <c r="E348" s="122">
        <f>E349+E351+E353+E355+E357+E359+E361+E363+E365+E367</f>
        <v>141493.40000000002</v>
      </c>
      <c r="F348" s="96">
        <f t="shared" si="22"/>
        <v>97.9</v>
      </c>
    </row>
    <row r="349" spans="1:7" ht="79.8" x14ac:dyDescent="0.3">
      <c r="A349" s="79">
        <v>910123405</v>
      </c>
      <c r="B349" s="118"/>
      <c r="C349" s="116" t="s">
        <v>419</v>
      </c>
      <c r="D349" s="110">
        <f>D350</f>
        <v>15386.8</v>
      </c>
      <c r="E349" s="110">
        <f>E350</f>
        <v>15221.1</v>
      </c>
      <c r="F349" s="96">
        <f t="shared" si="22"/>
        <v>98.9</v>
      </c>
    </row>
    <row r="350" spans="1:7" ht="39.6" x14ac:dyDescent="0.25">
      <c r="A350" s="79">
        <v>910123405</v>
      </c>
      <c r="B350" s="84" t="s">
        <v>212</v>
      </c>
      <c r="C350" s="100" t="s">
        <v>213</v>
      </c>
      <c r="D350" s="110">
        <v>15386.8</v>
      </c>
      <c r="E350" s="110">
        <v>15221.1</v>
      </c>
      <c r="F350" s="96">
        <f t="shared" si="22"/>
        <v>98.9</v>
      </c>
    </row>
    <row r="351" spans="1:7" ht="66.599999999999994" x14ac:dyDescent="0.3">
      <c r="A351" s="79">
        <v>910110520</v>
      </c>
      <c r="B351" s="118"/>
      <c r="C351" s="116" t="s">
        <v>186</v>
      </c>
      <c r="D351" s="110">
        <f>D352</f>
        <v>14385.6</v>
      </c>
      <c r="E351" s="110">
        <f>E352</f>
        <v>14385.6</v>
      </c>
      <c r="F351" s="96">
        <f t="shared" si="22"/>
        <v>100</v>
      </c>
    </row>
    <row r="352" spans="1:7" ht="39.6" x14ac:dyDescent="0.25">
      <c r="A352" s="79">
        <v>910110520</v>
      </c>
      <c r="B352" s="84" t="s">
        <v>212</v>
      </c>
      <c r="C352" s="100" t="s">
        <v>213</v>
      </c>
      <c r="D352" s="197">
        <v>14385.6</v>
      </c>
      <c r="E352" s="39">
        <v>14385.6</v>
      </c>
      <c r="F352" s="96">
        <f t="shared" si="22"/>
        <v>100</v>
      </c>
    </row>
    <row r="353" spans="1:7" ht="26.4" x14ac:dyDescent="0.25">
      <c r="A353" s="79">
        <v>910123410</v>
      </c>
      <c r="B353" s="123"/>
      <c r="C353" s="100" t="s">
        <v>187</v>
      </c>
      <c r="D353" s="110">
        <f>D354</f>
        <v>17208.600000000002</v>
      </c>
      <c r="E353" s="110">
        <f>E354</f>
        <v>15891.6</v>
      </c>
      <c r="F353" s="96">
        <f t="shared" ref="F353:F412" si="26">ROUND((E353/D353*100),1)</f>
        <v>92.3</v>
      </c>
    </row>
    <row r="354" spans="1:7" ht="39.6" x14ac:dyDescent="0.25">
      <c r="A354" s="79">
        <v>910123410</v>
      </c>
      <c r="B354" s="84" t="s">
        <v>212</v>
      </c>
      <c r="C354" s="100" t="s">
        <v>213</v>
      </c>
      <c r="D354" s="110">
        <f>16457+600-46.8+198.4</f>
        <v>17208.600000000002</v>
      </c>
      <c r="E354" s="110">
        <v>15891.6</v>
      </c>
      <c r="F354" s="96">
        <f t="shared" si="26"/>
        <v>92.3</v>
      </c>
    </row>
    <row r="355" spans="1:7" ht="92.4" x14ac:dyDescent="0.25">
      <c r="A355" s="79">
        <v>910123415</v>
      </c>
      <c r="B355" s="84"/>
      <c r="C355" s="162" t="s">
        <v>509</v>
      </c>
      <c r="D355" s="110">
        <f>D356</f>
        <v>1156.8000000000002</v>
      </c>
      <c r="E355" s="110">
        <f>E356</f>
        <v>776.8</v>
      </c>
      <c r="F355" s="58">
        <f t="shared" si="26"/>
        <v>67.2</v>
      </c>
    </row>
    <row r="356" spans="1:7" ht="39.6" x14ac:dyDescent="0.25">
      <c r="A356" s="79">
        <v>910123415</v>
      </c>
      <c r="B356" s="84" t="s">
        <v>212</v>
      </c>
      <c r="C356" s="100" t="s">
        <v>213</v>
      </c>
      <c r="D356" s="110">
        <f>100+46.8+613.9+396.1</f>
        <v>1156.8000000000002</v>
      </c>
      <c r="E356" s="39">
        <v>776.8</v>
      </c>
      <c r="F356" s="96">
        <f t="shared" si="26"/>
        <v>67.2</v>
      </c>
    </row>
    <row r="357" spans="1:7" ht="26.4" x14ac:dyDescent="0.25">
      <c r="A357" s="79">
        <v>910123420</v>
      </c>
      <c r="B357" s="84"/>
      <c r="C357" s="153" t="s">
        <v>397</v>
      </c>
      <c r="D357" s="110">
        <f>D358</f>
        <v>1097.7000000000003</v>
      </c>
      <c r="E357" s="110">
        <f>E358</f>
        <v>1097.7</v>
      </c>
      <c r="F357" s="96">
        <f t="shared" si="26"/>
        <v>100</v>
      </c>
      <c r="G357" s="106"/>
    </row>
    <row r="358" spans="1:7" ht="39.6" x14ac:dyDescent="0.25">
      <c r="A358" s="79">
        <v>910123420</v>
      </c>
      <c r="B358" s="84" t="s">
        <v>212</v>
      </c>
      <c r="C358" s="100" t="s">
        <v>213</v>
      </c>
      <c r="D358" s="110">
        <f>12651-12243.9+690.6</f>
        <v>1097.7000000000003</v>
      </c>
      <c r="E358" s="39">
        <v>1097.7</v>
      </c>
      <c r="F358" s="96">
        <f t="shared" si="26"/>
        <v>100</v>
      </c>
    </row>
    <row r="359" spans="1:7" ht="52.8" x14ac:dyDescent="0.25">
      <c r="A359" s="79" t="s">
        <v>364</v>
      </c>
      <c r="B359" s="84"/>
      <c r="C359" s="147" t="s">
        <v>363</v>
      </c>
      <c r="D359" s="110">
        <f>D360</f>
        <v>3252.6</v>
      </c>
      <c r="E359" s="110">
        <f>E360</f>
        <v>3252.6</v>
      </c>
      <c r="F359" s="96">
        <f t="shared" si="26"/>
        <v>100</v>
      </c>
    </row>
    <row r="360" spans="1:7" ht="39.6" x14ac:dyDescent="0.25">
      <c r="A360" s="79" t="s">
        <v>364</v>
      </c>
      <c r="B360" s="84" t="s">
        <v>212</v>
      </c>
      <c r="C360" s="100" t="s">
        <v>213</v>
      </c>
      <c r="D360" s="110">
        <f>2537.7+3348.8-2683.9+50</f>
        <v>3252.6</v>
      </c>
      <c r="E360" s="39">
        <v>3252.6</v>
      </c>
      <c r="F360" s="96">
        <f t="shared" si="26"/>
        <v>100</v>
      </c>
    </row>
    <row r="361" spans="1:7" ht="66" x14ac:dyDescent="0.25">
      <c r="A361" s="198" t="s">
        <v>510</v>
      </c>
      <c r="B361" s="84"/>
      <c r="C361" s="147" t="s">
        <v>365</v>
      </c>
      <c r="D361" s="110">
        <f>D362</f>
        <v>4823.8999999999996</v>
      </c>
      <c r="E361" s="110">
        <f>E362</f>
        <v>4823.8999999999996</v>
      </c>
      <c r="F361" s="96">
        <f t="shared" si="26"/>
        <v>100</v>
      </c>
    </row>
    <row r="362" spans="1:7" ht="39.6" x14ac:dyDescent="0.25">
      <c r="A362" s="198" t="s">
        <v>510</v>
      </c>
      <c r="B362" s="84" t="s">
        <v>212</v>
      </c>
      <c r="C362" s="100" t="s">
        <v>213</v>
      </c>
      <c r="D362" s="197">
        <f>2140.1+2683.8</f>
        <v>4823.8999999999996</v>
      </c>
      <c r="E362" s="39">
        <v>4823.8999999999996</v>
      </c>
      <c r="F362" s="96">
        <f t="shared" si="26"/>
        <v>100</v>
      </c>
    </row>
    <row r="363" spans="1:7" ht="26.4" x14ac:dyDescent="0.25">
      <c r="A363" s="79" t="s">
        <v>359</v>
      </c>
      <c r="B363" s="84"/>
      <c r="C363" s="100" t="s">
        <v>360</v>
      </c>
      <c r="D363" s="110">
        <f>D364</f>
        <v>23367.8</v>
      </c>
      <c r="E363" s="110">
        <f>E364</f>
        <v>22763.1</v>
      </c>
      <c r="F363" s="96">
        <f t="shared" si="26"/>
        <v>97.4</v>
      </c>
    </row>
    <row r="364" spans="1:7" ht="39.6" x14ac:dyDescent="0.25">
      <c r="A364" s="79" t="s">
        <v>359</v>
      </c>
      <c r="B364" s="84" t="s">
        <v>212</v>
      </c>
      <c r="C364" s="100" t="s">
        <v>213</v>
      </c>
      <c r="D364" s="110">
        <f>9764.5+183.4+5789.2-1209.5+9332-491.8</f>
        <v>23367.8</v>
      </c>
      <c r="E364" s="110">
        <v>22763.1</v>
      </c>
      <c r="F364" s="96">
        <f t="shared" si="26"/>
        <v>97.4</v>
      </c>
    </row>
    <row r="365" spans="1:7" ht="26.4" x14ac:dyDescent="0.25">
      <c r="A365" s="199" t="s">
        <v>511</v>
      </c>
      <c r="B365" s="84"/>
      <c r="C365" s="100" t="s">
        <v>361</v>
      </c>
      <c r="D365" s="110">
        <f>D366</f>
        <v>53755</v>
      </c>
      <c r="E365" s="110">
        <f>E366</f>
        <v>53123.8</v>
      </c>
      <c r="F365" s="96">
        <f t="shared" si="26"/>
        <v>98.8</v>
      </c>
    </row>
    <row r="366" spans="1:7" ht="39.6" x14ac:dyDescent="0.25">
      <c r="A366" s="199" t="s">
        <v>511</v>
      </c>
      <c r="B366" s="84" t="s">
        <v>212</v>
      </c>
      <c r="C366" s="100" t="s">
        <v>213</v>
      </c>
      <c r="D366" s="158">
        <f>23622.2+30132.8</f>
        <v>53755</v>
      </c>
      <c r="E366" s="110">
        <v>53123.8</v>
      </c>
      <c r="F366" s="96">
        <f t="shared" si="26"/>
        <v>98.8</v>
      </c>
    </row>
    <row r="367" spans="1:7" ht="26.4" x14ac:dyDescent="0.25">
      <c r="A367" s="79">
        <v>910123425</v>
      </c>
      <c r="B367" s="84"/>
      <c r="C367" s="100" t="s">
        <v>395</v>
      </c>
      <c r="D367" s="110">
        <f>D368</f>
        <v>10157.200000000001</v>
      </c>
      <c r="E367" s="110">
        <f>E368</f>
        <v>10157.200000000001</v>
      </c>
      <c r="F367" s="96">
        <f t="shared" si="26"/>
        <v>100</v>
      </c>
    </row>
    <row r="368" spans="1:7" ht="40.5" customHeight="1" x14ac:dyDescent="0.25">
      <c r="A368" s="79">
        <v>910123425</v>
      </c>
      <c r="B368" s="84" t="s">
        <v>212</v>
      </c>
      <c r="C368" s="100" t="s">
        <v>213</v>
      </c>
      <c r="D368" s="110">
        <f>19547-17315.6+12.8+2269.3+6532.7-690.6-198.4</f>
        <v>10157.200000000001</v>
      </c>
      <c r="E368" s="41">
        <v>10157.200000000001</v>
      </c>
      <c r="F368" s="96">
        <f t="shared" si="26"/>
        <v>100</v>
      </c>
    </row>
    <row r="369" spans="1:6" ht="66.599999999999994" x14ac:dyDescent="0.3">
      <c r="A369" s="52" t="s">
        <v>215</v>
      </c>
      <c r="B369" s="30"/>
      <c r="C369" s="46" t="s">
        <v>188</v>
      </c>
      <c r="D369" s="95">
        <f>D370</f>
        <v>26608.9</v>
      </c>
      <c r="E369" s="95">
        <f>E370</f>
        <v>26197</v>
      </c>
      <c r="F369" s="58">
        <f t="shared" si="26"/>
        <v>98.5</v>
      </c>
    </row>
    <row r="370" spans="1:6" ht="27" x14ac:dyDescent="0.3">
      <c r="A370" s="74">
        <v>920100000</v>
      </c>
      <c r="B370" s="30"/>
      <c r="C370" s="99" t="s">
        <v>301</v>
      </c>
      <c r="D370" s="101">
        <f>D371+D373+D375</f>
        <v>26608.9</v>
      </c>
      <c r="E370" s="101">
        <f>E371+E373+E375</f>
        <v>26197</v>
      </c>
      <c r="F370" s="96">
        <f t="shared" si="26"/>
        <v>98.5</v>
      </c>
    </row>
    <row r="371" spans="1:6" ht="66.599999999999994" x14ac:dyDescent="0.3">
      <c r="A371" s="74" t="s">
        <v>312</v>
      </c>
      <c r="B371" s="30"/>
      <c r="C371" s="99" t="s">
        <v>216</v>
      </c>
      <c r="D371" s="39">
        <f>D372</f>
        <v>5024.3999999999996</v>
      </c>
      <c r="E371" s="96">
        <f>E372</f>
        <v>4947</v>
      </c>
      <c r="F371" s="96">
        <f t="shared" si="26"/>
        <v>98.5</v>
      </c>
    </row>
    <row r="372" spans="1:6" ht="39.6" x14ac:dyDescent="0.25">
      <c r="A372" s="74" t="s">
        <v>312</v>
      </c>
      <c r="B372" s="84" t="s">
        <v>212</v>
      </c>
      <c r="C372" s="100" t="s">
        <v>213</v>
      </c>
      <c r="D372" s="39">
        <v>5024.3999999999996</v>
      </c>
      <c r="E372" s="41">
        <v>4947</v>
      </c>
      <c r="F372" s="96">
        <f t="shared" si="26"/>
        <v>98.5</v>
      </c>
    </row>
    <row r="373" spans="1:6" ht="79.2" x14ac:dyDescent="0.25">
      <c r="A373" s="74">
        <v>920110300</v>
      </c>
      <c r="B373" s="16"/>
      <c r="C373" s="125" t="s">
        <v>362</v>
      </c>
      <c r="D373" s="39">
        <f>D374</f>
        <v>20097.5</v>
      </c>
      <c r="E373" s="96">
        <f>E374</f>
        <v>19788.2</v>
      </c>
      <c r="F373" s="96">
        <f t="shared" si="26"/>
        <v>98.5</v>
      </c>
    </row>
    <row r="374" spans="1:6" ht="39.6" x14ac:dyDescent="0.25">
      <c r="A374" s="74">
        <v>920110300</v>
      </c>
      <c r="B374" s="84" t="s">
        <v>212</v>
      </c>
      <c r="C374" s="100" t="s">
        <v>213</v>
      </c>
      <c r="D374" s="158">
        <v>20097.5</v>
      </c>
      <c r="E374" s="41">
        <v>19788.2</v>
      </c>
      <c r="F374" s="96">
        <f t="shared" si="26"/>
        <v>98.5</v>
      </c>
    </row>
    <row r="375" spans="1:6" ht="66" x14ac:dyDescent="0.25">
      <c r="A375" s="74">
        <v>920123495</v>
      </c>
      <c r="B375" s="84"/>
      <c r="C375" s="54" t="s">
        <v>508</v>
      </c>
      <c r="D375" s="39">
        <f>D376</f>
        <v>1487</v>
      </c>
      <c r="E375" s="39">
        <f>E376</f>
        <v>1461.8</v>
      </c>
      <c r="F375" s="96">
        <f t="shared" si="26"/>
        <v>98.3</v>
      </c>
    </row>
    <row r="376" spans="1:6" ht="39.6" x14ac:dyDescent="0.25">
      <c r="A376" s="74">
        <v>920123495</v>
      </c>
      <c r="B376" s="84" t="s">
        <v>212</v>
      </c>
      <c r="C376" s="100" t="s">
        <v>213</v>
      </c>
      <c r="D376" s="39">
        <f>1212.9+274.1</f>
        <v>1487</v>
      </c>
      <c r="E376" s="39">
        <v>1461.8</v>
      </c>
      <c r="F376" s="96">
        <f t="shared" si="26"/>
        <v>98.3</v>
      </c>
    </row>
    <row r="377" spans="1:6" ht="79.2" x14ac:dyDescent="0.25">
      <c r="A377" s="73" t="s">
        <v>77</v>
      </c>
      <c r="B377" s="16"/>
      <c r="C377" s="53" t="s">
        <v>500</v>
      </c>
      <c r="D377" s="98">
        <f>D378+D382+D388</f>
        <v>90.2</v>
      </c>
      <c r="E377" s="98">
        <f>E378+E382+E388</f>
        <v>90.2</v>
      </c>
      <c r="F377" s="62">
        <f t="shared" si="26"/>
        <v>100</v>
      </c>
    </row>
    <row r="378" spans="1:6" ht="52.8" x14ac:dyDescent="0.25">
      <c r="A378" s="52" t="s">
        <v>78</v>
      </c>
      <c r="B378" s="16"/>
      <c r="C378" s="60" t="s">
        <v>189</v>
      </c>
      <c r="D378" s="58">
        <f t="shared" ref="D378:E378" si="27">D379</f>
        <v>16.100000000000001</v>
      </c>
      <c r="E378" s="58">
        <f t="shared" si="27"/>
        <v>16.100000000000001</v>
      </c>
      <c r="F378" s="58">
        <f t="shared" si="26"/>
        <v>100</v>
      </c>
    </row>
    <row r="379" spans="1:6" ht="39.6" x14ac:dyDescent="0.25">
      <c r="A379" s="21" t="s">
        <v>227</v>
      </c>
      <c r="B379" s="84"/>
      <c r="C379" s="100" t="s">
        <v>355</v>
      </c>
      <c r="D379" s="41">
        <f>D380</f>
        <v>16.100000000000001</v>
      </c>
      <c r="E379" s="41">
        <f>E380</f>
        <v>16.100000000000001</v>
      </c>
      <c r="F379" s="96">
        <f t="shared" si="26"/>
        <v>100</v>
      </c>
    </row>
    <row r="380" spans="1:6" ht="66" x14ac:dyDescent="0.25">
      <c r="A380" s="21" t="s">
        <v>501</v>
      </c>
      <c r="B380" s="16"/>
      <c r="C380" s="100" t="s">
        <v>356</v>
      </c>
      <c r="D380" s="41">
        <f>D381</f>
        <v>16.100000000000001</v>
      </c>
      <c r="E380" s="41">
        <f>E381</f>
        <v>16.100000000000001</v>
      </c>
      <c r="F380" s="96">
        <f t="shared" si="26"/>
        <v>100</v>
      </c>
    </row>
    <row r="381" spans="1:6" ht="26.4" x14ac:dyDescent="0.25">
      <c r="A381" s="21" t="s">
        <v>501</v>
      </c>
      <c r="B381" s="84" t="s">
        <v>70</v>
      </c>
      <c r="C381" s="55" t="s">
        <v>133</v>
      </c>
      <c r="D381" s="41">
        <f>34-17.9</f>
        <v>16.100000000000001</v>
      </c>
      <c r="E381" s="41">
        <f>34-17.9</f>
        <v>16.100000000000001</v>
      </c>
      <c r="F381" s="96">
        <f t="shared" si="26"/>
        <v>100</v>
      </c>
    </row>
    <row r="382" spans="1:6" ht="61.5" customHeight="1" x14ac:dyDescent="0.25">
      <c r="A382" s="120" t="s">
        <v>694</v>
      </c>
      <c r="B382" s="123"/>
      <c r="C382" s="213" t="s">
        <v>181</v>
      </c>
      <c r="D382" s="122">
        <f>D383</f>
        <v>40</v>
      </c>
      <c r="E382" s="122">
        <f>E383</f>
        <v>40</v>
      </c>
      <c r="F382" s="58">
        <f t="shared" si="26"/>
        <v>100</v>
      </c>
    </row>
    <row r="383" spans="1:6" ht="52.8" x14ac:dyDescent="0.25">
      <c r="A383" s="21" t="s">
        <v>792</v>
      </c>
      <c r="B383" s="123"/>
      <c r="C383" s="108" t="s">
        <v>798</v>
      </c>
      <c r="D383" s="158">
        <f>D384+D386</f>
        <v>40</v>
      </c>
      <c r="E383" s="158">
        <f>E384+E386</f>
        <v>40</v>
      </c>
      <c r="F383" s="96">
        <f t="shared" si="26"/>
        <v>100</v>
      </c>
    </row>
    <row r="384" spans="1:6" ht="83.25" customHeight="1" x14ac:dyDescent="0.25">
      <c r="A384" s="79">
        <v>1020123085</v>
      </c>
      <c r="B384" s="123"/>
      <c r="C384" s="100" t="s">
        <v>182</v>
      </c>
      <c r="D384" s="109">
        <f>D385</f>
        <v>5</v>
      </c>
      <c r="E384" s="109">
        <f>E385</f>
        <v>5</v>
      </c>
      <c r="F384" s="96">
        <f t="shared" si="26"/>
        <v>100</v>
      </c>
    </row>
    <row r="385" spans="1:7" ht="39.6" x14ac:dyDescent="0.25">
      <c r="A385" s="79">
        <v>1020123085</v>
      </c>
      <c r="B385" s="111" t="s">
        <v>212</v>
      </c>
      <c r="C385" s="100" t="s">
        <v>213</v>
      </c>
      <c r="D385" s="109">
        <v>5</v>
      </c>
      <c r="E385" s="109">
        <v>5</v>
      </c>
      <c r="F385" s="96">
        <f t="shared" si="26"/>
        <v>100</v>
      </c>
    </row>
    <row r="386" spans="1:7" ht="21" customHeight="1" x14ac:dyDescent="0.25">
      <c r="A386" s="79">
        <v>1020123086</v>
      </c>
      <c r="B386" s="123"/>
      <c r="C386" s="100" t="s">
        <v>183</v>
      </c>
      <c r="D386" s="109">
        <f>D387</f>
        <v>35</v>
      </c>
      <c r="E386" s="109">
        <f>E387</f>
        <v>35</v>
      </c>
      <c r="F386" s="96">
        <f t="shared" si="26"/>
        <v>100</v>
      </c>
    </row>
    <row r="387" spans="1:7" ht="39.6" x14ac:dyDescent="0.25">
      <c r="A387" s="79">
        <v>1020123086</v>
      </c>
      <c r="B387" s="111" t="s">
        <v>212</v>
      </c>
      <c r="C387" s="100" t="s">
        <v>213</v>
      </c>
      <c r="D387" s="109">
        <f>45-10</f>
        <v>35</v>
      </c>
      <c r="E387" s="109">
        <f>45-10</f>
        <v>35</v>
      </c>
      <c r="F387" s="96">
        <f t="shared" si="26"/>
        <v>100</v>
      </c>
    </row>
    <row r="388" spans="1:7" ht="52.8" x14ac:dyDescent="0.25">
      <c r="A388" s="120" t="s">
        <v>695</v>
      </c>
      <c r="B388" s="123"/>
      <c r="C388" s="213" t="s">
        <v>696</v>
      </c>
      <c r="D388" s="122">
        <f t="shared" ref="D388:E390" si="28">D389</f>
        <v>34.1</v>
      </c>
      <c r="E388" s="122">
        <f t="shared" si="28"/>
        <v>34.1</v>
      </c>
      <c r="F388" s="58">
        <f t="shared" si="26"/>
        <v>100</v>
      </c>
    </row>
    <row r="389" spans="1:7" ht="36.75" customHeight="1" x14ac:dyDescent="0.25">
      <c r="A389" s="21" t="s">
        <v>793</v>
      </c>
      <c r="B389" s="123"/>
      <c r="C389" s="108" t="s">
        <v>794</v>
      </c>
      <c r="D389" s="158">
        <f t="shared" si="28"/>
        <v>34.1</v>
      </c>
      <c r="E389" s="158">
        <f t="shared" si="28"/>
        <v>34.1</v>
      </c>
      <c r="F389" s="96">
        <f t="shared" si="26"/>
        <v>100</v>
      </c>
    </row>
    <row r="390" spans="1:7" ht="39.6" x14ac:dyDescent="0.25">
      <c r="A390" s="79">
        <v>1030323090</v>
      </c>
      <c r="B390" s="123"/>
      <c r="C390" s="100" t="s">
        <v>697</v>
      </c>
      <c r="D390" s="109">
        <f t="shared" si="28"/>
        <v>34.1</v>
      </c>
      <c r="E390" s="109">
        <f t="shared" si="28"/>
        <v>34.1</v>
      </c>
      <c r="F390" s="96">
        <f t="shared" si="26"/>
        <v>100</v>
      </c>
    </row>
    <row r="391" spans="1:7" ht="39.6" x14ac:dyDescent="0.25">
      <c r="A391" s="79">
        <v>1030323090</v>
      </c>
      <c r="B391" s="111" t="s">
        <v>212</v>
      </c>
      <c r="C391" s="100" t="s">
        <v>213</v>
      </c>
      <c r="D391" s="109">
        <f>10+24.1</f>
        <v>34.1</v>
      </c>
      <c r="E391" s="109">
        <f>10+24.1</f>
        <v>34.1</v>
      </c>
      <c r="F391" s="96">
        <f t="shared" si="26"/>
        <v>100</v>
      </c>
    </row>
    <row r="392" spans="1:7" ht="90.75" customHeight="1" x14ac:dyDescent="0.25">
      <c r="A392" s="73" t="s">
        <v>55</v>
      </c>
      <c r="B392" s="16"/>
      <c r="C392" s="64" t="s">
        <v>495</v>
      </c>
      <c r="D392" s="59">
        <f>D393+D399+D404+D410</f>
        <v>2599.8000000000002</v>
      </c>
      <c r="E392" s="59">
        <f>E393+E399+E404+E410</f>
        <v>2595.3000000000002</v>
      </c>
      <c r="F392" s="62">
        <f t="shared" si="26"/>
        <v>99.8</v>
      </c>
    </row>
    <row r="393" spans="1:7" ht="52.8" x14ac:dyDescent="0.25">
      <c r="A393" s="52" t="s">
        <v>56</v>
      </c>
      <c r="B393" s="16"/>
      <c r="C393" s="48" t="s">
        <v>204</v>
      </c>
      <c r="D393" s="95">
        <f>D395+D397</f>
        <v>85</v>
      </c>
      <c r="E393" s="95">
        <f>E395+E397</f>
        <v>85</v>
      </c>
      <c r="F393" s="58">
        <f t="shared" si="26"/>
        <v>100</v>
      </c>
    </row>
    <row r="394" spans="1:7" ht="66" x14ac:dyDescent="0.25">
      <c r="A394" s="21" t="s">
        <v>219</v>
      </c>
      <c r="B394" s="16"/>
      <c r="C394" s="102" t="s">
        <v>297</v>
      </c>
      <c r="D394" s="101">
        <f>D395+D397</f>
        <v>85</v>
      </c>
      <c r="E394" s="101">
        <f>E395+E397</f>
        <v>85</v>
      </c>
      <c r="F394" s="96">
        <f t="shared" si="26"/>
        <v>100</v>
      </c>
      <c r="G394" s="106"/>
    </row>
    <row r="395" spans="1:7" ht="26.4" x14ac:dyDescent="0.25">
      <c r="A395" s="74">
        <v>1110123305</v>
      </c>
      <c r="B395" s="16"/>
      <c r="C395" s="102" t="s">
        <v>218</v>
      </c>
      <c r="D395" s="39">
        <f>D396</f>
        <v>60</v>
      </c>
      <c r="E395" s="39">
        <f>E396</f>
        <v>60</v>
      </c>
      <c r="F395" s="96">
        <f t="shared" si="26"/>
        <v>100</v>
      </c>
      <c r="G395" s="106"/>
    </row>
    <row r="396" spans="1:7" ht="39.6" x14ac:dyDescent="0.25">
      <c r="A396" s="74">
        <v>1110123305</v>
      </c>
      <c r="B396" s="84" t="s">
        <v>212</v>
      </c>
      <c r="C396" s="100" t="s">
        <v>213</v>
      </c>
      <c r="D396" s="39">
        <v>60</v>
      </c>
      <c r="E396" s="39">
        <v>60</v>
      </c>
      <c r="F396" s="96">
        <f t="shared" si="26"/>
        <v>100</v>
      </c>
    </row>
    <row r="397" spans="1:7" ht="52.8" x14ac:dyDescent="0.25">
      <c r="A397" s="74">
        <v>1110123310</v>
      </c>
      <c r="B397" s="16"/>
      <c r="C397" s="102" t="s">
        <v>206</v>
      </c>
      <c r="D397" s="41">
        <f>D398</f>
        <v>25</v>
      </c>
      <c r="E397" s="41">
        <f>E398</f>
        <v>25</v>
      </c>
      <c r="F397" s="96">
        <f t="shared" si="26"/>
        <v>100</v>
      </c>
    </row>
    <row r="398" spans="1:7" ht="39.6" x14ac:dyDescent="0.25">
      <c r="A398" s="74">
        <v>1110123310</v>
      </c>
      <c r="B398" s="84" t="s">
        <v>212</v>
      </c>
      <c r="C398" s="100" t="s">
        <v>213</v>
      </c>
      <c r="D398" s="41">
        <v>25</v>
      </c>
      <c r="E398" s="41">
        <v>25</v>
      </c>
      <c r="F398" s="96">
        <f t="shared" si="26"/>
        <v>100</v>
      </c>
    </row>
    <row r="399" spans="1:7" ht="39.6" x14ac:dyDescent="0.25">
      <c r="A399" s="52" t="s">
        <v>57</v>
      </c>
      <c r="B399" s="84"/>
      <c r="C399" s="48" t="s">
        <v>200</v>
      </c>
      <c r="D399" s="95">
        <f t="shared" ref="D399:E400" si="29">D400</f>
        <v>2494.8000000000002</v>
      </c>
      <c r="E399" s="95">
        <f t="shared" si="29"/>
        <v>2490.3000000000002</v>
      </c>
      <c r="F399" s="58">
        <f t="shared" si="26"/>
        <v>99.8</v>
      </c>
    </row>
    <row r="400" spans="1:7" ht="52.8" x14ac:dyDescent="0.25">
      <c r="A400" s="21" t="s">
        <v>220</v>
      </c>
      <c r="B400" s="84"/>
      <c r="C400" s="102" t="s">
        <v>310</v>
      </c>
      <c r="D400" s="41">
        <f t="shared" si="29"/>
        <v>2494.8000000000002</v>
      </c>
      <c r="E400" s="41">
        <f t="shared" si="29"/>
        <v>2490.3000000000002</v>
      </c>
      <c r="F400" s="96">
        <f t="shared" si="26"/>
        <v>99.8</v>
      </c>
    </row>
    <row r="401" spans="1:7" ht="39.6" x14ac:dyDescent="0.25">
      <c r="A401" s="74">
        <v>1120123315</v>
      </c>
      <c r="B401" s="16"/>
      <c r="C401" s="100" t="s">
        <v>496</v>
      </c>
      <c r="D401" s="41">
        <f>SUM(D402:D403)</f>
        <v>2494.8000000000002</v>
      </c>
      <c r="E401" s="41">
        <f>SUM(E402:E403)</f>
        <v>2490.3000000000002</v>
      </c>
      <c r="F401" s="96">
        <f t="shared" si="26"/>
        <v>99.8</v>
      </c>
    </row>
    <row r="402" spans="1:7" ht="26.4" x14ac:dyDescent="0.25">
      <c r="A402" s="74">
        <v>1120123315</v>
      </c>
      <c r="B402" s="84" t="s">
        <v>70</v>
      </c>
      <c r="C402" s="55" t="s">
        <v>133</v>
      </c>
      <c r="D402" s="41">
        <f>51.2+12.8</f>
        <v>64</v>
      </c>
      <c r="E402" s="41">
        <f>51.2+12.8</f>
        <v>64</v>
      </c>
      <c r="F402" s="96">
        <f t="shared" si="26"/>
        <v>100</v>
      </c>
    </row>
    <row r="403" spans="1:7" ht="39.6" x14ac:dyDescent="0.25">
      <c r="A403" s="74">
        <v>1120123315</v>
      </c>
      <c r="B403" s="84" t="s">
        <v>212</v>
      </c>
      <c r="C403" s="100" t="s">
        <v>213</v>
      </c>
      <c r="D403" s="41">
        <f>2408.3+46.3-11-12.8</f>
        <v>2430.8000000000002</v>
      </c>
      <c r="E403" s="41">
        <v>2426.3000000000002</v>
      </c>
      <c r="F403" s="96">
        <f t="shared" si="26"/>
        <v>99.8</v>
      </c>
    </row>
    <row r="404" spans="1:7" ht="39.75" customHeight="1" x14ac:dyDescent="0.25">
      <c r="A404" s="52" t="s">
        <v>58</v>
      </c>
      <c r="B404" s="16"/>
      <c r="C404" s="48" t="s">
        <v>254</v>
      </c>
      <c r="D404" s="95">
        <f>D405</f>
        <v>5</v>
      </c>
      <c r="E404" s="95">
        <f t="shared" ref="E404" si="30">E405</f>
        <v>5</v>
      </c>
      <c r="F404" s="58">
        <f t="shared" si="26"/>
        <v>100</v>
      </c>
    </row>
    <row r="405" spans="1:7" ht="66" x14ac:dyDescent="0.25">
      <c r="A405" s="21" t="s">
        <v>221</v>
      </c>
      <c r="B405" s="16"/>
      <c r="C405" s="102" t="s">
        <v>320</v>
      </c>
      <c r="D405" s="101">
        <f>D406+D408</f>
        <v>5</v>
      </c>
      <c r="E405" s="101">
        <f>E406+E408</f>
        <v>5</v>
      </c>
      <c r="F405" s="96">
        <f t="shared" si="26"/>
        <v>100</v>
      </c>
    </row>
    <row r="406" spans="1:7" ht="26.4" x14ac:dyDescent="0.25">
      <c r="A406" s="74">
        <v>1130123320</v>
      </c>
      <c r="B406" s="16"/>
      <c r="C406" s="100" t="s">
        <v>255</v>
      </c>
      <c r="D406" s="41">
        <f>D407</f>
        <v>4</v>
      </c>
      <c r="E406" s="41">
        <f>E407</f>
        <v>4</v>
      </c>
      <c r="F406" s="96">
        <f t="shared" si="26"/>
        <v>100</v>
      </c>
    </row>
    <row r="407" spans="1:7" ht="39.6" x14ac:dyDescent="0.25">
      <c r="A407" s="74">
        <v>1130123320</v>
      </c>
      <c r="B407" s="84" t="s">
        <v>212</v>
      </c>
      <c r="C407" s="100" t="s">
        <v>213</v>
      </c>
      <c r="D407" s="41">
        <v>4</v>
      </c>
      <c r="E407" s="41">
        <v>4</v>
      </c>
      <c r="F407" s="96">
        <f t="shared" si="26"/>
        <v>100</v>
      </c>
    </row>
    <row r="408" spans="1:7" ht="30.75" customHeight="1" x14ac:dyDescent="0.25">
      <c r="A408" s="74">
        <v>1130123325</v>
      </c>
      <c r="B408" s="16"/>
      <c r="C408" s="100" t="s">
        <v>222</v>
      </c>
      <c r="D408" s="41">
        <f>D409</f>
        <v>1</v>
      </c>
      <c r="E408" s="41">
        <f>E409</f>
        <v>1</v>
      </c>
      <c r="F408" s="58">
        <f t="shared" si="26"/>
        <v>100</v>
      </c>
      <c r="G408" s="106"/>
    </row>
    <row r="409" spans="1:7" ht="39.6" x14ac:dyDescent="0.25">
      <c r="A409" s="74">
        <v>1130123325</v>
      </c>
      <c r="B409" s="84" t="s">
        <v>212</v>
      </c>
      <c r="C409" s="100" t="s">
        <v>213</v>
      </c>
      <c r="D409" s="41">
        <v>1</v>
      </c>
      <c r="E409" s="41">
        <v>1</v>
      </c>
      <c r="F409" s="96">
        <f t="shared" si="26"/>
        <v>100</v>
      </c>
    </row>
    <row r="410" spans="1:7" ht="52.8" x14ac:dyDescent="0.25">
      <c r="A410" s="52" t="s">
        <v>59</v>
      </c>
      <c r="B410" s="16"/>
      <c r="C410" s="48" t="s">
        <v>205</v>
      </c>
      <c r="D410" s="95">
        <f>D411</f>
        <v>15</v>
      </c>
      <c r="E410" s="95">
        <f>E411</f>
        <v>15</v>
      </c>
      <c r="F410" s="96">
        <f t="shared" si="26"/>
        <v>100</v>
      </c>
    </row>
    <row r="411" spans="1:7" ht="52.8" x14ac:dyDescent="0.25">
      <c r="A411" s="21" t="s">
        <v>296</v>
      </c>
      <c r="B411" s="84"/>
      <c r="C411" s="100" t="s">
        <v>321</v>
      </c>
      <c r="D411" s="41">
        <f>D412+D414</f>
        <v>15</v>
      </c>
      <c r="E411" s="41">
        <f>E412+E414</f>
        <v>15</v>
      </c>
      <c r="F411" s="96">
        <f t="shared" si="26"/>
        <v>100</v>
      </c>
    </row>
    <row r="412" spans="1:7" ht="26.4" x14ac:dyDescent="0.25">
      <c r="A412" s="74">
        <v>1140123330</v>
      </c>
      <c r="B412" s="16"/>
      <c r="C412" s="100" t="s">
        <v>497</v>
      </c>
      <c r="D412" s="41">
        <f>D413</f>
        <v>12</v>
      </c>
      <c r="E412" s="41">
        <f>E413</f>
        <v>12</v>
      </c>
      <c r="F412" s="96">
        <f t="shared" si="26"/>
        <v>100</v>
      </c>
    </row>
    <row r="413" spans="1:7" ht="39.6" x14ac:dyDescent="0.25">
      <c r="A413" s="74">
        <v>1140123330</v>
      </c>
      <c r="B413" s="84" t="s">
        <v>212</v>
      </c>
      <c r="C413" s="100" t="s">
        <v>213</v>
      </c>
      <c r="D413" s="41">
        <v>12</v>
      </c>
      <c r="E413" s="41">
        <v>12</v>
      </c>
      <c r="F413" s="96">
        <f t="shared" ref="F413:F467" si="31">ROUND((E413/D413*100),1)</f>
        <v>100</v>
      </c>
    </row>
    <row r="414" spans="1:7" ht="30" customHeight="1" x14ac:dyDescent="0.25">
      <c r="A414" s="74">
        <v>1140123335</v>
      </c>
      <c r="B414" s="16"/>
      <c r="C414" s="100" t="s">
        <v>224</v>
      </c>
      <c r="D414" s="41">
        <f>D415</f>
        <v>3</v>
      </c>
      <c r="E414" s="41">
        <f>E415</f>
        <v>3</v>
      </c>
      <c r="F414" s="96">
        <f t="shared" si="31"/>
        <v>100</v>
      </c>
    </row>
    <row r="415" spans="1:7" ht="39.6" x14ac:dyDescent="0.25">
      <c r="A415" s="74">
        <v>1140123335</v>
      </c>
      <c r="B415" s="84" t="s">
        <v>212</v>
      </c>
      <c r="C415" s="100" t="s">
        <v>213</v>
      </c>
      <c r="D415" s="41">
        <v>3</v>
      </c>
      <c r="E415" s="41">
        <v>3</v>
      </c>
      <c r="F415" s="96">
        <f t="shared" si="31"/>
        <v>100</v>
      </c>
    </row>
    <row r="416" spans="1:7" ht="78.75" customHeight="1" x14ac:dyDescent="0.25">
      <c r="A416" s="73" t="s">
        <v>60</v>
      </c>
      <c r="B416" s="16"/>
      <c r="C416" s="53" t="s">
        <v>569</v>
      </c>
      <c r="D416" s="98">
        <f>D417+D430+D434+D442</f>
        <v>31360.100000000002</v>
      </c>
      <c r="E416" s="98">
        <f>E417+E430+E434+E442</f>
        <v>30679.199999999997</v>
      </c>
      <c r="F416" s="62">
        <f t="shared" si="31"/>
        <v>97.8</v>
      </c>
    </row>
    <row r="417" spans="1:6" ht="39.6" x14ac:dyDescent="0.25">
      <c r="A417" s="52" t="s">
        <v>61</v>
      </c>
      <c r="B417" s="47"/>
      <c r="C417" s="48" t="s">
        <v>814</v>
      </c>
      <c r="D417" s="95">
        <f>D418+D427</f>
        <v>11363.000000000002</v>
      </c>
      <c r="E417" s="95">
        <f>E418+E427</f>
        <v>11334.2</v>
      </c>
      <c r="F417" s="58">
        <f t="shared" si="31"/>
        <v>99.7</v>
      </c>
    </row>
    <row r="418" spans="1:6" ht="26.4" x14ac:dyDescent="0.25">
      <c r="A418" s="21" t="s">
        <v>238</v>
      </c>
      <c r="B418" s="47"/>
      <c r="C418" s="102" t="s">
        <v>256</v>
      </c>
      <c r="D418" s="95">
        <f>D419+D421+D423+D425</f>
        <v>11063.000000000002</v>
      </c>
      <c r="E418" s="95">
        <f>E419+E421+E423+E425</f>
        <v>11034.2</v>
      </c>
      <c r="F418" s="96">
        <f t="shared" si="31"/>
        <v>99.7</v>
      </c>
    </row>
    <row r="419" spans="1:6" ht="39.6" x14ac:dyDescent="0.25">
      <c r="A419" s="74">
        <v>1210123505</v>
      </c>
      <c r="B419" s="21"/>
      <c r="C419" s="100" t="s">
        <v>571</v>
      </c>
      <c r="D419" s="41">
        <f>D420</f>
        <v>4995.4000000000005</v>
      </c>
      <c r="E419" s="41">
        <f>E420</f>
        <v>4995.3999999999996</v>
      </c>
      <c r="F419" s="96">
        <f t="shared" si="31"/>
        <v>100</v>
      </c>
    </row>
    <row r="420" spans="1:6" ht="39.6" x14ac:dyDescent="0.25">
      <c r="A420" s="74">
        <v>1210123505</v>
      </c>
      <c r="B420" s="84" t="s">
        <v>212</v>
      </c>
      <c r="C420" s="100" t="s">
        <v>213</v>
      </c>
      <c r="D420" s="39">
        <f>3473.5-275.7+100+875.8+293.2+275.7-875.8-59.2+300+491.8+337.1+136.5-77.5</f>
        <v>4995.4000000000005</v>
      </c>
      <c r="E420" s="41">
        <v>4995.3999999999996</v>
      </c>
      <c r="F420" s="96">
        <f t="shared" si="31"/>
        <v>100</v>
      </c>
    </row>
    <row r="421" spans="1:6" ht="66" x14ac:dyDescent="0.25">
      <c r="A421" s="74">
        <v>1210123510</v>
      </c>
      <c r="B421" s="21"/>
      <c r="C421" s="100" t="s">
        <v>239</v>
      </c>
      <c r="D421" s="41">
        <f>D422</f>
        <v>4043.5</v>
      </c>
      <c r="E421" s="41">
        <f>E422</f>
        <v>4043.5</v>
      </c>
      <c r="F421" s="96">
        <f t="shared" si="31"/>
        <v>100</v>
      </c>
    </row>
    <row r="422" spans="1:6" ht="39.6" x14ac:dyDescent="0.25">
      <c r="A422" s="74">
        <v>1210123510</v>
      </c>
      <c r="B422" s="84" t="s">
        <v>212</v>
      </c>
      <c r="C422" s="100" t="s">
        <v>213</v>
      </c>
      <c r="D422" s="41">
        <f>5279.4-898.9-337.1+0.1</f>
        <v>4043.5</v>
      </c>
      <c r="E422" s="41">
        <v>4043.5</v>
      </c>
      <c r="F422" s="96">
        <f t="shared" si="31"/>
        <v>100</v>
      </c>
    </row>
    <row r="423" spans="1:6" ht="26.4" x14ac:dyDescent="0.25">
      <c r="A423" s="74">
        <v>1210123515</v>
      </c>
      <c r="B423" s="16"/>
      <c r="C423" s="100" t="s">
        <v>27</v>
      </c>
      <c r="D423" s="41">
        <f>D424</f>
        <v>645.6</v>
      </c>
      <c r="E423" s="41">
        <f>E424</f>
        <v>645.6</v>
      </c>
      <c r="F423" s="96">
        <f t="shared" si="31"/>
        <v>100</v>
      </c>
    </row>
    <row r="424" spans="1:6" ht="39.6" x14ac:dyDescent="0.25">
      <c r="A424" s="74">
        <v>1210123515</v>
      </c>
      <c r="B424" s="84" t="s">
        <v>212</v>
      </c>
      <c r="C424" s="100" t="s">
        <v>213</v>
      </c>
      <c r="D424" s="41">
        <f>500+145.6</f>
        <v>645.6</v>
      </c>
      <c r="E424" s="41">
        <v>645.6</v>
      </c>
      <c r="F424" s="96">
        <f t="shared" si="31"/>
        <v>100</v>
      </c>
    </row>
    <row r="425" spans="1:6" ht="66" x14ac:dyDescent="0.25">
      <c r="A425" s="152" t="s">
        <v>572</v>
      </c>
      <c r="B425" s="84"/>
      <c r="C425" s="125" t="s">
        <v>573</v>
      </c>
      <c r="D425" s="41">
        <f>D426</f>
        <v>1378.5</v>
      </c>
      <c r="E425" s="41">
        <f t="shared" ref="E425" si="32">E426</f>
        <v>1349.7</v>
      </c>
      <c r="F425" s="96">
        <f t="shared" si="31"/>
        <v>97.9</v>
      </c>
    </row>
    <row r="426" spans="1:6" ht="39.6" x14ac:dyDescent="0.25">
      <c r="A426" s="150" t="s">
        <v>572</v>
      </c>
      <c r="B426" s="84" t="s">
        <v>212</v>
      </c>
      <c r="C426" s="100" t="s">
        <v>213</v>
      </c>
      <c r="D426" s="41">
        <f>275.7+1102.8</f>
        <v>1378.5</v>
      </c>
      <c r="E426" s="39">
        <v>1349.7</v>
      </c>
      <c r="F426" s="96">
        <f t="shared" si="31"/>
        <v>97.9</v>
      </c>
    </row>
    <row r="427" spans="1:6" ht="26.4" x14ac:dyDescent="0.25">
      <c r="A427" s="21" t="s">
        <v>294</v>
      </c>
      <c r="B427" s="84"/>
      <c r="C427" s="102" t="s">
        <v>295</v>
      </c>
      <c r="D427" s="41">
        <f>D428</f>
        <v>300</v>
      </c>
      <c r="E427" s="41">
        <f>E428</f>
        <v>300</v>
      </c>
      <c r="F427" s="96">
        <f t="shared" si="31"/>
        <v>100</v>
      </c>
    </row>
    <row r="428" spans="1:6" ht="26.4" x14ac:dyDescent="0.25">
      <c r="A428" s="74">
        <v>1210223520</v>
      </c>
      <c r="B428" s="16"/>
      <c r="C428" s="100" t="s">
        <v>240</v>
      </c>
      <c r="D428" s="41">
        <f>D429</f>
        <v>300</v>
      </c>
      <c r="E428" s="41">
        <f>E429</f>
        <v>300</v>
      </c>
      <c r="F428" s="96">
        <f t="shared" si="31"/>
        <v>100</v>
      </c>
    </row>
    <row r="429" spans="1:6" ht="39.6" x14ac:dyDescent="0.25">
      <c r="A429" s="74">
        <v>1210223520</v>
      </c>
      <c r="B429" s="84" t="s">
        <v>212</v>
      </c>
      <c r="C429" s="100" t="s">
        <v>213</v>
      </c>
      <c r="D429" s="39">
        <v>300</v>
      </c>
      <c r="E429" s="41">
        <v>300</v>
      </c>
      <c r="F429" s="96">
        <f t="shared" si="31"/>
        <v>100</v>
      </c>
    </row>
    <row r="430" spans="1:6" ht="26.4" x14ac:dyDescent="0.25">
      <c r="A430" s="52" t="s">
        <v>62</v>
      </c>
      <c r="B430" s="47"/>
      <c r="C430" s="48" t="s">
        <v>30</v>
      </c>
      <c r="D430" s="95">
        <f>D431</f>
        <v>1560.6</v>
      </c>
      <c r="E430" s="95">
        <f>E431</f>
        <v>1541.8</v>
      </c>
      <c r="F430" s="96">
        <f t="shared" si="31"/>
        <v>98.8</v>
      </c>
    </row>
    <row r="431" spans="1:6" x14ac:dyDescent="0.25">
      <c r="A431" s="21" t="s">
        <v>241</v>
      </c>
      <c r="B431" s="47"/>
      <c r="C431" s="102" t="s">
        <v>242</v>
      </c>
      <c r="D431" s="101">
        <f t="shared" ref="D431:E432" si="33">D432</f>
        <v>1560.6</v>
      </c>
      <c r="E431" s="101">
        <f t="shared" si="33"/>
        <v>1541.8</v>
      </c>
      <c r="F431" s="96">
        <f t="shared" si="31"/>
        <v>98.8</v>
      </c>
    </row>
    <row r="432" spans="1:6" ht="26.4" x14ac:dyDescent="0.25">
      <c r="A432" s="80">
        <v>1220123525</v>
      </c>
      <c r="B432" s="16"/>
      <c r="C432" s="100" t="s">
        <v>192</v>
      </c>
      <c r="D432" s="41">
        <f t="shared" si="33"/>
        <v>1560.6</v>
      </c>
      <c r="E432" s="41">
        <f t="shared" si="33"/>
        <v>1541.8</v>
      </c>
      <c r="F432" s="96">
        <f t="shared" si="31"/>
        <v>98.8</v>
      </c>
    </row>
    <row r="433" spans="1:6" ht="39.6" x14ac:dyDescent="0.25">
      <c r="A433" s="80">
        <v>1220123525</v>
      </c>
      <c r="B433" s="84" t="s">
        <v>212</v>
      </c>
      <c r="C433" s="100" t="s">
        <v>213</v>
      </c>
      <c r="D433" s="41">
        <f>1610.5-49.9</f>
        <v>1560.6</v>
      </c>
      <c r="E433" s="41">
        <v>1541.8</v>
      </c>
      <c r="F433" s="96">
        <f t="shared" si="31"/>
        <v>98.8</v>
      </c>
    </row>
    <row r="434" spans="1:6" ht="39.6" x14ac:dyDescent="0.25">
      <c r="A434" s="52" t="s">
        <v>63</v>
      </c>
      <c r="B434" s="47"/>
      <c r="C434" s="48" t="s">
        <v>574</v>
      </c>
      <c r="D434" s="95">
        <f>D435</f>
        <v>5240.1000000000004</v>
      </c>
      <c r="E434" s="95">
        <f>E435</f>
        <v>5240.1000000000004</v>
      </c>
      <c r="F434" s="58">
        <f t="shared" si="31"/>
        <v>100</v>
      </c>
    </row>
    <row r="435" spans="1:6" ht="39" customHeight="1" x14ac:dyDescent="0.25">
      <c r="A435" s="21" t="s">
        <v>243</v>
      </c>
      <c r="B435" s="47"/>
      <c r="C435" s="102" t="s">
        <v>245</v>
      </c>
      <c r="D435" s="101">
        <f>D436+D438+D440</f>
        <v>5240.1000000000004</v>
      </c>
      <c r="E435" s="101">
        <f>E436+E438+E440</f>
        <v>5240.1000000000004</v>
      </c>
      <c r="F435" s="96">
        <f t="shared" si="31"/>
        <v>100</v>
      </c>
    </row>
    <row r="436" spans="1:6" ht="26.4" x14ac:dyDescent="0.25">
      <c r="A436" s="21" t="s">
        <v>575</v>
      </c>
      <c r="B436" s="16"/>
      <c r="C436" s="100" t="s">
        <v>311</v>
      </c>
      <c r="D436" s="41">
        <f>D437</f>
        <v>2944.4</v>
      </c>
      <c r="E436" s="41">
        <f>E437</f>
        <v>2944.4</v>
      </c>
      <c r="F436" s="96">
        <f t="shared" si="31"/>
        <v>100</v>
      </c>
    </row>
    <row r="437" spans="1:6" ht="36.75" customHeight="1" x14ac:dyDescent="0.25">
      <c r="A437" s="21" t="s">
        <v>575</v>
      </c>
      <c r="B437" s="84" t="s">
        <v>212</v>
      </c>
      <c r="C437" s="100" t="s">
        <v>213</v>
      </c>
      <c r="D437" s="41">
        <f>3800-1000+144.4</f>
        <v>2944.4</v>
      </c>
      <c r="E437" s="41">
        <v>2944.4</v>
      </c>
      <c r="F437" s="96">
        <f t="shared" si="31"/>
        <v>100</v>
      </c>
    </row>
    <row r="438" spans="1:6" ht="26.4" x14ac:dyDescent="0.25">
      <c r="A438" s="21" t="s">
        <v>576</v>
      </c>
      <c r="B438" s="16"/>
      <c r="C438" s="100" t="s">
        <v>28</v>
      </c>
      <c r="D438" s="41">
        <f>D439</f>
        <v>2290.6999999999998</v>
      </c>
      <c r="E438" s="41">
        <f>E439</f>
        <v>2290.6999999999998</v>
      </c>
      <c r="F438" s="96">
        <f t="shared" si="31"/>
        <v>100</v>
      </c>
    </row>
    <row r="439" spans="1:6" ht="39.6" x14ac:dyDescent="0.25">
      <c r="A439" s="21" t="s">
        <v>576</v>
      </c>
      <c r="B439" s="84" t="s">
        <v>212</v>
      </c>
      <c r="C439" s="100" t="s">
        <v>213</v>
      </c>
      <c r="D439" s="41">
        <f>1170+1070.7+59.2-9.2</f>
        <v>2290.6999999999998</v>
      </c>
      <c r="E439" s="41">
        <v>2290.6999999999998</v>
      </c>
      <c r="F439" s="96">
        <f t="shared" si="31"/>
        <v>100</v>
      </c>
    </row>
    <row r="440" spans="1:6" ht="26.4" x14ac:dyDescent="0.25">
      <c r="A440" s="21" t="s">
        <v>577</v>
      </c>
      <c r="B440" s="16"/>
      <c r="C440" s="100" t="s">
        <v>193</v>
      </c>
      <c r="D440" s="41">
        <f>D441</f>
        <v>5</v>
      </c>
      <c r="E440" s="41">
        <f>E441</f>
        <v>5</v>
      </c>
      <c r="F440" s="96">
        <f t="shared" si="31"/>
        <v>100</v>
      </c>
    </row>
    <row r="441" spans="1:6" ht="39.6" x14ac:dyDescent="0.25">
      <c r="A441" s="21" t="s">
        <v>577</v>
      </c>
      <c r="B441" s="84" t="s">
        <v>212</v>
      </c>
      <c r="C441" s="100" t="s">
        <v>213</v>
      </c>
      <c r="D441" s="41">
        <v>5</v>
      </c>
      <c r="E441" s="41">
        <v>5</v>
      </c>
      <c r="F441" s="96">
        <f t="shared" si="31"/>
        <v>100</v>
      </c>
    </row>
    <row r="442" spans="1:6" ht="52.8" x14ac:dyDescent="0.25">
      <c r="A442" s="52" t="s">
        <v>64</v>
      </c>
      <c r="B442" s="16"/>
      <c r="C442" s="60" t="s">
        <v>578</v>
      </c>
      <c r="D442" s="95">
        <f>D443+D448</f>
        <v>13196.399999999998</v>
      </c>
      <c r="E442" s="95">
        <f>E443+E448</f>
        <v>12563.099999999999</v>
      </c>
      <c r="F442" s="58">
        <f t="shared" si="31"/>
        <v>95.2</v>
      </c>
    </row>
    <row r="443" spans="1:6" ht="49.5" customHeight="1" x14ac:dyDescent="0.25">
      <c r="A443" s="21" t="s">
        <v>244</v>
      </c>
      <c r="B443" s="16"/>
      <c r="C443" s="102" t="s">
        <v>757</v>
      </c>
      <c r="D443" s="41">
        <f>D444+D446</f>
        <v>318.50000000000006</v>
      </c>
      <c r="E443" s="41">
        <f>E444+E446</f>
        <v>318.5</v>
      </c>
      <c r="F443" s="96">
        <f t="shared" si="31"/>
        <v>100</v>
      </c>
    </row>
    <row r="444" spans="1:6" ht="26.4" x14ac:dyDescent="0.25">
      <c r="A444" s="21" t="s">
        <v>579</v>
      </c>
      <c r="B444" s="16"/>
      <c r="C444" s="100" t="s">
        <v>385</v>
      </c>
      <c r="D444" s="41">
        <f>D445</f>
        <v>289.20000000000005</v>
      </c>
      <c r="E444" s="41">
        <f>E445</f>
        <v>289.2</v>
      </c>
      <c r="F444" s="96">
        <f t="shared" si="31"/>
        <v>100</v>
      </c>
    </row>
    <row r="445" spans="1:6" ht="39.6" x14ac:dyDescent="0.25">
      <c r="A445" s="21" t="s">
        <v>579</v>
      </c>
      <c r="B445" s="84" t="s">
        <v>212</v>
      </c>
      <c r="C445" s="100" t="s">
        <v>213</v>
      </c>
      <c r="D445" s="41">
        <f>500+162.5-29.3-344</f>
        <v>289.20000000000005</v>
      </c>
      <c r="E445" s="41">
        <v>289.2</v>
      </c>
      <c r="F445" s="96">
        <f t="shared" si="31"/>
        <v>100</v>
      </c>
    </row>
    <row r="446" spans="1:6" ht="52.8" x14ac:dyDescent="0.25">
      <c r="A446" s="21" t="s">
        <v>580</v>
      </c>
      <c r="B446" s="84"/>
      <c r="C446" s="100" t="s">
        <v>581</v>
      </c>
      <c r="D446" s="41">
        <f>D447</f>
        <v>29.3</v>
      </c>
      <c r="E446" s="41">
        <f>E447</f>
        <v>29.3</v>
      </c>
      <c r="F446" s="96">
        <f t="shared" si="31"/>
        <v>100</v>
      </c>
    </row>
    <row r="447" spans="1:6" ht="39.6" x14ac:dyDescent="0.25">
      <c r="A447" s="21" t="s">
        <v>580</v>
      </c>
      <c r="B447" s="84" t="s">
        <v>212</v>
      </c>
      <c r="C447" s="100" t="s">
        <v>213</v>
      </c>
      <c r="D447" s="41">
        <v>29.3</v>
      </c>
      <c r="E447" s="41">
        <v>29.3</v>
      </c>
      <c r="F447" s="96">
        <f t="shared" si="31"/>
        <v>100</v>
      </c>
    </row>
    <row r="448" spans="1:6" ht="42" customHeight="1" x14ac:dyDescent="0.25">
      <c r="A448" s="21" t="s">
        <v>758</v>
      </c>
      <c r="B448" s="16"/>
      <c r="C448" s="100" t="s">
        <v>759</v>
      </c>
      <c r="D448" s="41">
        <f>D449+D452</f>
        <v>12877.899999999998</v>
      </c>
      <c r="E448" s="41">
        <f>E449+E452</f>
        <v>12244.599999999999</v>
      </c>
      <c r="F448" s="96">
        <f t="shared" si="31"/>
        <v>95.1</v>
      </c>
    </row>
    <row r="449" spans="1:6" ht="28.5" customHeight="1" x14ac:dyDescent="0.25">
      <c r="A449" s="21" t="s">
        <v>582</v>
      </c>
      <c r="B449" s="84"/>
      <c r="C449" s="100" t="s">
        <v>583</v>
      </c>
      <c r="D449" s="41">
        <f>SUM(D450:D451)</f>
        <v>9492.1999999999989</v>
      </c>
      <c r="E449" s="41">
        <f>SUM(E450:E451)</f>
        <v>8858.9</v>
      </c>
      <c r="F449" s="96">
        <f t="shared" si="31"/>
        <v>93.3</v>
      </c>
    </row>
    <row r="450" spans="1:6" ht="39.6" x14ac:dyDescent="0.25">
      <c r="A450" s="21" t="s">
        <v>582</v>
      </c>
      <c r="B450" s="84" t="s">
        <v>212</v>
      </c>
      <c r="C450" s="100" t="s">
        <v>213</v>
      </c>
      <c r="D450" s="41">
        <f>9500-8.6</f>
        <v>9491.4</v>
      </c>
      <c r="E450" s="41">
        <v>8858.1</v>
      </c>
      <c r="F450" s="96">
        <f t="shared" si="31"/>
        <v>93.3</v>
      </c>
    </row>
    <row r="451" spans="1:6" x14ac:dyDescent="0.25">
      <c r="A451" s="21" t="s">
        <v>582</v>
      </c>
      <c r="B451" s="84" t="s">
        <v>308</v>
      </c>
      <c r="C451" s="54" t="s">
        <v>309</v>
      </c>
      <c r="D451" s="41">
        <v>0.8</v>
      </c>
      <c r="E451" s="41">
        <v>0.8</v>
      </c>
      <c r="F451" s="96">
        <f t="shared" si="31"/>
        <v>100</v>
      </c>
    </row>
    <row r="452" spans="1:6" x14ac:dyDescent="0.25">
      <c r="A452" s="21" t="s">
        <v>584</v>
      </c>
      <c r="B452" s="84"/>
      <c r="C452" s="100" t="s">
        <v>585</v>
      </c>
      <c r="D452" s="41">
        <f>D453</f>
        <v>3385.7</v>
      </c>
      <c r="E452" s="41">
        <f>E453</f>
        <v>3385.7</v>
      </c>
      <c r="F452" s="96">
        <f t="shared" si="31"/>
        <v>100</v>
      </c>
    </row>
    <row r="453" spans="1:6" ht="39.6" x14ac:dyDescent="0.25">
      <c r="A453" s="21" t="s">
        <v>584</v>
      </c>
      <c r="B453" s="84" t="s">
        <v>212</v>
      </c>
      <c r="C453" s="100" t="s">
        <v>213</v>
      </c>
      <c r="D453" s="41">
        <f>3108.9-59.4+344-7.8</f>
        <v>3385.7</v>
      </c>
      <c r="E453" s="41">
        <v>3385.7</v>
      </c>
      <c r="F453" s="96">
        <f t="shared" si="31"/>
        <v>100</v>
      </c>
    </row>
    <row r="454" spans="1:6" ht="80.25" customHeight="1" x14ac:dyDescent="0.3">
      <c r="A454" s="73" t="s">
        <v>40</v>
      </c>
      <c r="B454" s="3"/>
      <c r="C454" s="196" t="s">
        <v>730</v>
      </c>
      <c r="D454" s="59">
        <f>D455+D469</f>
        <v>30191.899999999998</v>
      </c>
      <c r="E454" s="59">
        <f>E455+E469</f>
        <v>30191.8</v>
      </c>
      <c r="F454" s="62">
        <f t="shared" si="31"/>
        <v>100</v>
      </c>
    </row>
    <row r="455" spans="1:6" ht="27" x14ac:dyDescent="0.3">
      <c r="A455" s="52" t="s">
        <v>41</v>
      </c>
      <c r="B455" s="3"/>
      <c r="C455" s="46" t="s">
        <v>89</v>
      </c>
      <c r="D455" s="95">
        <f>D456+D461+D466</f>
        <v>27541.1</v>
      </c>
      <c r="E455" s="95">
        <f>E456+E461+E466</f>
        <v>27541</v>
      </c>
      <c r="F455" s="58">
        <f t="shared" si="31"/>
        <v>100</v>
      </c>
    </row>
    <row r="456" spans="1:6" ht="27" x14ac:dyDescent="0.3">
      <c r="A456" s="21" t="s">
        <v>278</v>
      </c>
      <c r="B456" s="3"/>
      <c r="C456" s="112" t="s">
        <v>279</v>
      </c>
      <c r="D456" s="41">
        <f>D457+D459</f>
        <v>3146</v>
      </c>
      <c r="E456" s="41">
        <f>E457+E459</f>
        <v>3146</v>
      </c>
      <c r="F456" s="96">
        <f t="shared" si="31"/>
        <v>100</v>
      </c>
    </row>
    <row r="457" spans="1:6" ht="40.200000000000003" x14ac:dyDescent="0.3">
      <c r="A457" s="21" t="s">
        <v>313</v>
      </c>
      <c r="B457" s="3"/>
      <c r="C457" s="193" t="s">
        <v>203</v>
      </c>
      <c r="D457" s="41">
        <f t="shared" ref="D457:E457" si="34">D458</f>
        <v>629.20000000000005</v>
      </c>
      <c r="E457" s="41">
        <f t="shared" si="34"/>
        <v>629.20000000000005</v>
      </c>
      <c r="F457" s="96">
        <f t="shared" si="31"/>
        <v>100</v>
      </c>
    </row>
    <row r="458" spans="1:6" x14ac:dyDescent="0.25">
      <c r="A458" s="21" t="s">
        <v>313</v>
      </c>
      <c r="B458" s="84" t="s">
        <v>252</v>
      </c>
      <c r="C458" s="105" t="s">
        <v>251</v>
      </c>
      <c r="D458" s="41">
        <v>629.20000000000005</v>
      </c>
      <c r="E458" s="41">
        <v>629.20000000000005</v>
      </c>
      <c r="F458" s="96">
        <f t="shared" si="31"/>
        <v>100</v>
      </c>
    </row>
    <row r="459" spans="1:6" ht="39.6" x14ac:dyDescent="0.25">
      <c r="A459" s="21" t="s">
        <v>414</v>
      </c>
      <c r="B459" s="84"/>
      <c r="C459" s="54" t="s">
        <v>413</v>
      </c>
      <c r="D459" s="41">
        <f>D460</f>
        <v>2516.8000000000002</v>
      </c>
      <c r="E459" s="41">
        <f>E460</f>
        <v>2516.8000000000002</v>
      </c>
      <c r="F459" s="96">
        <f t="shared" si="31"/>
        <v>100</v>
      </c>
    </row>
    <row r="460" spans="1:6" ht="17.25" customHeight="1" x14ac:dyDescent="0.25">
      <c r="A460" s="21" t="s">
        <v>414</v>
      </c>
      <c r="B460" s="84" t="s">
        <v>252</v>
      </c>
      <c r="C460" s="105" t="s">
        <v>251</v>
      </c>
      <c r="D460" s="41">
        <v>2516.8000000000002</v>
      </c>
      <c r="E460" s="41">
        <v>2516.8000000000002</v>
      </c>
      <c r="F460" s="96">
        <f t="shared" si="31"/>
        <v>100</v>
      </c>
    </row>
    <row r="461" spans="1:6" ht="79.8" x14ac:dyDescent="0.3">
      <c r="A461" s="21" t="s">
        <v>280</v>
      </c>
      <c r="B461" s="35"/>
      <c r="C461" s="99" t="s">
        <v>760</v>
      </c>
      <c r="D461" s="101">
        <f>D462+D464</f>
        <v>11002.199999999999</v>
      </c>
      <c r="E461" s="101">
        <f>E462+E464</f>
        <v>11002.099999999999</v>
      </c>
      <c r="F461" s="96">
        <f t="shared" si="31"/>
        <v>100</v>
      </c>
    </row>
    <row r="462" spans="1:6" ht="52.8" x14ac:dyDescent="0.25">
      <c r="A462" s="80">
        <v>1310210820</v>
      </c>
      <c r="B462" s="16"/>
      <c r="C462" s="100" t="s">
        <v>169</v>
      </c>
      <c r="D462" s="39">
        <f>D463</f>
        <v>1375.2999999999997</v>
      </c>
      <c r="E462" s="39">
        <f>E463</f>
        <v>1375.3</v>
      </c>
      <c r="F462" s="96">
        <f t="shared" si="31"/>
        <v>100</v>
      </c>
    </row>
    <row r="463" spans="1:6" x14ac:dyDescent="0.25">
      <c r="A463" s="80">
        <v>1310210820</v>
      </c>
      <c r="B463" s="84" t="s">
        <v>252</v>
      </c>
      <c r="C463" s="105" t="s">
        <v>251</v>
      </c>
      <c r="D463" s="39">
        <f>3469.1-2093.8</f>
        <v>1375.2999999999997</v>
      </c>
      <c r="E463" s="41">
        <v>1375.3</v>
      </c>
      <c r="F463" s="96">
        <f t="shared" si="31"/>
        <v>100</v>
      </c>
    </row>
    <row r="464" spans="1:6" ht="39.6" x14ac:dyDescent="0.25">
      <c r="A464" s="80" t="s">
        <v>353</v>
      </c>
      <c r="B464" s="16"/>
      <c r="C464" s="100" t="s">
        <v>322</v>
      </c>
      <c r="D464" s="39">
        <f>D465</f>
        <v>9626.9</v>
      </c>
      <c r="E464" s="39">
        <f>E465</f>
        <v>9626.7999999999993</v>
      </c>
      <c r="F464" s="96">
        <f t="shared" si="31"/>
        <v>100</v>
      </c>
    </row>
    <row r="465" spans="1:6" x14ac:dyDescent="0.25">
      <c r="A465" s="80" t="s">
        <v>353</v>
      </c>
      <c r="B465" s="84" t="s">
        <v>252</v>
      </c>
      <c r="C465" s="105" t="s">
        <v>251</v>
      </c>
      <c r="D465" s="39">
        <f>11563.4-1936.5</f>
        <v>9626.9</v>
      </c>
      <c r="E465" s="39">
        <v>9626.7999999999993</v>
      </c>
      <c r="F465" s="96">
        <f t="shared" si="31"/>
        <v>100</v>
      </c>
    </row>
    <row r="466" spans="1:6" ht="23.25" customHeight="1" x14ac:dyDescent="0.25">
      <c r="A466" s="21" t="s">
        <v>305</v>
      </c>
      <c r="B466" s="84"/>
      <c r="C466" s="112" t="s">
        <v>346</v>
      </c>
      <c r="D466" s="41">
        <f t="shared" ref="D466:E467" si="35">D467</f>
        <v>13392.9</v>
      </c>
      <c r="E466" s="41">
        <f t="shared" si="35"/>
        <v>13392.9</v>
      </c>
      <c r="F466" s="96">
        <f t="shared" si="31"/>
        <v>100</v>
      </c>
    </row>
    <row r="467" spans="1:6" ht="52.8" x14ac:dyDescent="0.25">
      <c r="A467" s="74" t="s">
        <v>345</v>
      </c>
      <c r="B467" s="16"/>
      <c r="C467" s="100" t="s">
        <v>330</v>
      </c>
      <c r="D467" s="96">
        <f t="shared" si="35"/>
        <v>13392.9</v>
      </c>
      <c r="E467" s="96">
        <f t="shared" si="35"/>
        <v>13392.9</v>
      </c>
      <c r="F467" s="96">
        <f t="shared" si="31"/>
        <v>100</v>
      </c>
    </row>
    <row r="468" spans="1:6" ht="31.5" customHeight="1" x14ac:dyDescent="0.25">
      <c r="A468" s="74" t="s">
        <v>345</v>
      </c>
      <c r="B468" s="84" t="s">
        <v>265</v>
      </c>
      <c r="C468" s="100" t="s">
        <v>253</v>
      </c>
      <c r="D468" s="96">
        <f>2854.2+10714.3-175.6</f>
        <v>13392.9</v>
      </c>
      <c r="E468" s="41">
        <v>13392.9</v>
      </c>
      <c r="F468" s="96">
        <f t="shared" ref="F468:F527" si="36">ROUND((E468/D468*100),1)</f>
        <v>100</v>
      </c>
    </row>
    <row r="469" spans="1:6" ht="26.4" x14ac:dyDescent="0.25">
      <c r="A469" s="52" t="s">
        <v>42</v>
      </c>
      <c r="B469" s="16"/>
      <c r="C469" s="46" t="s">
        <v>86</v>
      </c>
      <c r="D469" s="95">
        <f>D470+D473</f>
        <v>2650.8</v>
      </c>
      <c r="E469" s="95">
        <f>E470+E473</f>
        <v>2650.8</v>
      </c>
      <c r="F469" s="58">
        <f t="shared" si="36"/>
        <v>100</v>
      </c>
    </row>
    <row r="470" spans="1:6" ht="52.8" x14ac:dyDescent="0.25">
      <c r="A470" s="21" t="s">
        <v>281</v>
      </c>
      <c r="B470" s="16"/>
      <c r="C470" s="112" t="s">
        <v>306</v>
      </c>
      <c r="D470" s="41">
        <f t="shared" ref="D470:E471" si="37">D471</f>
        <v>688</v>
      </c>
      <c r="E470" s="41">
        <f t="shared" si="37"/>
        <v>688</v>
      </c>
      <c r="F470" s="96">
        <f t="shared" si="36"/>
        <v>100</v>
      </c>
    </row>
    <row r="471" spans="1:6" ht="52.8" x14ac:dyDescent="0.25">
      <c r="A471" s="80">
        <v>1320127100</v>
      </c>
      <c r="B471" s="16"/>
      <c r="C471" s="100" t="s">
        <v>3</v>
      </c>
      <c r="D471" s="41">
        <f t="shared" si="37"/>
        <v>688</v>
      </c>
      <c r="E471" s="41">
        <f t="shared" si="37"/>
        <v>688</v>
      </c>
      <c r="F471" s="96">
        <f t="shared" si="36"/>
        <v>100</v>
      </c>
    </row>
    <row r="472" spans="1:6" ht="63.75" customHeight="1" x14ac:dyDescent="0.25">
      <c r="A472" s="80">
        <v>1320127100</v>
      </c>
      <c r="B472" s="16" t="s">
        <v>23</v>
      </c>
      <c r="C472" s="102" t="s">
        <v>376</v>
      </c>
      <c r="D472" s="41">
        <f>638+50</f>
        <v>688</v>
      </c>
      <c r="E472" s="41">
        <f>638+50</f>
        <v>688</v>
      </c>
      <c r="F472" s="96">
        <f t="shared" si="36"/>
        <v>100</v>
      </c>
    </row>
    <row r="473" spans="1:6" ht="27" x14ac:dyDescent="0.3">
      <c r="A473" s="21" t="s">
        <v>282</v>
      </c>
      <c r="B473" s="3"/>
      <c r="C473" s="112" t="s">
        <v>285</v>
      </c>
      <c r="D473" s="101">
        <f t="shared" ref="D473:E474" si="38">D474</f>
        <v>1962.8000000000002</v>
      </c>
      <c r="E473" s="101">
        <f t="shared" si="38"/>
        <v>1962.8</v>
      </c>
      <c r="F473" s="96">
        <f t="shared" si="36"/>
        <v>100</v>
      </c>
    </row>
    <row r="474" spans="1:6" ht="30.75" customHeight="1" x14ac:dyDescent="0.3">
      <c r="A474" s="80">
        <v>1320225100</v>
      </c>
      <c r="B474" s="3"/>
      <c r="C474" s="190" t="s">
        <v>377</v>
      </c>
      <c r="D474" s="41">
        <f t="shared" si="38"/>
        <v>1962.8000000000002</v>
      </c>
      <c r="E474" s="41">
        <f t="shared" si="38"/>
        <v>1962.8</v>
      </c>
      <c r="F474" s="96">
        <f t="shared" si="36"/>
        <v>100</v>
      </c>
    </row>
    <row r="475" spans="1:6" ht="26.4" x14ac:dyDescent="0.25">
      <c r="A475" s="80">
        <v>1320225100</v>
      </c>
      <c r="B475" s="84" t="s">
        <v>283</v>
      </c>
      <c r="C475" s="100" t="s">
        <v>284</v>
      </c>
      <c r="D475" s="39">
        <f>2710.8-801.4+53.4</f>
        <v>1962.8000000000002</v>
      </c>
      <c r="E475" s="41">
        <v>1962.8</v>
      </c>
      <c r="F475" s="96">
        <f t="shared" si="36"/>
        <v>100</v>
      </c>
    </row>
    <row r="476" spans="1:6" ht="76.5" customHeight="1" x14ac:dyDescent="0.25">
      <c r="A476" s="76">
        <v>1400000000</v>
      </c>
      <c r="B476" s="16"/>
      <c r="C476" s="196" t="s">
        <v>586</v>
      </c>
      <c r="D476" s="98">
        <f>D477</f>
        <v>121967.5</v>
      </c>
      <c r="E476" s="98">
        <f>E477</f>
        <v>109769.4</v>
      </c>
      <c r="F476" s="62">
        <f t="shared" si="36"/>
        <v>90</v>
      </c>
    </row>
    <row r="477" spans="1:6" ht="79.2" x14ac:dyDescent="0.25">
      <c r="A477" s="75">
        <v>1410000000</v>
      </c>
      <c r="B477" s="16"/>
      <c r="C477" s="48" t="s">
        <v>217</v>
      </c>
      <c r="D477" s="95">
        <f>D478+D487</f>
        <v>121967.5</v>
      </c>
      <c r="E477" s="95">
        <f>E478+E487</f>
        <v>109769.4</v>
      </c>
      <c r="F477" s="58">
        <f t="shared" si="36"/>
        <v>90</v>
      </c>
    </row>
    <row r="478" spans="1:6" ht="92.4" x14ac:dyDescent="0.25">
      <c r="A478" s="74">
        <v>1410200000</v>
      </c>
      <c r="B478" s="16"/>
      <c r="C478" s="100" t="s">
        <v>378</v>
      </c>
      <c r="D478" s="41">
        <f>D479+D481+D483+D485</f>
        <v>25897.1</v>
      </c>
      <c r="E478" s="41">
        <f>E479+E481+E483+E485</f>
        <v>13699</v>
      </c>
      <c r="F478" s="96">
        <f t="shared" si="36"/>
        <v>52.9</v>
      </c>
    </row>
    <row r="479" spans="1:6" ht="26.4" x14ac:dyDescent="0.25">
      <c r="A479" s="74">
        <v>1410223125</v>
      </c>
      <c r="B479" s="84"/>
      <c r="C479" s="100" t="s">
        <v>382</v>
      </c>
      <c r="D479" s="41">
        <f>D480</f>
        <v>689.6</v>
      </c>
      <c r="E479" s="41">
        <f>E480</f>
        <v>689.6</v>
      </c>
      <c r="F479" s="96">
        <f t="shared" si="36"/>
        <v>100</v>
      </c>
    </row>
    <row r="480" spans="1:6" ht="39.6" x14ac:dyDescent="0.25">
      <c r="A480" s="74">
        <v>1410223125</v>
      </c>
      <c r="B480" s="84" t="s">
        <v>212</v>
      </c>
      <c r="C480" s="100" t="s">
        <v>213</v>
      </c>
      <c r="D480" s="41">
        <f>538.6+60+278.4-16.5-174.4+3.5</f>
        <v>689.6</v>
      </c>
      <c r="E480" s="41">
        <f>538.6+60+278.4-16.5-174.4+3.5</f>
        <v>689.6</v>
      </c>
      <c r="F480" s="96">
        <f t="shared" si="36"/>
        <v>100</v>
      </c>
    </row>
    <row r="481" spans="1:6" ht="26.4" x14ac:dyDescent="0.25">
      <c r="A481" s="74">
        <v>1410223130</v>
      </c>
      <c r="B481" s="84"/>
      <c r="C481" s="125" t="s">
        <v>416</v>
      </c>
      <c r="D481" s="41">
        <f>D482</f>
        <v>23651.1</v>
      </c>
      <c r="E481" s="41">
        <f>E482</f>
        <v>11453</v>
      </c>
      <c r="F481" s="96">
        <f t="shared" si="36"/>
        <v>48.4</v>
      </c>
    </row>
    <row r="482" spans="1:6" ht="42.75" customHeight="1" x14ac:dyDescent="0.25">
      <c r="A482" s="74">
        <v>1410223130</v>
      </c>
      <c r="B482" s="84" t="s">
        <v>212</v>
      </c>
      <c r="C482" s="100" t="s">
        <v>213</v>
      </c>
      <c r="D482" s="41">
        <f>9651.1+14000</f>
        <v>23651.1</v>
      </c>
      <c r="E482" s="41">
        <v>11453</v>
      </c>
      <c r="F482" s="96">
        <f t="shared" si="36"/>
        <v>48.4</v>
      </c>
    </row>
    <row r="483" spans="1:6" ht="24" customHeight="1" x14ac:dyDescent="0.25">
      <c r="A483" s="74">
        <v>1410223135</v>
      </c>
      <c r="B483" s="84"/>
      <c r="C483" s="151" t="s">
        <v>403</v>
      </c>
      <c r="D483" s="41">
        <f>D484</f>
        <v>556.4</v>
      </c>
      <c r="E483" s="41">
        <f>E484</f>
        <v>556.4</v>
      </c>
      <c r="F483" s="96">
        <f t="shared" si="36"/>
        <v>100</v>
      </c>
    </row>
    <row r="484" spans="1:6" ht="39.6" x14ac:dyDescent="0.25">
      <c r="A484" s="74">
        <v>1410223135</v>
      </c>
      <c r="B484" s="84" t="s">
        <v>212</v>
      </c>
      <c r="C484" s="100" t="s">
        <v>213</v>
      </c>
      <c r="D484" s="41">
        <f>84.4+284.9+12.7+174.4</f>
        <v>556.4</v>
      </c>
      <c r="E484" s="41">
        <v>556.4</v>
      </c>
      <c r="F484" s="96">
        <f t="shared" si="36"/>
        <v>100</v>
      </c>
    </row>
    <row r="485" spans="1:6" ht="26.4" x14ac:dyDescent="0.25">
      <c r="A485" s="74">
        <v>1410211180</v>
      </c>
      <c r="B485" s="84"/>
      <c r="C485" s="100" t="s">
        <v>587</v>
      </c>
      <c r="D485" s="41">
        <f>D486</f>
        <v>1000</v>
      </c>
      <c r="E485" s="41">
        <f>E486</f>
        <v>1000</v>
      </c>
      <c r="F485" s="96">
        <f t="shared" si="36"/>
        <v>100</v>
      </c>
    </row>
    <row r="486" spans="1:6" ht="39.6" x14ac:dyDescent="0.25">
      <c r="A486" s="74">
        <v>1410211180</v>
      </c>
      <c r="B486" s="84" t="s">
        <v>212</v>
      </c>
      <c r="C486" s="100" t="s">
        <v>213</v>
      </c>
      <c r="D486" s="41">
        <v>1000</v>
      </c>
      <c r="E486" s="41">
        <v>1000</v>
      </c>
      <c r="F486" s="96">
        <f t="shared" si="36"/>
        <v>100</v>
      </c>
    </row>
    <row r="487" spans="1:6" ht="52.8" x14ac:dyDescent="0.25">
      <c r="A487" s="74" t="s">
        <v>404</v>
      </c>
      <c r="B487" s="84"/>
      <c r="C487" s="100" t="s">
        <v>409</v>
      </c>
      <c r="D487" s="41">
        <f>D488+D490+D492</f>
        <v>96070.399999999994</v>
      </c>
      <c r="E487" s="41">
        <f>E488+E490+E492</f>
        <v>96070.399999999994</v>
      </c>
      <c r="F487" s="96">
        <f t="shared" si="36"/>
        <v>100</v>
      </c>
    </row>
    <row r="488" spans="1:6" ht="39.6" x14ac:dyDescent="0.25">
      <c r="A488" s="74" t="s">
        <v>367</v>
      </c>
      <c r="B488" s="16"/>
      <c r="C488" s="100" t="s">
        <v>329</v>
      </c>
      <c r="D488" s="41">
        <f>D489</f>
        <v>12070.4</v>
      </c>
      <c r="E488" s="41">
        <f>E489</f>
        <v>12070.4</v>
      </c>
      <c r="F488" s="96">
        <f t="shared" si="36"/>
        <v>100</v>
      </c>
    </row>
    <row r="489" spans="1:6" ht="39.6" x14ac:dyDescent="0.25">
      <c r="A489" s="74" t="s">
        <v>367</v>
      </c>
      <c r="B489" s="84" t="s">
        <v>212</v>
      </c>
      <c r="C489" s="100" t="s">
        <v>213</v>
      </c>
      <c r="D489" s="41">
        <v>12070.4</v>
      </c>
      <c r="E489" s="41">
        <v>12070.4</v>
      </c>
      <c r="F489" s="96">
        <f t="shared" si="36"/>
        <v>100</v>
      </c>
    </row>
    <row r="490" spans="1:6" ht="52.8" x14ac:dyDescent="0.25">
      <c r="A490" s="204" t="s">
        <v>588</v>
      </c>
      <c r="B490" s="16"/>
      <c r="C490" s="100" t="s">
        <v>589</v>
      </c>
      <c r="D490" s="41">
        <f>D491</f>
        <v>70000</v>
      </c>
      <c r="E490" s="41">
        <f>E491</f>
        <v>70000</v>
      </c>
      <c r="F490" s="96">
        <f t="shared" si="36"/>
        <v>100</v>
      </c>
    </row>
    <row r="491" spans="1:6" ht="39.6" x14ac:dyDescent="0.25">
      <c r="A491" s="204" t="s">
        <v>588</v>
      </c>
      <c r="B491" s="84" t="s">
        <v>212</v>
      </c>
      <c r="C491" s="100" t="s">
        <v>213</v>
      </c>
      <c r="D491" s="41">
        <v>70000</v>
      </c>
      <c r="E491" s="41">
        <v>70000</v>
      </c>
      <c r="F491" s="96">
        <f t="shared" si="36"/>
        <v>100</v>
      </c>
    </row>
    <row r="492" spans="1:6" ht="79.2" x14ac:dyDescent="0.25">
      <c r="A492" s="204" t="s">
        <v>723</v>
      </c>
      <c r="B492" s="84"/>
      <c r="C492" s="100" t="s">
        <v>724</v>
      </c>
      <c r="D492" s="41">
        <f>D493</f>
        <v>14000</v>
      </c>
      <c r="E492" s="41">
        <f>E493</f>
        <v>14000</v>
      </c>
      <c r="F492" s="96">
        <f t="shared" si="36"/>
        <v>100</v>
      </c>
    </row>
    <row r="493" spans="1:6" ht="39.6" x14ac:dyDescent="0.25">
      <c r="A493" s="204" t="s">
        <v>723</v>
      </c>
      <c r="B493" s="84" t="s">
        <v>212</v>
      </c>
      <c r="C493" s="100" t="s">
        <v>213</v>
      </c>
      <c r="D493" s="41">
        <v>14000</v>
      </c>
      <c r="E493" s="41">
        <v>14000</v>
      </c>
      <c r="F493" s="96">
        <f t="shared" si="36"/>
        <v>100</v>
      </c>
    </row>
    <row r="494" spans="1:6" ht="118.5" customHeight="1" x14ac:dyDescent="0.25">
      <c r="A494" s="73" t="s">
        <v>512</v>
      </c>
      <c r="B494" s="84"/>
      <c r="C494" s="200" t="s">
        <v>513</v>
      </c>
      <c r="D494" s="98">
        <f>D495+D538</f>
        <v>17904.599999999999</v>
      </c>
      <c r="E494" s="98">
        <f>E495+E538</f>
        <v>17878.3</v>
      </c>
      <c r="F494" s="62">
        <f t="shared" si="36"/>
        <v>99.9</v>
      </c>
    </row>
    <row r="495" spans="1:6" ht="52.8" x14ac:dyDescent="0.25">
      <c r="A495" s="201">
        <v>1510000000</v>
      </c>
      <c r="B495" s="84"/>
      <c r="C495" s="48" t="s">
        <v>400</v>
      </c>
      <c r="D495" s="95">
        <f>D496+D509</f>
        <v>12389.2</v>
      </c>
      <c r="E495" s="95">
        <f>E496+E509</f>
        <v>12362.9</v>
      </c>
      <c r="F495" s="58">
        <f t="shared" si="36"/>
        <v>99.8</v>
      </c>
    </row>
    <row r="496" spans="1:6" ht="66" x14ac:dyDescent="0.25">
      <c r="A496" s="204">
        <v>1510200000</v>
      </c>
      <c r="B496" s="84"/>
      <c r="C496" s="100" t="s">
        <v>745</v>
      </c>
      <c r="D496" s="41">
        <f>D497+D499+D501+D503+D505+D507</f>
        <v>5615.2999999999993</v>
      </c>
      <c r="E496" s="41">
        <f>E497+E499+E501+E503+E505+E507</f>
        <v>5590.9</v>
      </c>
      <c r="F496" s="96">
        <f t="shared" si="36"/>
        <v>99.6</v>
      </c>
    </row>
    <row r="497" spans="1:8" ht="52.8" x14ac:dyDescent="0.25">
      <c r="A497" s="51" t="s">
        <v>514</v>
      </c>
      <c r="B497" s="84"/>
      <c r="C497" s="125" t="s">
        <v>515</v>
      </c>
      <c r="D497" s="41">
        <f>D498</f>
        <v>613.90000000000009</v>
      </c>
      <c r="E497" s="41">
        <f>E498</f>
        <v>613.9</v>
      </c>
      <c r="F497" s="96">
        <f t="shared" si="36"/>
        <v>100</v>
      </c>
    </row>
    <row r="498" spans="1:8" ht="39.6" x14ac:dyDescent="0.25">
      <c r="A498" s="51" t="s">
        <v>514</v>
      </c>
      <c r="B498" s="84" t="s">
        <v>212</v>
      </c>
      <c r="C498" s="100" t="s">
        <v>213</v>
      </c>
      <c r="D498" s="41">
        <f>269.2+143.4+201.3</f>
        <v>613.90000000000009</v>
      </c>
      <c r="E498" s="41">
        <v>613.9</v>
      </c>
      <c r="F498" s="96">
        <f t="shared" si="36"/>
        <v>100</v>
      </c>
    </row>
    <row r="499" spans="1:8" ht="52.8" x14ac:dyDescent="0.25">
      <c r="A499" s="51" t="s">
        <v>516</v>
      </c>
      <c r="B499" s="84"/>
      <c r="C499" s="125" t="s">
        <v>517</v>
      </c>
      <c r="D499" s="41">
        <f>D500</f>
        <v>521.1</v>
      </c>
      <c r="E499" s="158">
        <f t="shared" ref="E499" si="39">E500</f>
        <v>521.1</v>
      </c>
      <c r="F499" s="96">
        <f t="shared" si="36"/>
        <v>100</v>
      </c>
    </row>
    <row r="500" spans="1:8" ht="39.6" x14ac:dyDescent="0.25">
      <c r="A500" s="51" t="s">
        <v>516</v>
      </c>
      <c r="B500" s="84" t="s">
        <v>212</v>
      </c>
      <c r="C500" s="100" t="s">
        <v>213</v>
      </c>
      <c r="D500" s="41">
        <f>306.8+135.7+78.6</f>
        <v>521.1</v>
      </c>
      <c r="E500" s="41">
        <v>521.1</v>
      </c>
      <c r="F500" s="96">
        <f t="shared" si="36"/>
        <v>100</v>
      </c>
    </row>
    <row r="501" spans="1:8" ht="55.5" customHeight="1" x14ac:dyDescent="0.25">
      <c r="A501" s="51" t="s">
        <v>518</v>
      </c>
      <c r="B501" s="84"/>
      <c r="C501" s="100" t="s">
        <v>519</v>
      </c>
      <c r="D501" s="41">
        <f>D502</f>
        <v>2151.6999999999998</v>
      </c>
      <c r="E501" s="41">
        <f>E502</f>
        <v>2149</v>
      </c>
      <c r="F501" s="96">
        <f t="shared" si="36"/>
        <v>99.9</v>
      </c>
    </row>
    <row r="502" spans="1:8" ht="39.6" x14ac:dyDescent="0.25">
      <c r="A502" s="51" t="s">
        <v>518</v>
      </c>
      <c r="B502" s="84" t="s">
        <v>212</v>
      </c>
      <c r="C502" s="100" t="s">
        <v>213</v>
      </c>
      <c r="D502" s="41">
        <f>2179.5-27.8</f>
        <v>2151.6999999999998</v>
      </c>
      <c r="E502" s="110">
        <v>2149</v>
      </c>
      <c r="F502" s="96">
        <f t="shared" si="36"/>
        <v>99.9</v>
      </c>
    </row>
    <row r="503" spans="1:8" ht="52.8" x14ac:dyDescent="0.25">
      <c r="A503" s="150">
        <v>1510219017</v>
      </c>
      <c r="B503" s="84"/>
      <c r="C503" s="125" t="s">
        <v>515</v>
      </c>
      <c r="D503" s="41">
        <f>D504</f>
        <v>410</v>
      </c>
      <c r="E503" s="41">
        <f>E504</f>
        <v>410</v>
      </c>
      <c r="F503" s="96">
        <f t="shared" si="36"/>
        <v>100</v>
      </c>
    </row>
    <row r="504" spans="1:8" ht="39.6" x14ac:dyDescent="0.25">
      <c r="A504" s="152">
        <v>1510219017</v>
      </c>
      <c r="B504" s="84" t="s">
        <v>212</v>
      </c>
      <c r="C504" s="100" t="s">
        <v>213</v>
      </c>
      <c r="D504" s="41">
        <v>410</v>
      </c>
      <c r="E504" s="110">
        <v>410</v>
      </c>
      <c r="F504" s="96">
        <f t="shared" si="36"/>
        <v>100</v>
      </c>
    </row>
    <row r="505" spans="1:8" ht="52.8" x14ac:dyDescent="0.25">
      <c r="A505" s="152">
        <v>1510219018</v>
      </c>
      <c r="B505" s="84"/>
      <c r="C505" s="125" t="s">
        <v>520</v>
      </c>
      <c r="D505" s="41">
        <f>D506</f>
        <v>442.5</v>
      </c>
      <c r="E505" s="41">
        <f t="shared" ref="E505" si="40">E506</f>
        <v>442.5</v>
      </c>
      <c r="F505" s="96">
        <f t="shared" si="36"/>
        <v>100</v>
      </c>
    </row>
    <row r="506" spans="1:8" ht="39.6" x14ac:dyDescent="0.25">
      <c r="A506" s="152">
        <v>1510219018</v>
      </c>
      <c r="B506" s="84" t="s">
        <v>212</v>
      </c>
      <c r="C506" s="100" t="s">
        <v>213</v>
      </c>
      <c r="D506" s="41">
        <v>442.5</v>
      </c>
      <c r="E506" s="110">
        <v>442.5</v>
      </c>
      <c r="F506" s="96">
        <f t="shared" si="36"/>
        <v>100</v>
      </c>
    </row>
    <row r="507" spans="1:8" ht="55.5" customHeight="1" x14ac:dyDescent="0.25">
      <c r="A507" s="152">
        <v>1510219021</v>
      </c>
      <c r="B507" s="84"/>
      <c r="C507" s="100" t="s">
        <v>519</v>
      </c>
      <c r="D507" s="41">
        <f>D508</f>
        <v>1476.1</v>
      </c>
      <c r="E507" s="41">
        <f t="shared" ref="E507" si="41">E508</f>
        <v>1454.4</v>
      </c>
      <c r="F507" s="96">
        <f t="shared" si="36"/>
        <v>98.5</v>
      </c>
    </row>
    <row r="508" spans="1:8" ht="39.6" x14ac:dyDescent="0.25">
      <c r="A508" s="152">
        <v>1510219021</v>
      </c>
      <c r="B508" s="84" t="s">
        <v>212</v>
      </c>
      <c r="C508" s="100" t="s">
        <v>213</v>
      </c>
      <c r="D508" s="41">
        <v>1476.1</v>
      </c>
      <c r="E508" s="110">
        <v>1454.4</v>
      </c>
      <c r="F508" s="96">
        <f t="shared" si="36"/>
        <v>98.5</v>
      </c>
    </row>
    <row r="509" spans="1:8" ht="52.8" x14ac:dyDescent="0.25">
      <c r="A509" s="204">
        <v>1510300000</v>
      </c>
      <c r="B509" s="84"/>
      <c r="C509" s="100" t="s">
        <v>401</v>
      </c>
      <c r="D509" s="41">
        <f>D510+D512+D514+D516+D518+D520+D522+D524+D526+D528+D530+D532+D534+D536</f>
        <v>6773.9000000000005</v>
      </c>
      <c r="E509" s="41">
        <f>E510+E512+E514+E516+E518+E520+E522+E524+E526+E528+E530+E532+E534+E536</f>
        <v>6772</v>
      </c>
      <c r="F509" s="96">
        <f t="shared" si="36"/>
        <v>100</v>
      </c>
    </row>
    <row r="510" spans="1:8" ht="39.6" x14ac:dyDescent="0.25">
      <c r="A510" s="51" t="s">
        <v>590</v>
      </c>
      <c r="B510" s="84"/>
      <c r="C510" s="125" t="s">
        <v>591</v>
      </c>
      <c r="D510" s="41">
        <f>D511</f>
        <v>262.5</v>
      </c>
      <c r="E510" s="41">
        <f>E511</f>
        <v>262.5</v>
      </c>
      <c r="F510" s="96">
        <f t="shared" si="36"/>
        <v>100</v>
      </c>
      <c r="H510" s="106"/>
    </row>
    <row r="511" spans="1:8" ht="39.6" x14ac:dyDescent="0.25">
      <c r="A511" s="51" t="s">
        <v>590</v>
      </c>
      <c r="B511" s="84" t="s">
        <v>212</v>
      </c>
      <c r="C511" s="100" t="s">
        <v>213</v>
      </c>
      <c r="D511" s="41">
        <f>114.1+148.4</f>
        <v>262.5</v>
      </c>
      <c r="E511" s="41">
        <v>262.5</v>
      </c>
      <c r="F511" s="96">
        <f t="shared" si="36"/>
        <v>100</v>
      </c>
    </row>
    <row r="512" spans="1:8" ht="39.6" x14ac:dyDescent="0.25">
      <c r="A512" s="51" t="s">
        <v>592</v>
      </c>
      <c r="B512" s="84"/>
      <c r="C512" s="125" t="s">
        <v>593</v>
      </c>
      <c r="D512" s="41">
        <f>D513</f>
        <v>608.1</v>
      </c>
      <c r="E512" s="41">
        <f>E513</f>
        <v>608.1</v>
      </c>
      <c r="F512" s="96">
        <f t="shared" si="36"/>
        <v>100</v>
      </c>
    </row>
    <row r="513" spans="1:8" ht="39.6" x14ac:dyDescent="0.25">
      <c r="A513" s="51" t="s">
        <v>592</v>
      </c>
      <c r="B513" s="84" t="s">
        <v>212</v>
      </c>
      <c r="C513" s="100" t="s">
        <v>213</v>
      </c>
      <c r="D513" s="41">
        <f>496.8+127+0.5-3.3-12.9</f>
        <v>608.1</v>
      </c>
      <c r="E513" s="41">
        <v>608.1</v>
      </c>
      <c r="F513" s="96">
        <f t="shared" si="36"/>
        <v>100</v>
      </c>
    </row>
    <row r="514" spans="1:8" ht="39.6" x14ac:dyDescent="0.25">
      <c r="A514" s="51" t="s">
        <v>594</v>
      </c>
      <c r="B514" s="84"/>
      <c r="C514" s="125" t="s">
        <v>595</v>
      </c>
      <c r="D514" s="41">
        <f>D515</f>
        <v>685.1</v>
      </c>
      <c r="E514" s="41">
        <f>E515</f>
        <v>685.1</v>
      </c>
      <c r="F514" s="96">
        <f t="shared" si="36"/>
        <v>100</v>
      </c>
    </row>
    <row r="515" spans="1:8" ht="41.25" customHeight="1" x14ac:dyDescent="0.25">
      <c r="A515" s="51" t="s">
        <v>594</v>
      </c>
      <c r="B515" s="84" t="s">
        <v>212</v>
      </c>
      <c r="C515" s="100" t="s">
        <v>213</v>
      </c>
      <c r="D515" s="41">
        <f>561+143.5-4+0.1-15.5</f>
        <v>685.1</v>
      </c>
      <c r="E515" s="41">
        <v>685.1</v>
      </c>
      <c r="F515" s="96">
        <f t="shared" si="36"/>
        <v>100</v>
      </c>
    </row>
    <row r="516" spans="1:8" ht="38.25" customHeight="1" x14ac:dyDescent="0.25">
      <c r="A516" s="51" t="s">
        <v>596</v>
      </c>
      <c r="B516" s="84"/>
      <c r="C516" s="125" t="s">
        <v>597</v>
      </c>
      <c r="D516" s="41">
        <f>D517</f>
        <v>801.9</v>
      </c>
      <c r="E516" s="41">
        <f>E517</f>
        <v>801.9</v>
      </c>
      <c r="F516" s="96">
        <f t="shared" si="36"/>
        <v>100</v>
      </c>
    </row>
    <row r="517" spans="1:8" ht="40.5" customHeight="1" x14ac:dyDescent="0.25">
      <c r="A517" s="51" t="s">
        <v>596</v>
      </c>
      <c r="B517" s="84" t="s">
        <v>212</v>
      </c>
      <c r="C517" s="100" t="s">
        <v>213</v>
      </c>
      <c r="D517" s="41">
        <f>711.4+186.6-96.1</f>
        <v>801.9</v>
      </c>
      <c r="E517" s="41">
        <v>801.9</v>
      </c>
      <c r="F517" s="96">
        <f t="shared" si="36"/>
        <v>100</v>
      </c>
    </row>
    <row r="518" spans="1:8" ht="40.5" customHeight="1" x14ac:dyDescent="0.25">
      <c r="A518" s="51" t="s">
        <v>598</v>
      </c>
      <c r="B518" s="84"/>
      <c r="C518" s="125" t="s">
        <v>599</v>
      </c>
      <c r="D518" s="41">
        <f>D519</f>
        <v>610.70000000000005</v>
      </c>
      <c r="E518" s="41">
        <f t="shared" ref="E518" si="42">E519</f>
        <v>610.70000000000005</v>
      </c>
      <c r="F518" s="96">
        <f t="shared" si="36"/>
        <v>100</v>
      </c>
    </row>
    <row r="519" spans="1:8" ht="39.75" customHeight="1" x14ac:dyDescent="0.25">
      <c r="A519" s="51" t="s">
        <v>598</v>
      </c>
      <c r="B519" s="84" t="s">
        <v>212</v>
      </c>
      <c r="C519" s="100" t="s">
        <v>213</v>
      </c>
      <c r="D519" s="41">
        <f>498.6+128.4-3.3-0.1-13+0.1</f>
        <v>610.70000000000005</v>
      </c>
      <c r="E519" s="41">
        <v>610.70000000000005</v>
      </c>
      <c r="F519" s="96">
        <f t="shared" si="36"/>
        <v>100</v>
      </c>
    </row>
    <row r="520" spans="1:8" ht="39.6" x14ac:dyDescent="0.25">
      <c r="A520" s="150">
        <v>1510319313</v>
      </c>
      <c r="B520" s="84"/>
      <c r="C520" s="125" t="s">
        <v>593</v>
      </c>
      <c r="D520" s="41">
        <f>D521</f>
        <v>10</v>
      </c>
      <c r="E520" s="41">
        <f>E521</f>
        <v>9.6999999999999993</v>
      </c>
      <c r="F520" s="96">
        <f t="shared" si="36"/>
        <v>97</v>
      </c>
      <c r="H520" s="106"/>
    </row>
    <row r="521" spans="1:8" ht="39.6" x14ac:dyDescent="0.25">
      <c r="A521" s="152">
        <v>1510319313</v>
      </c>
      <c r="B521" s="84" t="s">
        <v>212</v>
      </c>
      <c r="C521" s="100" t="s">
        <v>213</v>
      </c>
      <c r="D521" s="41">
        <v>10</v>
      </c>
      <c r="E521" s="109">
        <v>9.6999999999999993</v>
      </c>
      <c r="F521" s="96">
        <f t="shared" si="36"/>
        <v>97</v>
      </c>
    </row>
    <row r="522" spans="1:8" ht="39.6" x14ac:dyDescent="0.25">
      <c r="A522" s="152">
        <v>1510319314</v>
      </c>
      <c r="B522" s="84"/>
      <c r="C522" s="125" t="s">
        <v>595</v>
      </c>
      <c r="D522" s="41">
        <f>D523</f>
        <v>10</v>
      </c>
      <c r="E522" s="41">
        <f>E523</f>
        <v>9.6999999999999993</v>
      </c>
      <c r="F522" s="96">
        <f t="shared" si="36"/>
        <v>97</v>
      </c>
    </row>
    <row r="523" spans="1:8" ht="39.6" x14ac:dyDescent="0.25">
      <c r="A523" s="150">
        <v>1510319314</v>
      </c>
      <c r="B523" s="84" t="s">
        <v>212</v>
      </c>
      <c r="C523" s="100" t="s">
        <v>213</v>
      </c>
      <c r="D523" s="41">
        <v>10</v>
      </c>
      <c r="E523" s="41">
        <v>9.6999999999999993</v>
      </c>
      <c r="F523" s="96">
        <f t="shared" si="36"/>
        <v>97</v>
      </c>
    </row>
    <row r="524" spans="1:8" ht="39.6" x14ac:dyDescent="0.25">
      <c r="A524" s="152">
        <v>1510319315</v>
      </c>
      <c r="B524" s="84"/>
      <c r="C524" s="125" t="s">
        <v>600</v>
      </c>
      <c r="D524" s="41">
        <f>D525</f>
        <v>10</v>
      </c>
      <c r="E524" s="109">
        <f t="shared" ref="E524" si="43">E525</f>
        <v>9</v>
      </c>
      <c r="F524" s="96">
        <f t="shared" si="36"/>
        <v>90</v>
      </c>
    </row>
    <row r="525" spans="1:8" ht="39.6" x14ac:dyDescent="0.25">
      <c r="A525" s="152">
        <v>1510319315</v>
      </c>
      <c r="B525" s="84" t="s">
        <v>212</v>
      </c>
      <c r="C525" s="100" t="s">
        <v>213</v>
      </c>
      <c r="D525" s="41">
        <v>10</v>
      </c>
      <c r="E525" s="109">
        <v>9</v>
      </c>
      <c r="F525" s="96">
        <f t="shared" si="36"/>
        <v>90</v>
      </c>
    </row>
    <row r="526" spans="1:8" ht="39.6" x14ac:dyDescent="0.25">
      <c r="A526" s="152">
        <v>1510319316</v>
      </c>
      <c r="B526" s="84"/>
      <c r="C526" s="125" t="s">
        <v>599</v>
      </c>
      <c r="D526" s="41">
        <f>D527</f>
        <v>10</v>
      </c>
      <c r="E526" s="109">
        <f t="shared" ref="E526" si="44">E527</f>
        <v>9.6999999999999993</v>
      </c>
      <c r="F526" s="96">
        <f t="shared" si="36"/>
        <v>97</v>
      </c>
    </row>
    <row r="527" spans="1:8" ht="39.6" x14ac:dyDescent="0.25">
      <c r="A527" s="152">
        <v>1510319316</v>
      </c>
      <c r="B527" s="84" t="s">
        <v>212</v>
      </c>
      <c r="C527" s="100" t="s">
        <v>213</v>
      </c>
      <c r="D527" s="41">
        <v>10</v>
      </c>
      <c r="E527" s="39">
        <v>9.6999999999999993</v>
      </c>
      <c r="F527" s="96">
        <f t="shared" si="36"/>
        <v>97</v>
      </c>
    </row>
    <row r="528" spans="1:8" ht="39.6" x14ac:dyDescent="0.25">
      <c r="A528" s="152">
        <v>1510319012</v>
      </c>
      <c r="B528" s="84"/>
      <c r="C528" s="125" t="s">
        <v>591</v>
      </c>
      <c r="D528" s="41">
        <f>D529</f>
        <v>1021.8</v>
      </c>
      <c r="E528" s="109">
        <f t="shared" ref="E528" si="45">E529</f>
        <v>1021.8</v>
      </c>
      <c r="F528" s="96">
        <f t="shared" ref="F528:F583" si="46">ROUND((E528/D528*100),1)</f>
        <v>100</v>
      </c>
    </row>
    <row r="529" spans="1:6" ht="39.6" x14ac:dyDescent="0.25">
      <c r="A529" s="150">
        <v>1510319012</v>
      </c>
      <c r="B529" s="84" t="s">
        <v>212</v>
      </c>
      <c r="C529" s="100" t="s">
        <v>213</v>
      </c>
      <c r="D529" s="41">
        <v>1021.8</v>
      </c>
      <c r="E529" s="41">
        <v>1021.8</v>
      </c>
      <c r="F529" s="96">
        <f t="shared" si="46"/>
        <v>100</v>
      </c>
    </row>
    <row r="530" spans="1:6" ht="39.6" x14ac:dyDescent="0.25">
      <c r="A530" s="152">
        <v>1510319013</v>
      </c>
      <c r="B530" s="84"/>
      <c r="C530" s="125" t="s">
        <v>593</v>
      </c>
      <c r="D530" s="41">
        <f>D531</f>
        <v>617.9</v>
      </c>
      <c r="E530" s="109">
        <f t="shared" ref="E530" si="47">E531</f>
        <v>617.9</v>
      </c>
      <c r="F530" s="96">
        <f t="shared" si="46"/>
        <v>100</v>
      </c>
    </row>
    <row r="531" spans="1:6" ht="39.6" x14ac:dyDescent="0.25">
      <c r="A531" s="152">
        <v>1510319013</v>
      </c>
      <c r="B531" s="84" t="s">
        <v>212</v>
      </c>
      <c r="C531" s="100" t="s">
        <v>213</v>
      </c>
      <c r="D531" s="41">
        <f>634.4-16.5</f>
        <v>617.9</v>
      </c>
      <c r="E531" s="41">
        <f>634.4-16.5</f>
        <v>617.9</v>
      </c>
      <c r="F531" s="96">
        <f t="shared" si="46"/>
        <v>100</v>
      </c>
    </row>
    <row r="532" spans="1:6" ht="39.6" x14ac:dyDescent="0.25">
      <c r="A532" s="152">
        <v>1510319014</v>
      </c>
      <c r="B532" s="84"/>
      <c r="C532" s="125" t="s">
        <v>595</v>
      </c>
      <c r="D532" s="41">
        <f>D533</f>
        <v>694.8</v>
      </c>
      <c r="E532" s="41">
        <f>E533</f>
        <v>694.8</v>
      </c>
      <c r="F532" s="96">
        <f t="shared" si="46"/>
        <v>100</v>
      </c>
    </row>
    <row r="533" spans="1:6" ht="39.6" x14ac:dyDescent="0.25">
      <c r="A533" s="152">
        <v>1510319014</v>
      </c>
      <c r="B533" s="84" t="s">
        <v>212</v>
      </c>
      <c r="C533" s="100" t="s">
        <v>213</v>
      </c>
      <c r="D533" s="41">
        <f>714.5-19.7</f>
        <v>694.8</v>
      </c>
      <c r="E533" s="41">
        <v>694.8</v>
      </c>
      <c r="F533" s="96">
        <f t="shared" si="46"/>
        <v>100</v>
      </c>
    </row>
    <row r="534" spans="1:6" ht="39.6" x14ac:dyDescent="0.25">
      <c r="A534" s="152">
        <v>1510319015</v>
      </c>
      <c r="B534" s="84"/>
      <c r="C534" s="125" t="s">
        <v>601</v>
      </c>
      <c r="D534" s="41">
        <f>D535</f>
        <v>810.8</v>
      </c>
      <c r="E534" s="41">
        <f>E535</f>
        <v>810.8</v>
      </c>
      <c r="F534" s="96">
        <f t="shared" si="46"/>
        <v>100</v>
      </c>
    </row>
    <row r="535" spans="1:6" ht="39.6" x14ac:dyDescent="0.25">
      <c r="A535" s="152">
        <v>1510319015</v>
      </c>
      <c r="B535" s="84" t="s">
        <v>212</v>
      </c>
      <c r="C535" s="100" t="s">
        <v>213</v>
      </c>
      <c r="D535" s="41">
        <f>908-97.2</f>
        <v>810.8</v>
      </c>
      <c r="E535" s="41">
        <v>810.8</v>
      </c>
      <c r="F535" s="96">
        <f t="shared" si="46"/>
        <v>100</v>
      </c>
    </row>
    <row r="536" spans="1:6" ht="39.6" x14ac:dyDescent="0.25">
      <c r="A536" s="152">
        <v>1510319016</v>
      </c>
      <c r="B536" s="84"/>
      <c r="C536" s="125" t="s">
        <v>602</v>
      </c>
      <c r="D536" s="41">
        <f>D537</f>
        <v>620.29999999999995</v>
      </c>
      <c r="E536" s="41">
        <f t="shared" ref="E536" si="48">E537</f>
        <v>620.29999999999995</v>
      </c>
      <c r="F536" s="96">
        <f t="shared" si="46"/>
        <v>100</v>
      </c>
    </row>
    <row r="537" spans="1:6" ht="39.6" x14ac:dyDescent="0.25">
      <c r="A537" s="152">
        <v>1510319016</v>
      </c>
      <c r="B537" s="84" t="s">
        <v>212</v>
      </c>
      <c r="C537" s="100" t="s">
        <v>213</v>
      </c>
      <c r="D537" s="41">
        <f>636.9-16.6</f>
        <v>620.29999999999995</v>
      </c>
      <c r="E537" s="41">
        <v>620.29999999999995</v>
      </c>
      <c r="F537" s="96">
        <f t="shared" si="46"/>
        <v>100</v>
      </c>
    </row>
    <row r="538" spans="1:6" ht="52.8" x14ac:dyDescent="0.25">
      <c r="A538" s="201">
        <v>1520000000</v>
      </c>
      <c r="B538" s="47"/>
      <c r="C538" s="215" t="s">
        <v>549</v>
      </c>
      <c r="D538" s="95">
        <f>D539+D542</f>
        <v>5515.4</v>
      </c>
      <c r="E538" s="95">
        <f>E539+E542</f>
        <v>5515.4</v>
      </c>
      <c r="F538" s="58">
        <f t="shared" si="46"/>
        <v>100</v>
      </c>
    </row>
    <row r="539" spans="1:6" ht="68.25" customHeight="1" x14ac:dyDescent="0.25">
      <c r="A539" s="220">
        <v>1520200000</v>
      </c>
      <c r="B539" s="84"/>
      <c r="C539" s="100" t="s">
        <v>398</v>
      </c>
      <c r="D539" s="41">
        <f t="shared" ref="D539:E540" si="49">D540</f>
        <v>2558.6999999999998</v>
      </c>
      <c r="E539" s="41">
        <f t="shared" si="49"/>
        <v>2558.6999999999998</v>
      </c>
      <c r="F539" s="58">
        <f t="shared" si="46"/>
        <v>100</v>
      </c>
    </row>
    <row r="540" spans="1:6" ht="26.4" x14ac:dyDescent="0.25">
      <c r="A540" s="220">
        <v>1520224007</v>
      </c>
      <c r="B540" s="84"/>
      <c r="C540" s="100" t="s">
        <v>604</v>
      </c>
      <c r="D540" s="41">
        <f t="shared" si="49"/>
        <v>2558.6999999999998</v>
      </c>
      <c r="E540" s="41">
        <f t="shared" si="49"/>
        <v>2558.6999999999998</v>
      </c>
      <c r="F540" s="96">
        <f t="shared" si="46"/>
        <v>100</v>
      </c>
    </row>
    <row r="541" spans="1:6" ht="39.6" x14ac:dyDescent="0.25">
      <c r="A541" s="220">
        <v>1520224007</v>
      </c>
      <c r="B541" s="84" t="s">
        <v>212</v>
      </c>
      <c r="C541" s="100" t="s">
        <v>213</v>
      </c>
      <c r="D541" s="41">
        <f>2222.1+336.7-0.2+0.1</f>
        <v>2558.6999999999998</v>
      </c>
      <c r="E541" s="41">
        <v>2558.6999999999998</v>
      </c>
      <c r="F541" s="96">
        <f t="shared" si="46"/>
        <v>100</v>
      </c>
    </row>
    <row r="542" spans="1:6" ht="26.4" x14ac:dyDescent="0.25">
      <c r="A542" s="152">
        <v>1520300000</v>
      </c>
      <c r="B542" s="91"/>
      <c r="C542" s="125" t="s">
        <v>550</v>
      </c>
      <c r="D542" s="41">
        <f t="shared" ref="D542:E542" si="50">D543</f>
        <v>2956.7000000000003</v>
      </c>
      <c r="E542" s="41">
        <f t="shared" si="50"/>
        <v>2956.7000000000003</v>
      </c>
      <c r="F542" s="96">
        <f t="shared" si="46"/>
        <v>100</v>
      </c>
    </row>
    <row r="543" spans="1:6" ht="52.8" x14ac:dyDescent="0.25">
      <c r="A543" s="152">
        <v>1520324012</v>
      </c>
      <c r="B543" s="84"/>
      <c r="C543" s="99" t="s">
        <v>417</v>
      </c>
      <c r="D543" s="41">
        <f>SUM(D544:D545)</f>
        <v>2956.7000000000003</v>
      </c>
      <c r="E543" s="41">
        <f>SUM(E544:E545)</f>
        <v>2956.7000000000003</v>
      </c>
      <c r="F543" s="96">
        <f t="shared" si="46"/>
        <v>100</v>
      </c>
    </row>
    <row r="544" spans="1:6" ht="39.6" x14ac:dyDescent="0.25">
      <c r="A544" s="152">
        <v>1520324012</v>
      </c>
      <c r="B544" s="84" t="s">
        <v>212</v>
      </c>
      <c r="C544" s="100" t="s">
        <v>213</v>
      </c>
      <c r="D544" s="41">
        <f>2993-41.1</f>
        <v>2951.9</v>
      </c>
      <c r="E544" s="41">
        <f>2993-41.1</f>
        <v>2951.9</v>
      </c>
      <c r="F544" s="96">
        <f t="shared" si="46"/>
        <v>100</v>
      </c>
    </row>
    <row r="545" spans="1:6" x14ac:dyDescent="0.25">
      <c r="A545" s="150">
        <v>1520324012</v>
      </c>
      <c r="B545" s="84" t="s">
        <v>308</v>
      </c>
      <c r="C545" s="100" t="s">
        <v>309</v>
      </c>
      <c r="D545" s="41">
        <v>4.8</v>
      </c>
      <c r="E545" s="41">
        <v>4.8</v>
      </c>
      <c r="F545" s="96">
        <f t="shared" si="46"/>
        <v>100</v>
      </c>
    </row>
    <row r="546" spans="1:6" ht="79.2" x14ac:dyDescent="0.25">
      <c r="A546" s="73" t="s">
        <v>228</v>
      </c>
      <c r="B546" s="16"/>
      <c r="C546" s="64" t="s">
        <v>502</v>
      </c>
      <c r="D546" s="59">
        <f t="shared" ref="D546:E546" si="51">D547</f>
        <v>4366</v>
      </c>
      <c r="E546" s="59">
        <f t="shared" si="51"/>
        <v>3762.5</v>
      </c>
      <c r="F546" s="65">
        <f t="shared" si="46"/>
        <v>86.2</v>
      </c>
    </row>
    <row r="547" spans="1:6" ht="39.6" x14ac:dyDescent="0.25">
      <c r="A547" s="52" t="s">
        <v>229</v>
      </c>
      <c r="B547" s="47"/>
      <c r="C547" s="48" t="s">
        <v>230</v>
      </c>
      <c r="D547" s="95">
        <f>D548+D551</f>
        <v>4366</v>
      </c>
      <c r="E547" s="95">
        <f>E548+E551</f>
        <v>3762.5</v>
      </c>
      <c r="F547" s="58">
        <f t="shared" si="46"/>
        <v>86.2</v>
      </c>
    </row>
    <row r="548" spans="1:6" ht="39.6" x14ac:dyDescent="0.25">
      <c r="A548" s="21" t="s">
        <v>231</v>
      </c>
      <c r="B548" s="84"/>
      <c r="C548" s="100" t="s">
        <v>232</v>
      </c>
      <c r="D548" s="41">
        <f>D549</f>
        <v>400</v>
      </c>
      <c r="E548" s="41">
        <f>E549</f>
        <v>170.7</v>
      </c>
      <c r="F548" s="96">
        <f t="shared" si="46"/>
        <v>42.7</v>
      </c>
    </row>
    <row r="549" spans="1:6" x14ac:dyDescent="0.25">
      <c r="A549" s="21" t="s">
        <v>521</v>
      </c>
      <c r="B549" s="16"/>
      <c r="C549" s="100" t="s">
        <v>343</v>
      </c>
      <c r="D549" s="41">
        <f>D550</f>
        <v>400</v>
      </c>
      <c r="E549" s="41">
        <f>E550</f>
        <v>170.7</v>
      </c>
      <c r="F549" s="58">
        <f t="shared" si="46"/>
        <v>42.7</v>
      </c>
    </row>
    <row r="550" spans="1:6" ht="39.6" x14ac:dyDescent="0.25">
      <c r="A550" s="21" t="s">
        <v>521</v>
      </c>
      <c r="B550" s="84" t="s">
        <v>212</v>
      </c>
      <c r="C550" s="100" t="s">
        <v>213</v>
      </c>
      <c r="D550" s="41">
        <v>400</v>
      </c>
      <c r="E550" s="95">
        <v>170.7</v>
      </c>
      <c r="F550" s="96">
        <f t="shared" si="46"/>
        <v>42.7</v>
      </c>
    </row>
    <row r="551" spans="1:6" ht="57" customHeight="1" x14ac:dyDescent="0.25">
      <c r="A551" s="51" t="s">
        <v>405</v>
      </c>
      <c r="B551" s="84"/>
      <c r="C551" s="100" t="s">
        <v>408</v>
      </c>
      <c r="D551" s="41">
        <f>D552+D554</f>
        <v>3966</v>
      </c>
      <c r="E551" s="41">
        <f>E552+E554</f>
        <v>3591.8</v>
      </c>
      <c r="F551" s="96">
        <f t="shared" si="46"/>
        <v>90.6</v>
      </c>
    </row>
    <row r="552" spans="1:6" ht="39.6" x14ac:dyDescent="0.25">
      <c r="A552" s="51" t="s">
        <v>371</v>
      </c>
      <c r="B552" s="84"/>
      <c r="C552" s="100" t="s">
        <v>368</v>
      </c>
      <c r="D552" s="41">
        <f>D553</f>
        <v>882.99999999999989</v>
      </c>
      <c r="E552" s="41">
        <f>E553</f>
        <v>718.4</v>
      </c>
      <c r="F552" s="96">
        <f t="shared" si="46"/>
        <v>81.400000000000006</v>
      </c>
    </row>
    <row r="553" spans="1:6" ht="39.6" x14ac:dyDescent="0.25">
      <c r="A553" s="51" t="s">
        <v>371</v>
      </c>
      <c r="B553" s="84" t="s">
        <v>212</v>
      </c>
      <c r="C553" s="100" t="s">
        <v>213</v>
      </c>
      <c r="D553" s="41">
        <f>844.9+1003.2-965.1</f>
        <v>882.99999999999989</v>
      </c>
      <c r="E553" s="41">
        <v>718.4</v>
      </c>
      <c r="F553" s="96">
        <f t="shared" si="46"/>
        <v>81.400000000000006</v>
      </c>
    </row>
    <row r="554" spans="1:6" ht="52.8" x14ac:dyDescent="0.25">
      <c r="A554" s="51" t="s">
        <v>372</v>
      </c>
      <c r="B554" s="84"/>
      <c r="C554" s="100" t="s">
        <v>366</v>
      </c>
      <c r="D554" s="41">
        <f>D555</f>
        <v>3083</v>
      </c>
      <c r="E554" s="158">
        <f>E555</f>
        <v>2873.4</v>
      </c>
      <c r="F554" s="96">
        <f t="shared" si="46"/>
        <v>93.2</v>
      </c>
    </row>
    <row r="555" spans="1:6" ht="39.6" x14ac:dyDescent="0.25">
      <c r="A555" s="51" t="s">
        <v>372</v>
      </c>
      <c r="B555" s="84" t="s">
        <v>212</v>
      </c>
      <c r="C555" s="100" t="s">
        <v>213</v>
      </c>
      <c r="D555" s="158">
        <f>1279+2116-312</f>
        <v>3083</v>
      </c>
      <c r="E555" s="41">
        <v>2873.4</v>
      </c>
      <c r="F555" s="96">
        <f t="shared" si="46"/>
        <v>93.2</v>
      </c>
    </row>
    <row r="556" spans="1:6" ht="26.4" x14ac:dyDescent="0.25">
      <c r="A556" s="85">
        <v>9900000000</v>
      </c>
      <c r="B556" s="73"/>
      <c r="C556" s="145" t="s">
        <v>145</v>
      </c>
      <c r="D556" s="98">
        <f>D557+D560+D572+D583+D596+D603</f>
        <v>108287.49999999999</v>
      </c>
      <c r="E556" s="98">
        <f>E557+E560+E572+E583+E596+E603</f>
        <v>106688.2</v>
      </c>
      <c r="F556" s="62">
        <f t="shared" si="46"/>
        <v>98.5</v>
      </c>
    </row>
    <row r="557" spans="1:6" x14ac:dyDescent="0.25">
      <c r="A557" s="80">
        <v>9920000000</v>
      </c>
      <c r="B557" s="73"/>
      <c r="C557" s="154" t="s">
        <v>5</v>
      </c>
      <c r="D557" s="101">
        <f t="shared" ref="D557:E557" si="52">D558</f>
        <v>100</v>
      </c>
      <c r="E557" s="101">
        <f t="shared" si="52"/>
        <v>100</v>
      </c>
      <c r="F557" s="96">
        <f t="shared" si="46"/>
        <v>100</v>
      </c>
    </row>
    <row r="558" spans="1:6" ht="17.25" customHeight="1" x14ac:dyDescent="0.25">
      <c r="A558" s="80">
        <v>9920026100</v>
      </c>
      <c r="B558" s="21"/>
      <c r="C558" s="102" t="s">
        <v>13</v>
      </c>
      <c r="D558" s="39">
        <f>D559</f>
        <v>100</v>
      </c>
      <c r="E558" s="39">
        <f>E559</f>
        <v>100</v>
      </c>
      <c r="F558" s="96">
        <f t="shared" si="46"/>
        <v>100</v>
      </c>
    </row>
    <row r="559" spans="1:6" x14ac:dyDescent="0.25">
      <c r="A559" s="80">
        <v>9920026100</v>
      </c>
      <c r="B559" s="16" t="s">
        <v>90</v>
      </c>
      <c r="C559" s="100" t="s">
        <v>91</v>
      </c>
      <c r="D559" s="39">
        <f>500-400</f>
        <v>100</v>
      </c>
      <c r="E559" s="41">
        <v>100</v>
      </c>
      <c r="F559" s="96">
        <f t="shared" si="46"/>
        <v>100</v>
      </c>
    </row>
    <row r="560" spans="1:6" ht="26.4" x14ac:dyDescent="0.25">
      <c r="A560" s="80">
        <v>9930000000</v>
      </c>
      <c r="B560" s="16"/>
      <c r="C560" s="22" t="s">
        <v>45</v>
      </c>
      <c r="D560" s="39">
        <f>D561+D564+D567+D569</f>
        <v>1908</v>
      </c>
      <c r="E560" s="39">
        <f>E561+E564+E567+E569</f>
        <v>1903</v>
      </c>
      <c r="F560" s="96">
        <f t="shared" si="46"/>
        <v>99.7</v>
      </c>
    </row>
    <row r="561" spans="1:7" ht="66" x14ac:dyDescent="0.25">
      <c r="A561" s="80">
        <v>9930010510</v>
      </c>
      <c r="B561" s="16"/>
      <c r="C561" s="102" t="s">
        <v>19</v>
      </c>
      <c r="D561" s="39">
        <f>D562+D563</f>
        <v>398</v>
      </c>
      <c r="E561" s="39">
        <f>E562+E563</f>
        <v>398</v>
      </c>
      <c r="F561" s="96">
        <f t="shared" si="46"/>
        <v>100</v>
      </c>
    </row>
    <row r="562" spans="1:7" ht="26.4" x14ac:dyDescent="0.25">
      <c r="A562" s="80">
        <v>9930010510</v>
      </c>
      <c r="B562" s="16" t="s">
        <v>68</v>
      </c>
      <c r="C562" s="105" t="s">
        <v>69</v>
      </c>
      <c r="D562" s="39">
        <v>357.6</v>
      </c>
      <c r="E562" s="39">
        <v>357.6</v>
      </c>
      <c r="F562" s="96">
        <f t="shared" si="46"/>
        <v>100</v>
      </c>
    </row>
    <row r="563" spans="1:7" ht="39.6" x14ac:dyDescent="0.25">
      <c r="A563" s="80">
        <v>9930010510</v>
      </c>
      <c r="B563" s="84" t="s">
        <v>212</v>
      </c>
      <c r="C563" s="100" t="s">
        <v>213</v>
      </c>
      <c r="D563" s="39">
        <v>40.4</v>
      </c>
      <c r="E563" s="39">
        <v>40.4</v>
      </c>
      <c r="F563" s="96">
        <f t="shared" si="46"/>
        <v>100</v>
      </c>
    </row>
    <row r="564" spans="1:7" ht="39.6" x14ac:dyDescent="0.25">
      <c r="A564" s="80">
        <v>9930010540</v>
      </c>
      <c r="B564" s="16"/>
      <c r="C564" s="102" t="s">
        <v>20</v>
      </c>
      <c r="D564" s="39">
        <f>D565+D566</f>
        <v>217</v>
      </c>
      <c r="E564" s="39">
        <f>E565+E566</f>
        <v>212</v>
      </c>
      <c r="F564" s="96">
        <f t="shared" si="46"/>
        <v>97.7</v>
      </c>
    </row>
    <row r="565" spans="1:7" ht="26.4" x14ac:dyDescent="0.25">
      <c r="A565" s="80">
        <v>9930010540</v>
      </c>
      <c r="B565" s="16" t="s">
        <v>68</v>
      </c>
      <c r="C565" s="105" t="s">
        <v>69</v>
      </c>
      <c r="D565" s="39">
        <v>191.9</v>
      </c>
      <c r="E565" s="41">
        <v>191.9</v>
      </c>
      <c r="F565" s="96">
        <f t="shared" si="46"/>
        <v>100</v>
      </c>
    </row>
    <row r="566" spans="1:7" ht="39.6" x14ac:dyDescent="0.25">
      <c r="A566" s="80">
        <v>9930010540</v>
      </c>
      <c r="B566" s="84" t="s">
        <v>212</v>
      </c>
      <c r="C566" s="100" t="s">
        <v>213</v>
      </c>
      <c r="D566" s="39">
        <v>25.1</v>
      </c>
      <c r="E566" s="41">
        <v>20.100000000000001</v>
      </c>
      <c r="F566" s="96">
        <f t="shared" si="46"/>
        <v>80.099999999999994</v>
      </c>
    </row>
    <row r="567" spans="1:7" ht="63.75" customHeight="1" x14ac:dyDescent="0.25">
      <c r="A567" s="80">
        <v>9930051200</v>
      </c>
      <c r="B567" s="72"/>
      <c r="C567" s="54" t="s">
        <v>286</v>
      </c>
      <c r="D567" s="115">
        <f t="shared" ref="D567:E567" si="53">D568</f>
        <v>96.3</v>
      </c>
      <c r="E567" s="115">
        <f t="shared" si="53"/>
        <v>96.3</v>
      </c>
      <c r="F567" s="96">
        <f t="shared" si="46"/>
        <v>100</v>
      </c>
    </row>
    <row r="568" spans="1:7" ht="39.6" x14ac:dyDescent="0.25">
      <c r="A568" s="80">
        <v>9930051200</v>
      </c>
      <c r="B568" s="84" t="s">
        <v>212</v>
      </c>
      <c r="C568" s="100" t="s">
        <v>213</v>
      </c>
      <c r="D568" s="115">
        <v>96.3</v>
      </c>
      <c r="E568" s="115">
        <v>96.3</v>
      </c>
      <c r="F568" s="96">
        <f t="shared" si="46"/>
        <v>100</v>
      </c>
    </row>
    <row r="569" spans="1:7" ht="39" customHeight="1" x14ac:dyDescent="0.25">
      <c r="A569" s="80">
        <v>9930059302</v>
      </c>
      <c r="B569" s="16"/>
      <c r="C569" s="190" t="s">
        <v>379</v>
      </c>
      <c r="D569" s="39">
        <f t="shared" ref="D569:E569" si="54">SUM(D570:D571)</f>
        <v>1196.7</v>
      </c>
      <c r="E569" s="39">
        <f t="shared" si="54"/>
        <v>1196.7</v>
      </c>
      <c r="F569" s="96">
        <f t="shared" si="46"/>
        <v>100</v>
      </c>
    </row>
    <row r="570" spans="1:7" ht="26.4" x14ac:dyDescent="0.25">
      <c r="A570" s="80">
        <v>9930059302</v>
      </c>
      <c r="B570" s="16" t="s">
        <v>68</v>
      </c>
      <c r="C570" s="55" t="s">
        <v>69</v>
      </c>
      <c r="D570" s="39">
        <v>1057.4000000000001</v>
      </c>
      <c r="E570" s="39">
        <v>1057.4000000000001</v>
      </c>
      <c r="F570" s="96">
        <f t="shared" si="46"/>
        <v>100</v>
      </c>
    </row>
    <row r="571" spans="1:7" ht="39.6" x14ac:dyDescent="0.25">
      <c r="A571" s="80">
        <v>9930059302</v>
      </c>
      <c r="B571" s="84" t="s">
        <v>212</v>
      </c>
      <c r="C571" s="100" t="s">
        <v>213</v>
      </c>
      <c r="D571" s="39">
        <v>139.30000000000001</v>
      </c>
      <c r="E571" s="39">
        <v>139.30000000000001</v>
      </c>
      <c r="F571" s="96">
        <f t="shared" si="46"/>
        <v>100</v>
      </c>
    </row>
    <row r="572" spans="1:7" ht="26.4" x14ac:dyDescent="0.25">
      <c r="A572" s="16" t="s">
        <v>29</v>
      </c>
      <c r="B572" s="16"/>
      <c r="C572" s="102" t="s">
        <v>43</v>
      </c>
      <c r="D572" s="39">
        <f>D573+D579+D575+D581</f>
        <v>6499.8</v>
      </c>
      <c r="E572" s="39">
        <f>E573+E579+E575+E581</f>
        <v>6490.7</v>
      </c>
      <c r="F572" s="96">
        <f t="shared" si="46"/>
        <v>99.9</v>
      </c>
    </row>
    <row r="573" spans="1:7" ht="39.6" x14ac:dyDescent="0.25">
      <c r="A573" s="84" t="s">
        <v>682</v>
      </c>
      <c r="B573" s="16"/>
      <c r="C573" s="54" t="s">
        <v>351</v>
      </c>
      <c r="D573" s="41">
        <f>SUM(D574:D574)</f>
        <v>600</v>
      </c>
      <c r="E573" s="41">
        <f>SUM(E574:E574)</f>
        <v>600</v>
      </c>
      <c r="F573" s="96">
        <f t="shared" si="46"/>
        <v>100</v>
      </c>
    </row>
    <row r="574" spans="1:7" x14ac:dyDescent="0.25">
      <c r="A574" s="84" t="s">
        <v>682</v>
      </c>
      <c r="B574" s="21" t="s">
        <v>226</v>
      </c>
      <c r="C574" s="100" t="s">
        <v>225</v>
      </c>
      <c r="D574" s="39">
        <f>300+175+175+50-100</f>
        <v>600</v>
      </c>
      <c r="E574" s="39">
        <f>475+50+75</f>
        <v>600</v>
      </c>
      <c r="F574" s="96">
        <f t="shared" si="46"/>
        <v>100</v>
      </c>
      <c r="G574" s="106"/>
    </row>
    <row r="575" spans="1:7" ht="26.4" x14ac:dyDescent="0.25">
      <c r="A575" s="83" t="s">
        <v>491</v>
      </c>
      <c r="B575" s="16"/>
      <c r="C575" s="22" t="s">
        <v>44</v>
      </c>
      <c r="D575" s="39">
        <f>SUM(D576:D578)</f>
        <v>5596.8</v>
      </c>
      <c r="E575" s="39">
        <f>SUM(E576:E578)</f>
        <v>5593.8</v>
      </c>
      <c r="F575" s="96">
        <f t="shared" si="46"/>
        <v>99.9</v>
      </c>
      <c r="G575" s="106"/>
    </row>
    <row r="576" spans="1:7" ht="39.6" x14ac:dyDescent="0.25">
      <c r="A576" s="83" t="s">
        <v>491</v>
      </c>
      <c r="B576" s="84" t="s">
        <v>212</v>
      </c>
      <c r="C576" s="100" t="s">
        <v>213</v>
      </c>
      <c r="D576" s="39">
        <f>242-7.7</f>
        <v>234.3</v>
      </c>
      <c r="E576" s="39">
        <v>231.3</v>
      </c>
      <c r="F576" s="96">
        <f t="shared" si="46"/>
        <v>98.7</v>
      </c>
      <c r="G576" s="106"/>
    </row>
    <row r="577" spans="1:7" x14ac:dyDescent="0.25">
      <c r="A577" s="83" t="s">
        <v>491</v>
      </c>
      <c r="B577" s="16" t="s">
        <v>87</v>
      </c>
      <c r="C577" s="100" t="s">
        <v>88</v>
      </c>
      <c r="D577" s="39">
        <f>426-196.1</f>
        <v>229.9</v>
      </c>
      <c r="E577" s="39">
        <v>229.9</v>
      </c>
      <c r="F577" s="96">
        <f t="shared" si="46"/>
        <v>100</v>
      </c>
      <c r="G577" s="106"/>
    </row>
    <row r="578" spans="1:7" x14ac:dyDescent="0.25">
      <c r="A578" s="83" t="s">
        <v>491</v>
      </c>
      <c r="B578" s="83" t="s">
        <v>134</v>
      </c>
      <c r="C578" s="100" t="s">
        <v>135</v>
      </c>
      <c r="D578" s="39">
        <f>602-1+1000+2886+441.8+203.8</f>
        <v>5132.6000000000004</v>
      </c>
      <c r="E578" s="39">
        <v>5132.6000000000004</v>
      </c>
      <c r="F578" s="96">
        <f t="shared" si="46"/>
        <v>100</v>
      </c>
    </row>
    <row r="579" spans="1:7" ht="26.4" x14ac:dyDescent="0.25">
      <c r="A579" s="148">
        <v>9940026500</v>
      </c>
      <c r="B579" s="148"/>
      <c r="C579" s="190" t="s">
        <v>12</v>
      </c>
      <c r="D579" s="39">
        <f>D580</f>
        <v>3</v>
      </c>
      <c r="E579" s="39">
        <f>E580</f>
        <v>3</v>
      </c>
      <c r="F579" s="96">
        <f t="shared" si="46"/>
        <v>100</v>
      </c>
    </row>
    <row r="580" spans="1:7" x14ac:dyDescent="0.25">
      <c r="A580" s="148">
        <v>9940026500</v>
      </c>
      <c r="B580" s="84" t="s">
        <v>16</v>
      </c>
      <c r="C580" s="148" t="s">
        <v>17</v>
      </c>
      <c r="D580" s="39">
        <f>4.2-1.2</f>
        <v>3</v>
      </c>
      <c r="E580" s="39">
        <f>4.2-1.2</f>
        <v>3</v>
      </c>
      <c r="F580" s="96">
        <f t="shared" si="46"/>
        <v>100</v>
      </c>
    </row>
    <row r="581" spans="1:7" ht="39.6" x14ac:dyDescent="0.25">
      <c r="A581" s="84" t="s">
        <v>562</v>
      </c>
      <c r="B581" s="16"/>
      <c r="C581" s="54" t="s">
        <v>351</v>
      </c>
      <c r="D581" s="41">
        <f>SUM(D582:D582)</f>
        <v>300</v>
      </c>
      <c r="E581" s="41">
        <f>SUM(E582:E582)</f>
        <v>293.89999999999998</v>
      </c>
      <c r="F581" s="96">
        <f t="shared" si="46"/>
        <v>98</v>
      </c>
    </row>
    <row r="582" spans="1:7" ht="39.6" x14ac:dyDescent="0.25">
      <c r="A582" s="84" t="s">
        <v>562</v>
      </c>
      <c r="B582" s="84" t="s">
        <v>212</v>
      </c>
      <c r="C582" s="100" t="s">
        <v>213</v>
      </c>
      <c r="D582" s="39">
        <f>100+100+100</f>
        <v>300</v>
      </c>
      <c r="E582" s="41">
        <f>93.9+100+100</f>
        <v>293.89999999999998</v>
      </c>
      <c r="F582" s="96">
        <f t="shared" si="46"/>
        <v>98</v>
      </c>
    </row>
    <row r="583" spans="1:7" x14ac:dyDescent="0.25">
      <c r="A583" s="83" t="s">
        <v>194</v>
      </c>
      <c r="B583" s="83"/>
      <c r="C583" s="100" t="s">
        <v>290</v>
      </c>
      <c r="D583" s="39">
        <f>D584+D588+D591</f>
        <v>37141</v>
      </c>
      <c r="E583" s="39">
        <f>E584+E588+E591</f>
        <v>35958.5</v>
      </c>
      <c r="F583" s="96">
        <f t="shared" si="46"/>
        <v>96.8</v>
      </c>
    </row>
    <row r="584" spans="1:7" ht="52.8" x14ac:dyDescent="0.25">
      <c r="A584" s="21" t="s">
        <v>498</v>
      </c>
      <c r="B584" s="47"/>
      <c r="C584" s="54" t="s">
        <v>499</v>
      </c>
      <c r="D584" s="41">
        <f>SUM(D585:D587)</f>
        <v>5196.7000000000007</v>
      </c>
      <c r="E584" s="41">
        <f>SUM(E585:E587)</f>
        <v>5180.3000000000011</v>
      </c>
      <c r="F584" s="96">
        <f t="shared" ref="F584:F611" si="55">ROUND((E584/D584*100),1)</f>
        <v>99.7</v>
      </c>
    </row>
    <row r="585" spans="1:7" ht="26.4" x14ac:dyDescent="0.25">
      <c r="A585" s="21" t="s">
        <v>498</v>
      </c>
      <c r="B585" s="16" t="s">
        <v>70</v>
      </c>
      <c r="C585" s="105" t="s">
        <v>133</v>
      </c>
      <c r="D585" s="41">
        <f>4661.6-8</f>
        <v>4653.6000000000004</v>
      </c>
      <c r="E585" s="41">
        <v>4653.6000000000004</v>
      </c>
      <c r="F585" s="96">
        <f t="shared" si="55"/>
        <v>100</v>
      </c>
    </row>
    <row r="586" spans="1:7" ht="39.6" x14ac:dyDescent="0.25">
      <c r="A586" s="21" t="s">
        <v>498</v>
      </c>
      <c r="B586" s="84" t="s">
        <v>212</v>
      </c>
      <c r="C586" s="100" t="s">
        <v>213</v>
      </c>
      <c r="D586" s="41">
        <f>504.1+15+8+11+1.9</f>
        <v>540</v>
      </c>
      <c r="E586" s="41">
        <v>523.6</v>
      </c>
      <c r="F586" s="96">
        <f t="shared" si="55"/>
        <v>97</v>
      </c>
    </row>
    <row r="587" spans="1:7" x14ac:dyDescent="0.25">
      <c r="A587" s="21" t="s">
        <v>498</v>
      </c>
      <c r="B587" s="83" t="s">
        <v>134</v>
      </c>
      <c r="C587" s="100" t="s">
        <v>135</v>
      </c>
      <c r="D587" s="41">
        <f>5-1.9</f>
        <v>3.1</v>
      </c>
      <c r="E587" s="41">
        <v>3.1</v>
      </c>
      <c r="F587" s="96">
        <f t="shared" si="55"/>
        <v>100</v>
      </c>
    </row>
    <row r="588" spans="1:7" ht="39.6" x14ac:dyDescent="0.25">
      <c r="A588" s="21" t="s">
        <v>492</v>
      </c>
      <c r="B588" s="47"/>
      <c r="C588" s="54" t="s">
        <v>289</v>
      </c>
      <c r="D588" s="41">
        <f>SUM(D589:D590)</f>
        <v>8859.7999999999993</v>
      </c>
      <c r="E588" s="41">
        <f>SUM(E589:E590)</f>
        <v>8848.1999999999989</v>
      </c>
      <c r="F588" s="96">
        <f t="shared" si="55"/>
        <v>99.9</v>
      </c>
    </row>
    <row r="589" spans="1:7" ht="33" customHeight="1" x14ac:dyDescent="0.25">
      <c r="A589" s="21" t="s">
        <v>492</v>
      </c>
      <c r="B589" s="16" t="s">
        <v>70</v>
      </c>
      <c r="C589" s="105" t="s">
        <v>133</v>
      </c>
      <c r="D589" s="41">
        <f>8093.2+15.4-175.2+145.4</f>
        <v>8078.7999999999993</v>
      </c>
      <c r="E589" s="39">
        <v>8072.4</v>
      </c>
      <c r="F589" s="96">
        <f t="shared" si="55"/>
        <v>99.9</v>
      </c>
    </row>
    <row r="590" spans="1:7" ht="39.6" x14ac:dyDescent="0.25">
      <c r="A590" s="21" t="s">
        <v>492</v>
      </c>
      <c r="B590" s="84" t="s">
        <v>212</v>
      </c>
      <c r="C590" s="100" t="s">
        <v>213</v>
      </c>
      <c r="D590" s="41">
        <f>796.4-15.4</f>
        <v>781</v>
      </c>
      <c r="E590" s="39">
        <v>775.8</v>
      </c>
      <c r="F590" s="96">
        <f t="shared" si="55"/>
        <v>99.3</v>
      </c>
    </row>
    <row r="591" spans="1:7" ht="52.8" x14ac:dyDescent="0.25">
      <c r="A591" s="21" t="s">
        <v>493</v>
      </c>
      <c r="B591" s="47"/>
      <c r="C591" s="54" t="s">
        <v>494</v>
      </c>
      <c r="D591" s="41">
        <f>SUM(D592:D595)</f>
        <v>23084.499999999996</v>
      </c>
      <c r="E591" s="41">
        <f>SUM(E592:E595)</f>
        <v>21930</v>
      </c>
      <c r="F591" s="96">
        <f t="shared" si="55"/>
        <v>95</v>
      </c>
    </row>
    <row r="592" spans="1:7" ht="26.4" x14ac:dyDescent="0.25">
      <c r="A592" s="21" t="s">
        <v>493</v>
      </c>
      <c r="B592" s="16" t="s">
        <v>70</v>
      </c>
      <c r="C592" s="105" t="s">
        <v>133</v>
      </c>
      <c r="D592" s="41">
        <f>9083.3+429.9+366.5</f>
        <v>9879.6999999999989</v>
      </c>
      <c r="E592" s="39">
        <v>9433.9</v>
      </c>
      <c r="F592" s="96">
        <f t="shared" si="55"/>
        <v>95.5</v>
      </c>
    </row>
    <row r="593" spans="1:6" ht="39.6" x14ac:dyDescent="0.25">
      <c r="A593" s="21" t="s">
        <v>493</v>
      </c>
      <c r="B593" s="84" t="s">
        <v>212</v>
      </c>
      <c r="C593" s="100" t="s">
        <v>213</v>
      </c>
      <c r="D593" s="41">
        <f>13621.8-110.7-429.9</f>
        <v>13081.199999999999</v>
      </c>
      <c r="E593" s="39">
        <v>12428.2</v>
      </c>
      <c r="F593" s="96">
        <f t="shared" si="55"/>
        <v>95</v>
      </c>
    </row>
    <row r="594" spans="1:6" x14ac:dyDescent="0.25">
      <c r="A594" s="21" t="s">
        <v>493</v>
      </c>
      <c r="B594" s="84" t="s">
        <v>308</v>
      </c>
      <c r="C594" s="100" t="s">
        <v>309</v>
      </c>
      <c r="D594" s="115">
        <v>0.1</v>
      </c>
      <c r="E594" s="41">
        <v>0</v>
      </c>
      <c r="F594" s="96">
        <f t="shared" si="55"/>
        <v>0</v>
      </c>
    </row>
    <row r="595" spans="1:6" x14ac:dyDescent="0.25">
      <c r="A595" s="21" t="s">
        <v>493</v>
      </c>
      <c r="B595" s="84" t="s">
        <v>134</v>
      </c>
      <c r="C595" s="100" t="s">
        <v>135</v>
      </c>
      <c r="D595" s="115">
        <f>123.6-0.1</f>
        <v>123.5</v>
      </c>
      <c r="E595" s="41">
        <v>67.900000000000006</v>
      </c>
      <c r="F595" s="96">
        <f t="shared" si="55"/>
        <v>55</v>
      </c>
    </row>
    <row r="596" spans="1:6" ht="38.25" customHeight="1" x14ac:dyDescent="0.25">
      <c r="A596" s="113">
        <v>9980000000</v>
      </c>
      <c r="B596" s="114"/>
      <c r="C596" s="100" t="s">
        <v>34</v>
      </c>
      <c r="D596" s="115">
        <f>D597+D599</f>
        <v>57473.799999999988</v>
      </c>
      <c r="E596" s="115">
        <f>E597+E599</f>
        <v>57136.700000000004</v>
      </c>
      <c r="F596" s="96">
        <f t="shared" si="55"/>
        <v>99.4</v>
      </c>
    </row>
    <row r="597" spans="1:6" x14ac:dyDescent="0.25">
      <c r="A597" s="80">
        <v>9980022100</v>
      </c>
      <c r="B597" s="16"/>
      <c r="C597" s="22" t="s">
        <v>119</v>
      </c>
      <c r="D597" s="39">
        <f t="shared" ref="D597:E597" si="56">D598</f>
        <v>1580</v>
      </c>
      <c r="E597" s="39">
        <f t="shared" si="56"/>
        <v>1580</v>
      </c>
      <c r="F597" s="96">
        <f t="shared" si="55"/>
        <v>100</v>
      </c>
    </row>
    <row r="598" spans="1:6" ht="26.4" x14ac:dyDescent="0.25">
      <c r="A598" s="80">
        <v>9980022100</v>
      </c>
      <c r="B598" s="16" t="s">
        <v>68</v>
      </c>
      <c r="C598" s="190" t="s">
        <v>84</v>
      </c>
      <c r="D598" s="39">
        <v>1580</v>
      </c>
      <c r="E598" s="39">
        <v>1580</v>
      </c>
      <c r="F598" s="96">
        <f t="shared" si="55"/>
        <v>100</v>
      </c>
    </row>
    <row r="599" spans="1:6" x14ac:dyDescent="0.25">
      <c r="A599" s="192">
        <v>9980022200</v>
      </c>
      <c r="B599" s="21"/>
      <c r="C599" s="22" t="s">
        <v>120</v>
      </c>
      <c r="D599" s="39">
        <f>SUM(D600:D602)</f>
        <v>55893.799999999988</v>
      </c>
      <c r="E599" s="39">
        <f>SUM(E600:E602)</f>
        <v>55556.700000000004</v>
      </c>
      <c r="F599" s="96">
        <f t="shared" si="55"/>
        <v>99.4</v>
      </c>
    </row>
    <row r="600" spans="1:6" ht="26.4" x14ac:dyDescent="0.25">
      <c r="A600" s="192">
        <v>9980022200</v>
      </c>
      <c r="B600" s="16" t="s">
        <v>68</v>
      </c>
      <c r="C600" s="55" t="s">
        <v>69</v>
      </c>
      <c r="D600" s="39">
        <f>156.2+42052.6+8799.1-156.2-96.1-1.3+189-206.9+308.1+1453.1+0.1+8</f>
        <v>52505.69999999999</v>
      </c>
      <c r="E600" s="39">
        <f>9282+43012.9</f>
        <v>52294.9</v>
      </c>
      <c r="F600" s="96">
        <f t="shared" si="55"/>
        <v>99.6</v>
      </c>
    </row>
    <row r="601" spans="1:6" ht="39.6" x14ac:dyDescent="0.25">
      <c r="A601" s="192">
        <v>9980022200</v>
      </c>
      <c r="B601" s="84" t="s">
        <v>212</v>
      </c>
      <c r="C601" s="100" t="s">
        <v>213</v>
      </c>
      <c r="D601" s="39">
        <f>191.2+2743+448.9+44.5-191.2+96.1-189+211.7-8</f>
        <v>3347.2</v>
      </c>
      <c r="E601" s="39">
        <f>243.7+2977.2</f>
        <v>3220.8999999999996</v>
      </c>
      <c r="F601" s="96">
        <f t="shared" si="55"/>
        <v>96.2</v>
      </c>
    </row>
    <row r="602" spans="1:6" x14ac:dyDescent="0.25">
      <c r="A602" s="192">
        <v>9980022200</v>
      </c>
      <c r="B602" s="84" t="s">
        <v>134</v>
      </c>
      <c r="C602" s="100" t="s">
        <v>135</v>
      </c>
      <c r="D602" s="41">
        <f>44.4+1.3-4.8</f>
        <v>40.9</v>
      </c>
      <c r="E602" s="39">
        <f>1.3+39.6</f>
        <v>40.9</v>
      </c>
      <c r="F602" s="96">
        <f t="shared" si="55"/>
        <v>100</v>
      </c>
    </row>
    <row r="603" spans="1:6" ht="39.6" x14ac:dyDescent="0.25">
      <c r="A603" s="80">
        <v>9990000000</v>
      </c>
      <c r="B603" s="16"/>
      <c r="C603" s="54" t="s">
        <v>33</v>
      </c>
      <c r="D603" s="41">
        <f>D604+D606+D609</f>
        <v>5164.8999999999996</v>
      </c>
      <c r="E603" s="41">
        <f>E604+E606+E609</f>
        <v>5099.3</v>
      </c>
      <c r="F603" s="96">
        <f t="shared" si="55"/>
        <v>98.7</v>
      </c>
    </row>
    <row r="604" spans="1:6" x14ac:dyDescent="0.25">
      <c r="A604" s="80">
        <v>9990022400</v>
      </c>
      <c r="B604" s="16"/>
      <c r="C604" s="100" t="s">
        <v>140</v>
      </c>
      <c r="D604" s="41">
        <f t="shared" ref="D604:E604" si="57">D605</f>
        <v>1270.5</v>
      </c>
      <c r="E604" s="41">
        <f t="shared" si="57"/>
        <v>1255</v>
      </c>
      <c r="F604" s="96">
        <f t="shared" si="55"/>
        <v>98.8</v>
      </c>
    </row>
    <row r="605" spans="1:6" ht="26.4" x14ac:dyDescent="0.25">
      <c r="A605" s="80">
        <v>9990022400</v>
      </c>
      <c r="B605" s="16" t="s">
        <v>68</v>
      </c>
      <c r="C605" s="55" t="s">
        <v>69</v>
      </c>
      <c r="D605" s="39">
        <v>1270.5</v>
      </c>
      <c r="E605" s="39">
        <v>1255</v>
      </c>
      <c r="F605" s="96">
        <f t="shared" si="55"/>
        <v>98.8</v>
      </c>
    </row>
    <row r="606" spans="1:6" ht="26.4" x14ac:dyDescent="0.25">
      <c r="A606" s="80">
        <v>9990022500</v>
      </c>
      <c r="B606" s="21"/>
      <c r="C606" s="102" t="s">
        <v>483</v>
      </c>
      <c r="D606" s="41">
        <f>SUM(D607:D608)</f>
        <v>2320</v>
      </c>
      <c r="E606" s="41">
        <f>SUM(E607:E608)</f>
        <v>2286.8000000000002</v>
      </c>
      <c r="F606" s="96">
        <f t="shared" si="55"/>
        <v>98.6</v>
      </c>
    </row>
    <row r="607" spans="1:6" ht="26.4" x14ac:dyDescent="0.25">
      <c r="A607" s="80">
        <v>9990022500</v>
      </c>
      <c r="B607" s="16" t="s">
        <v>68</v>
      </c>
      <c r="C607" s="55" t="s">
        <v>69</v>
      </c>
      <c r="D607" s="39">
        <f>2168.1-18.2+48.6</f>
        <v>2198.5</v>
      </c>
      <c r="E607" s="39">
        <v>2167.3000000000002</v>
      </c>
      <c r="F607" s="96">
        <f t="shared" si="55"/>
        <v>98.6</v>
      </c>
    </row>
    <row r="608" spans="1:6" ht="38.25" customHeight="1" x14ac:dyDescent="0.25">
      <c r="A608" s="80">
        <v>9990022500</v>
      </c>
      <c r="B608" s="84" t="s">
        <v>212</v>
      </c>
      <c r="C608" s="100" t="s">
        <v>213</v>
      </c>
      <c r="D608" s="39">
        <f>103.3+18.2</f>
        <v>121.5</v>
      </c>
      <c r="E608" s="39">
        <v>119.5</v>
      </c>
      <c r="F608" s="96">
        <f t="shared" si="55"/>
        <v>98.4</v>
      </c>
    </row>
    <row r="609" spans="1:6" ht="26.4" x14ac:dyDescent="0.25">
      <c r="A609" s="80">
        <v>9990022300</v>
      </c>
      <c r="B609" s="21"/>
      <c r="C609" s="190" t="s">
        <v>201</v>
      </c>
      <c r="D609" s="41">
        <f>D610+D611</f>
        <v>1574.3999999999999</v>
      </c>
      <c r="E609" s="41">
        <f>E610+E611</f>
        <v>1557.5</v>
      </c>
      <c r="F609" s="96">
        <f t="shared" si="55"/>
        <v>98.9</v>
      </c>
    </row>
    <row r="610" spans="1:6" ht="26.4" x14ac:dyDescent="0.25">
      <c r="A610" s="80">
        <v>9990022300</v>
      </c>
      <c r="B610" s="16" t="s">
        <v>68</v>
      </c>
      <c r="C610" s="190" t="s">
        <v>84</v>
      </c>
      <c r="D610" s="39">
        <f>1554.1-3.1-14.7+16.8</f>
        <v>1553.1</v>
      </c>
      <c r="E610" s="39">
        <v>1536.2</v>
      </c>
      <c r="F610" s="96">
        <f t="shared" si="55"/>
        <v>98.9</v>
      </c>
    </row>
    <row r="611" spans="1:6" ht="39.6" x14ac:dyDescent="0.25">
      <c r="A611" s="80">
        <v>9990022300</v>
      </c>
      <c r="B611" s="84" t="s">
        <v>212</v>
      </c>
      <c r="C611" s="100" t="s">
        <v>213</v>
      </c>
      <c r="D611" s="39">
        <f>3.5+3.1+14.7</f>
        <v>21.299999999999997</v>
      </c>
      <c r="E611" s="39">
        <f>3.5+3.1+14.7</f>
        <v>21.299999999999997</v>
      </c>
      <c r="F611" s="96">
        <f t="shared" si="55"/>
        <v>100</v>
      </c>
    </row>
  </sheetData>
  <mergeCells count="8">
    <mergeCell ref="A7:F7"/>
    <mergeCell ref="B10:B12"/>
    <mergeCell ref="A10:A12"/>
    <mergeCell ref="C10:C12"/>
    <mergeCell ref="D10:E10"/>
    <mergeCell ref="D11:D12"/>
    <mergeCell ref="E11:E12"/>
    <mergeCell ref="F10:F1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3" workbookViewId="0">
      <selection activeCell="A14" sqref="A14:K14"/>
    </sheetView>
  </sheetViews>
  <sheetFormatPr defaultColWidth="9.109375" defaultRowHeight="13.2" x14ac:dyDescent="0.25"/>
  <cols>
    <col min="1" max="1" width="14.5546875" style="92" customWidth="1"/>
    <col min="2" max="2" width="2.6640625" style="92" customWidth="1"/>
    <col min="3" max="3" width="9" style="92" customWidth="1"/>
    <col min="4" max="4" width="9.88671875" style="92" customWidth="1"/>
    <col min="5" max="5" width="4" style="92" customWidth="1"/>
    <col min="6" max="6" width="13.44140625" style="92" customWidth="1"/>
    <col min="7" max="7" width="5" style="92" customWidth="1"/>
    <col min="8" max="8" width="10.88671875" style="92" customWidth="1"/>
    <col min="9" max="9" width="6.5546875" style="92" customWidth="1"/>
    <col min="10" max="10" width="6.6640625" style="92" customWidth="1"/>
    <col min="11" max="11" width="6.5546875" style="92" customWidth="1"/>
    <col min="12" max="16384" width="9.109375" style="92"/>
  </cols>
  <sheetData>
    <row r="1" spans="1:11" x14ac:dyDescent="0.25">
      <c r="B1" s="177" t="s">
        <v>424</v>
      </c>
    </row>
    <row r="2" spans="1:11" x14ac:dyDescent="0.25">
      <c r="B2" s="177" t="s">
        <v>388</v>
      </c>
    </row>
    <row r="3" spans="1:11" x14ac:dyDescent="0.25">
      <c r="B3" s="177" t="s">
        <v>422</v>
      </c>
    </row>
    <row r="4" spans="1:11" x14ac:dyDescent="0.25">
      <c r="B4" s="177" t="s">
        <v>423</v>
      </c>
    </row>
    <row r="5" spans="1:11" x14ac:dyDescent="0.25">
      <c r="B5" s="177" t="s">
        <v>476</v>
      </c>
    </row>
    <row r="6" spans="1:11" ht="17.25" customHeight="1" x14ac:dyDescent="0.25">
      <c r="D6" s="7"/>
    </row>
    <row r="7" spans="1:11" ht="40.5" customHeight="1" x14ac:dyDescent="0.25">
      <c r="A7" s="235" t="s">
        <v>800</v>
      </c>
      <c r="B7" s="235"/>
      <c r="C7" s="235"/>
      <c r="D7" s="235"/>
      <c r="E7" s="237"/>
      <c r="F7" s="237"/>
      <c r="G7" s="237"/>
      <c r="H7" s="237"/>
      <c r="I7" s="237"/>
      <c r="J7" s="237"/>
      <c r="K7" s="237"/>
    </row>
    <row r="8" spans="1:11" ht="24" customHeight="1" x14ac:dyDescent="0.3">
      <c r="C8" s="168"/>
    </row>
    <row r="9" spans="1:11" ht="29.25" customHeight="1" x14ac:dyDescent="0.25">
      <c r="A9" s="246" t="s">
        <v>425</v>
      </c>
      <c r="B9" s="246" t="s">
        <v>426</v>
      </c>
      <c r="C9" s="254" t="s">
        <v>427</v>
      </c>
      <c r="D9" s="257"/>
      <c r="E9" s="258"/>
      <c r="F9" s="234" t="s">
        <v>428</v>
      </c>
      <c r="G9" s="261" t="s">
        <v>429</v>
      </c>
      <c r="H9" s="262"/>
      <c r="I9" s="249" t="s">
        <v>32</v>
      </c>
      <c r="J9" s="250"/>
      <c r="K9" s="246" t="s">
        <v>421</v>
      </c>
    </row>
    <row r="10" spans="1:11" ht="49.5" customHeight="1" x14ac:dyDescent="0.25">
      <c r="A10" s="247"/>
      <c r="B10" s="247"/>
      <c r="C10" s="255"/>
      <c r="D10" s="259"/>
      <c r="E10" s="260"/>
      <c r="F10" s="234"/>
      <c r="G10" s="263"/>
      <c r="H10" s="264"/>
      <c r="I10" s="243" t="s">
        <v>420</v>
      </c>
      <c r="J10" s="246" t="s">
        <v>474</v>
      </c>
      <c r="K10" s="247"/>
    </row>
    <row r="11" spans="1:11" ht="49.5" customHeight="1" x14ac:dyDescent="0.25">
      <c r="A11" s="248"/>
      <c r="B11" s="256"/>
      <c r="C11" s="165" t="s">
        <v>430</v>
      </c>
      <c r="D11" s="169" t="s">
        <v>431</v>
      </c>
      <c r="E11" s="166" t="s">
        <v>432</v>
      </c>
      <c r="F11" s="234"/>
      <c r="G11" s="148" t="s">
        <v>433</v>
      </c>
      <c r="H11" s="148" t="s">
        <v>434</v>
      </c>
      <c r="I11" s="245"/>
      <c r="J11" s="248"/>
      <c r="K11" s="248"/>
    </row>
    <row r="12" spans="1:11" ht="49.5" customHeight="1" x14ac:dyDescent="0.25">
      <c r="A12" s="234" t="s">
        <v>435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</row>
    <row r="13" spans="1:11" ht="253.8" customHeight="1" x14ac:dyDescent="0.25">
      <c r="A13" s="99" t="s">
        <v>436</v>
      </c>
      <c r="B13" s="84" t="s">
        <v>93</v>
      </c>
      <c r="C13" s="102" t="s">
        <v>437</v>
      </c>
      <c r="D13" s="170">
        <v>40899</v>
      </c>
      <c r="E13" s="163" t="s">
        <v>438</v>
      </c>
      <c r="F13" s="163" t="s">
        <v>439</v>
      </c>
      <c r="G13" s="148" t="s">
        <v>440</v>
      </c>
      <c r="H13" s="80">
        <v>110210560</v>
      </c>
      <c r="I13" s="39">
        <v>1026</v>
      </c>
      <c r="J13" s="96">
        <v>1074.5</v>
      </c>
      <c r="K13" s="96">
        <f t="shared" ref="K13:K15" si="0">ROUND((J13/I13*100),1)</f>
        <v>104.7</v>
      </c>
    </row>
    <row r="14" spans="1:11" x14ac:dyDescent="0.25">
      <c r="A14" s="234" t="s">
        <v>441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</row>
    <row r="15" spans="1:11" ht="145.19999999999999" x14ac:dyDescent="0.25">
      <c r="A15" s="22" t="s">
        <v>377</v>
      </c>
      <c r="B15" s="83" t="s">
        <v>94</v>
      </c>
      <c r="C15" s="99" t="s">
        <v>442</v>
      </c>
      <c r="D15" s="170">
        <v>42723</v>
      </c>
      <c r="E15" s="148">
        <v>115</v>
      </c>
      <c r="F15" s="163" t="s">
        <v>443</v>
      </c>
      <c r="G15" s="148" t="s">
        <v>444</v>
      </c>
      <c r="H15" s="80" t="s">
        <v>155</v>
      </c>
      <c r="I15" s="39">
        <v>1962.8</v>
      </c>
      <c r="J15" s="39">
        <v>1962.8</v>
      </c>
      <c r="K15" s="96">
        <f t="shared" si="0"/>
        <v>100</v>
      </c>
    </row>
    <row r="16" spans="1:11" x14ac:dyDescent="0.25">
      <c r="A16" s="171"/>
      <c r="B16" s="172"/>
      <c r="C16" s="173"/>
      <c r="D16" s="174"/>
    </row>
    <row r="17" spans="1:4" x14ac:dyDescent="0.25">
      <c r="A17" s="171"/>
      <c r="B17" s="172"/>
      <c r="C17" s="173"/>
      <c r="D17" s="174"/>
    </row>
    <row r="18" spans="1:4" x14ac:dyDescent="0.25">
      <c r="A18" s="171"/>
      <c r="B18" s="172"/>
      <c r="C18" s="173"/>
      <c r="D18" s="174"/>
    </row>
    <row r="19" spans="1:4" x14ac:dyDescent="0.25">
      <c r="A19" s="175"/>
      <c r="B19" s="175"/>
      <c r="C19" s="54"/>
      <c r="D19" s="176"/>
    </row>
    <row r="20" spans="1:4" ht="13.8" x14ac:dyDescent="0.25">
      <c r="A20" s="19"/>
    </row>
  </sheetData>
  <mergeCells count="12">
    <mergeCell ref="A12:K12"/>
    <mergeCell ref="A14:K14"/>
    <mergeCell ref="J10:J11"/>
    <mergeCell ref="I9:J9"/>
    <mergeCell ref="K9:K11"/>
    <mergeCell ref="A7:K7"/>
    <mergeCell ref="A9:A11"/>
    <mergeCell ref="B9:B11"/>
    <mergeCell ref="C9:E10"/>
    <mergeCell ref="F9:F11"/>
    <mergeCell ref="G9:H10"/>
    <mergeCell ref="I10:I1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9" workbookViewId="0">
      <selection activeCell="F28" sqref="F28"/>
    </sheetView>
  </sheetViews>
  <sheetFormatPr defaultRowHeight="13.2" x14ac:dyDescent="0.25"/>
  <cols>
    <col min="1" max="1" width="3.88671875" customWidth="1"/>
    <col min="2" max="2" width="26.109375" customWidth="1"/>
    <col min="3" max="3" width="24" customWidth="1"/>
    <col min="4" max="4" width="9.33203125" style="92" customWidth="1"/>
    <col min="5" max="5" width="11.109375" customWidth="1"/>
    <col min="6" max="6" width="8.88671875" customWidth="1"/>
    <col min="7" max="7" width="5.44140625" customWidth="1"/>
  </cols>
  <sheetData>
    <row r="1" spans="1:7" x14ac:dyDescent="0.25">
      <c r="A1" s="92"/>
      <c r="B1" s="182" t="s">
        <v>450</v>
      </c>
      <c r="C1" s="232" t="s">
        <v>450</v>
      </c>
      <c r="D1" s="155"/>
      <c r="E1" s="92"/>
      <c r="F1" s="92"/>
      <c r="G1" s="92"/>
    </row>
    <row r="2" spans="1:7" x14ac:dyDescent="0.25">
      <c r="A2" s="92"/>
      <c r="B2" s="182" t="s">
        <v>451</v>
      </c>
      <c r="C2" s="232" t="s">
        <v>388</v>
      </c>
      <c r="D2" s="155"/>
      <c r="E2" s="92"/>
      <c r="F2" s="92"/>
      <c r="G2" s="92"/>
    </row>
    <row r="3" spans="1:7" x14ac:dyDescent="0.25">
      <c r="A3" s="92"/>
      <c r="B3" s="182" t="s">
        <v>452</v>
      </c>
      <c r="C3" s="232" t="s">
        <v>422</v>
      </c>
      <c r="D3" s="155"/>
      <c r="E3" s="92"/>
      <c r="F3" s="92"/>
      <c r="G3" s="92"/>
    </row>
    <row r="4" spans="1:7" x14ac:dyDescent="0.25">
      <c r="A4" s="92"/>
      <c r="B4" s="182" t="s">
        <v>453</v>
      </c>
      <c r="C4" s="232" t="s">
        <v>423</v>
      </c>
      <c r="D4" s="155"/>
      <c r="E4" s="92"/>
      <c r="F4" s="92"/>
      <c r="G4" s="92"/>
    </row>
    <row r="5" spans="1:7" x14ac:dyDescent="0.25">
      <c r="A5" s="92"/>
      <c r="B5" s="182" t="s">
        <v>454</v>
      </c>
      <c r="C5" s="232" t="s">
        <v>476</v>
      </c>
      <c r="D5" s="155"/>
      <c r="E5" s="92"/>
      <c r="F5" s="92"/>
      <c r="G5" s="92"/>
    </row>
    <row r="6" spans="1:7" x14ac:dyDescent="0.25">
      <c r="A6" s="92"/>
      <c r="B6" s="183"/>
      <c r="C6" s="184"/>
      <c r="D6" s="184"/>
      <c r="E6" s="185"/>
      <c r="F6" s="185"/>
      <c r="G6" s="92"/>
    </row>
    <row r="7" spans="1:7" x14ac:dyDescent="0.25">
      <c r="A7" s="92"/>
      <c r="B7" s="183"/>
      <c r="C7" s="184"/>
      <c r="D7" s="184"/>
      <c r="E7" s="185"/>
      <c r="F7" s="185"/>
      <c r="G7" s="92"/>
    </row>
    <row r="8" spans="1:7" ht="44.25" customHeight="1" x14ac:dyDescent="0.25">
      <c r="A8" s="235" t="s">
        <v>801</v>
      </c>
      <c r="B8" s="251"/>
      <c r="C8" s="251"/>
      <c r="D8" s="251"/>
      <c r="E8" s="251"/>
      <c r="F8" s="251"/>
      <c r="G8" s="181"/>
    </row>
    <row r="9" spans="1:7" ht="15" x14ac:dyDescent="0.25">
      <c r="A9" s="179"/>
      <c r="B9" s="180"/>
      <c r="C9" s="180"/>
      <c r="D9" s="228"/>
      <c r="E9" s="180"/>
      <c r="F9" s="180"/>
      <c r="G9" s="181"/>
    </row>
    <row r="10" spans="1:7" x14ac:dyDescent="0.25">
      <c r="A10" s="92"/>
      <c r="B10" s="92"/>
      <c r="C10" s="6"/>
      <c r="D10" s="6"/>
      <c r="E10" s="92"/>
      <c r="F10" s="92"/>
      <c r="G10" s="92"/>
    </row>
    <row r="11" spans="1:7" x14ac:dyDescent="0.25">
      <c r="A11" s="234" t="s">
        <v>455</v>
      </c>
      <c r="B11" s="239" t="s">
        <v>456</v>
      </c>
      <c r="C11" s="239" t="s">
        <v>457</v>
      </c>
      <c r="D11" s="268" t="s">
        <v>815</v>
      </c>
      <c r="E11" s="239" t="s">
        <v>32</v>
      </c>
      <c r="F11" s="234"/>
      <c r="G11" s="234"/>
    </row>
    <row r="12" spans="1:7" x14ac:dyDescent="0.25">
      <c r="A12" s="234"/>
      <c r="B12" s="234"/>
      <c r="C12" s="270"/>
      <c r="D12" s="244"/>
      <c r="E12" s="239" t="s">
        <v>420</v>
      </c>
      <c r="F12" s="239" t="s">
        <v>474</v>
      </c>
      <c r="G12" s="239" t="s">
        <v>421</v>
      </c>
    </row>
    <row r="13" spans="1:7" x14ac:dyDescent="0.25">
      <c r="A13" s="234"/>
      <c r="B13" s="234"/>
      <c r="C13" s="270"/>
      <c r="D13" s="244"/>
      <c r="E13" s="239"/>
      <c r="F13" s="239"/>
      <c r="G13" s="239"/>
    </row>
    <row r="14" spans="1:7" ht="51" customHeight="1" x14ac:dyDescent="0.25">
      <c r="A14" s="234"/>
      <c r="B14" s="234"/>
      <c r="C14" s="270"/>
      <c r="D14" s="245"/>
      <c r="E14" s="239"/>
      <c r="F14" s="239"/>
      <c r="G14" s="239"/>
    </row>
    <row r="15" spans="1:7" x14ac:dyDescent="0.25">
      <c r="A15" s="2">
        <v>1</v>
      </c>
      <c r="B15" s="2">
        <v>2</v>
      </c>
      <c r="C15" s="2">
        <v>3</v>
      </c>
      <c r="D15" s="2">
        <v>4</v>
      </c>
      <c r="E15" s="2">
        <v>5</v>
      </c>
      <c r="F15" s="2">
        <v>6</v>
      </c>
      <c r="G15" s="2">
        <v>7</v>
      </c>
    </row>
    <row r="16" spans="1:7" ht="52.8" x14ac:dyDescent="0.25">
      <c r="A16" s="21" t="s">
        <v>458</v>
      </c>
      <c r="B16" s="116" t="s">
        <v>802</v>
      </c>
      <c r="C16" s="186" t="s">
        <v>461</v>
      </c>
      <c r="D16" s="229" t="s">
        <v>816</v>
      </c>
      <c r="E16" s="96">
        <v>100</v>
      </c>
      <c r="F16" s="96">
        <v>100</v>
      </c>
      <c r="G16" s="96">
        <f t="shared" ref="G16:G29" si="0">ROUND((F16/E16*100),1)</f>
        <v>100</v>
      </c>
    </row>
    <row r="17" spans="1:7" ht="66" x14ac:dyDescent="0.25">
      <c r="A17" s="265" t="s">
        <v>459</v>
      </c>
      <c r="B17" s="116" t="s">
        <v>803</v>
      </c>
      <c r="C17" s="188" t="s">
        <v>804</v>
      </c>
      <c r="D17" s="269" t="s">
        <v>817</v>
      </c>
      <c r="E17" s="96">
        <v>50</v>
      </c>
      <c r="F17" s="96">
        <v>50</v>
      </c>
      <c r="G17" s="96">
        <f t="shared" si="0"/>
        <v>100</v>
      </c>
    </row>
    <row r="18" spans="1:7" ht="26.4" x14ac:dyDescent="0.25">
      <c r="A18" s="245"/>
      <c r="B18" s="186" t="s">
        <v>805</v>
      </c>
      <c r="C18" s="187" t="s">
        <v>465</v>
      </c>
      <c r="D18" s="248"/>
      <c r="E18" s="96">
        <v>50</v>
      </c>
      <c r="F18" s="96">
        <v>47</v>
      </c>
      <c r="G18" s="96">
        <f t="shared" si="0"/>
        <v>94</v>
      </c>
    </row>
    <row r="19" spans="1:7" ht="39.6" x14ac:dyDescent="0.25">
      <c r="A19" s="21" t="s">
        <v>460</v>
      </c>
      <c r="B19" s="100" t="s">
        <v>806</v>
      </c>
      <c r="C19" s="186" t="s">
        <v>807</v>
      </c>
      <c r="D19" s="230" t="s">
        <v>818</v>
      </c>
      <c r="E19" s="96">
        <v>100</v>
      </c>
      <c r="F19" s="96">
        <v>100</v>
      </c>
      <c r="G19" s="96">
        <f t="shared" si="0"/>
        <v>100</v>
      </c>
    </row>
    <row r="20" spans="1:7" ht="52.8" x14ac:dyDescent="0.25">
      <c r="A20" s="124" t="s">
        <v>462</v>
      </c>
      <c r="B20" s="116" t="s">
        <v>808</v>
      </c>
      <c r="C20" s="187" t="s">
        <v>470</v>
      </c>
      <c r="D20" s="231" t="s">
        <v>819</v>
      </c>
      <c r="E20" s="161">
        <v>100</v>
      </c>
      <c r="F20" s="161">
        <v>100</v>
      </c>
      <c r="G20" s="96">
        <f t="shared" si="0"/>
        <v>100</v>
      </c>
    </row>
    <row r="21" spans="1:7" ht="39.6" x14ac:dyDescent="0.25">
      <c r="A21" s="278" t="s">
        <v>463</v>
      </c>
      <c r="B21" s="99" t="s">
        <v>809</v>
      </c>
      <c r="C21" s="266" t="s">
        <v>465</v>
      </c>
      <c r="D21" s="269" t="s">
        <v>820</v>
      </c>
      <c r="E21" s="96">
        <v>50</v>
      </c>
      <c r="F21" s="96">
        <v>50</v>
      </c>
      <c r="G21" s="96">
        <f t="shared" si="0"/>
        <v>100</v>
      </c>
    </row>
    <row r="22" spans="1:7" ht="39.6" x14ac:dyDescent="0.25">
      <c r="A22" s="279"/>
      <c r="B22" s="99" t="s">
        <v>813</v>
      </c>
      <c r="C22" s="267"/>
      <c r="D22" s="248"/>
      <c r="E22" s="96">
        <v>50</v>
      </c>
      <c r="F22" s="96">
        <v>50</v>
      </c>
      <c r="G22" s="161">
        <f t="shared" si="0"/>
        <v>100</v>
      </c>
    </row>
    <row r="23" spans="1:7" ht="66" x14ac:dyDescent="0.25">
      <c r="A23" s="273" t="s">
        <v>464</v>
      </c>
      <c r="B23" s="100" t="s">
        <v>810</v>
      </c>
      <c r="C23" s="188" t="s">
        <v>804</v>
      </c>
      <c r="D23" s="280" t="s">
        <v>821</v>
      </c>
      <c r="E23" s="161">
        <v>25</v>
      </c>
      <c r="F23" s="96">
        <v>25</v>
      </c>
      <c r="G23" s="96">
        <f t="shared" si="0"/>
        <v>100</v>
      </c>
    </row>
    <row r="24" spans="1:7" ht="52.8" x14ac:dyDescent="0.25">
      <c r="A24" s="274"/>
      <c r="B24" s="116" t="s">
        <v>808</v>
      </c>
      <c r="C24" s="187" t="s">
        <v>470</v>
      </c>
      <c r="D24" s="281"/>
      <c r="E24" s="161">
        <v>75</v>
      </c>
      <c r="F24" s="161">
        <v>75</v>
      </c>
      <c r="G24" s="96">
        <f t="shared" si="0"/>
        <v>100</v>
      </c>
    </row>
    <row r="25" spans="1:7" ht="66" x14ac:dyDescent="0.25">
      <c r="A25" s="72" t="s">
        <v>466</v>
      </c>
      <c r="B25" s="100" t="s">
        <v>811</v>
      </c>
      <c r="C25" s="187" t="s">
        <v>468</v>
      </c>
      <c r="D25" s="230" t="s">
        <v>822</v>
      </c>
      <c r="E25" s="96">
        <v>100</v>
      </c>
      <c r="F25" s="96">
        <v>100</v>
      </c>
      <c r="G25" s="96">
        <f t="shared" si="0"/>
        <v>100</v>
      </c>
    </row>
    <row r="26" spans="1:7" ht="66" x14ac:dyDescent="0.25">
      <c r="A26" s="275" t="s">
        <v>467</v>
      </c>
      <c r="B26" s="100" t="s">
        <v>471</v>
      </c>
      <c r="C26" s="188" t="s">
        <v>472</v>
      </c>
      <c r="D26" s="271" t="s">
        <v>823</v>
      </c>
      <c r="E26" s="161">
        <v>50</v>
      </c>
      <c r="F26" s="188">
        <v>50</v>
      </c>
      <c r="G26" s="96">
        <f t="shared" si="0"/>
        <v>100</v>
      </c>
    </row>
    <row r="27" spans="1:7" ht="26.4" x14ac:dyDescent="0.25">
      <c r="A27" s="276"/>
      <c r="B27" s="186" t="s">
        <v>805</v>
      </c>
      <c r="C27" s="187" t="s">
        <v>465</v>
      </c>
      <c r="D27" s="272"/>
      <c r="E27" s="96">
        <v>50</v>
      </c>
      <c r="F27" s="96">
        <v>46.9</v>
      </c>
      <c r="G27" s="96">
        <f t="shared" si="0"/>
        <v>93.8</v>
      </c>
    </row>
    <row r="28" spans="1:7" ht="52.8" x14ac:dyDescent="0.25">
      <c r="A28" s="225">
        <v>9</v>
      </c>
      <c r="B28" s="100" t="s">
        <v>812</v>
      </c>
      <c r="C28" s="186" t="s">
        <v>807</v>
      </c>
      <c r="D28" s="230" t="s">
        <v>824</v>
      </c>
      <c r="E28" s="96">
        <v>100</v>
      </c>
      <c r="F28" s="96">
        <v>100</v>
      </c>
      <c r="G28" s="96">
        <f t="shared" si="0"/>
        <v>100</v>
      </c>
    </row>
    <row r="29" spans="1:7" x14ac:dyDescent="0.25">
      <c r="A29" s="148"/>
      <c r="B29" s="277" t="s">
        <v>469</v>
      </c>
      <c r="C29" s="250"/>
      <c r="D29" s="227"/>
      <c r="E29" s="39">
        <f>SUM(E16:E28)</f>
        <v>900</v>
      </c>
      <c r="F29" s="39">
        <f>SUM(F16:F28)</f>
        <v>893.9</v>
      </c>
      <c r="G29" s="96">
        <f t="shared" si="0"/>
        <v>99.3</v>
      </c>
    </row>
  </sheetData>
  <mergeCells count="19">
    <mergeCell ref="D26:D27"/>
    <mergeCell ref="A23:A24"/>
    <mergeCell ref="A26:A27"/>
    <mergeCell ref="B29:C29"/>
    <mergeCell ref="A21:A22"/>
    <mergeCell ref="D23:D24"/>
    <mergeCell ref="A8:F8"/>
    <mergeCell ref="A11:A14"/>
    <mergeCell ref="B11:B14"/>
    <mergeCell ref="C11:C14"/>
    <mergeCell ref="E11:G11"/>
    <mergeCell ref="E12:E14"/>
    <mergeCell ref="F12:F14"/>
    <mergeCell ref="G12:G14"/>
    <mergeCell ref="A17:A18"/>
    <mergeCell ref="C21:C22"/>
    <mergeCell ref="D11:D14"/>
    <mergeCell ref="D17:D18"/>
    <mergeCell ref="D21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прил.1</vt:lpstr>
      <vt:lpstr>прил.3</vt:lpstr>
      <vt:lpstr>прил.4</vt:lpstr>
      <vt:lpstr>прил.5</vt:lpstr>
      <vt:lpstr>прил.6</vt:lpstr>
      <vt:lpstr>прил.7</vt:lpstr>
      <vt:lpstr>прил.8</vt:lpstr>
    </vt:vector>
  </TitlesOfParts>
  <Company>***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Татьяна Кочеткова</cp:lastModifiedBy>
  <cp:lastPrinted>2023-03-30T06:35:28Z</cp:lastPrinted>
  <dcterms:created xsi:type="dcterms:W3CDTF">2007-02-27T13:35:41Z</dcterms:created>
  <dcterms:modified xsi:type="dcterms:W3CDTF">2023-04-10T13:03:27Z</dcterms:modified>
</cp:coreProperties>
</file>